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kudrasov/Desktop/Drive/СБЕР КЕЙС/"/>
    </mc:Choice>
  </mc:AlternateContent>
  <xr:revisionPtr revIDLastSave="0" documentId="13_ncr:1_{B5BBEE10-8BAC-0F46-9CE3-0A1851154E97}" xr6:coauthVersionLast="47" xr6:coauthVersionMax="47" xr10:uidLastSave="{00000000-0000-0000-0000-000000000000}"/>
  <bookViews>
    <workbookView xWindow="0" yWindow="500" windowWidth="28800" windowHeight="17500" xr2:uid="{DF53930C-32E9-E348-BD86-DB0976DA215E}"/>
  </bookViews>
  <sheets>
    <sheet name="Sheet1" sheetId="1" r:id="rId1"/>
    <sheet name="Анализ результатов" sheetId="12" r:id="rId2"/>
    <sheet name="Данные по авиапарку" sheetId="2" r:id="rId3"/>
    <sheet name="Рейсы" sheetId="3" r:id="rId4"/>
    <sheet name="Оптимизация рейсов" sheetId="7" r:id="rId5"/>
    <sheet name="Initial data" sheetId="9" r:id="rId6"/>
    <sheet name="Cycles added" sheetId="10" r:id="rId7"/>
    <sheet name="New data" sheetId="11" r:id="rId8"/>
  </sheets>
  <definedNames>
    <definedName name="depreciation_rate">'Данные по авиапарку'!$P$19</definedName>
    <definedName name="fuel_pric">'Данные по авиапарку'!$I$19</definedName>
    <definedName name="fuel_price">'Данные по авиапарку'!$I$19</definedName>
    <definedName name="fuel_price2">'Данные по авиапарку'!$I$19</definedName>
    <definedName name="inf_usa">'Данные по авиапарку'!$N$19</definedName>
    <definedName name="Lising_pay">'Данные по авиапарку'!$G$14</definedName>
    <definedName name="Loss_flights">Рейсы!#REF!</definedName>
    <definedName name="Loss_int">Рейсы!#REF!</definedName>
    <definedName name="loss_ru">Рейсы!#REF!</definedName>
    <definedName name="maintanance_hour320">'Данные по авиапарку'!$I$21</definedName>
    <definedName name="maintanance_hour330">'Данные по авиапарку'!$I$22</definedName>
    <definedName name="maintanance_hour330neo">'Данные по авиапарку'!$I$23</definedName>
    <definedName name="mult_19_21">Sheet1!$B$5</definedName>
    <definedName name="mult_1921">Sheet1!$B$5</definedName>
    <definedName name="profit_flights">Рейсы!#REF!</definedName>
    <definedName name="profit_int">Рейсы!#REF!</definedName>
    <definedName name="profit_inter">Рейсы!#REF!</definedName>
    <definedName name="profit_ru">Рейсы!#REF!</definedName>
    <definedName name="solver_adj" localSheetId="0" hidden="1">Sheet1!$N$3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itr" localSheetId="0" hidden="1">2147483647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0</definedName>
    <definedName name="solver_num" localSheetId="1" hidden="1">0</definedName>
    <definedName name="solver_opt" localSheetId="0" hidden="1">Sheet1!#REF!</definedName>
    <definedName name="solver_opt" localSheetId="1" hidden="1">'Анализ результатов'!#REF!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  <definedName name="spend_intrnational">#REF!</definedName>
    <definedName name="spend_rus">#REF!</definedName>
    <definedName name="usd">Sheet1!$C$16</definedName>
    <definedName name="usd_dynamics">Sheet1!$B$2</definedName>
    <definedName name="внутр_рейсы">Рейсы!$B$38</definedName>
    <definedName name="зп">Рейсы!#REF!</definedName>
    <definedName name="зп_int">Рейсы!#REF!</definedName>
    <definedName name="зп_ru">Рейсы!#REF!</definedName>
    <definedName name="международ_рейсы">Рейсы!$B$39</definedName>
    <definedName name="новые_рейсы">Рейсы!$B$40</definedName>
    <definedName name="расход_топлива">Рейсы!#REF!</definedName>
    <definedName name="цена_топлива">Sheet1!$F$3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H19" i="1"/>
  <c r="G19" i="1"/>
  <c r="F19" i="1"/>
  <c r="E19" i="1"/>
  <c r="D19" i="1"/>
  <c r="D25" i="1" s="1"/>
  <c r="E25" i="1"/>
  <c r="H23" i="2"/>
  <c r="G23" i="2"/>
  <c r="F23" i="2"/>
  <c r="E23" i="2"/>
  <c r="D23" i="2"/>
  <c r="C23" i="2"/>
  <c r="H22" i="2"/>
  <c r="G22" i="2"/>
  <c r="F22" i="2"/>
  <c r="E22" i="2"/>
  <c r="D22" i="2"/>
  <c r="C22" i="2"/>
  <c r="H21" i="2"/>
  <c r="G21" i="2"/>
  <c r="F21" i="2"/>
  <c r="E21" i="2"/>
  <c r="D21" i="2"/>
  <c r="C21" i="2"/>
  <c r="I12" i="3"/>
  <c r="G12" i="3"/>
  <c r="G15" i="3"/>
  <c r="G14" i="3"/>
  <c r="G13" i="3"/>
  <c r="J22" i="3"/>
  <c r="F16" i="3"/>
  <c r="W16" i="3" s="1"/>
  <c r="M16" i="3"/>
  <c r="N16" i="3"/>
  <c r="G24" i="2" l="1"/>
  <c r="D24" i="2"/>
  <c r="H24" i="2"/>
  <c r="F24" i="2"/>
  <c r="C24" i="2"/>
  <c r="C25" i="2" s="1"/>
  <c r="E24" i="2"/>
  <c r="J21" i="3"/>
  <c r="H4" i="3"/>
  <c r="H31" i="3"/>
  <c r="H23" i="3"/>
  <c r="H11" i="3"/>
  <c r="J30" i="3"/>
  <c r="H2" i="3"/>
  <c r="H3" i="3"/>
  <c r="P3" i="3" s="1"/>
  <c r="H30" i="3"/>
  <c r="H22" i="3"/>
  <c r="H12" i="3"/>
  <c r="J29" i="3"/>
  <c r="H10" i="3"/>
  <c r="H13" i="3"/>
  <c r="H29" i="3"/>
  <c r="H21" i="3"/>
  <c r="J12" i="3"/>
  <c r="J28" i="3"/>
  <c r="J20" i="3"/>
  <c r="H9" i="3"/>
  <c r="H14" i="3"/>
  <c r="H28" i="3"/>
  <c r="H20" i="3"/>
  <c r="J6" i="3"/>
  <c r="J27" i="3"/>
  <c r="J19" i="3"/>
  <c r="H8" i="3"/>
  <c r="H15" i="3"/>
  <c r="H27" i="3"/>
  <c r="H19" i="3"/>
  <c r="J34" i="3"/>
  <c r="J26" i="3"/>
  <c r="J18" i="3"/>
  <c r="H7" i="3"/>
  <c r="H34" i="3"/>
  <c r="H26" i="3"/>
  <c r="H18" i="3"/>
  <c r="J33" i="3"/>
  <c r="J25" i="3"/>
  <c r="J17" i="3"/>
  <c r="H6" i="3"/>
  <c r="H33" i="3"/>
  <c r="H25" i="3"/>
  <c r="H17" i="3"/>
  <c r="J32" i="3"/>
  <c r="J24" i="3"/>
  <c r="J16" i="3"/>
  <c r="H5" i="3"/>
  <c r="H32" i="3"/>
  <c r="H24" i="3"/>
  <c r="H16" i="3"/>
  <c r="J31" i="3"/>
  <c r="J23" i="3"/>
  <c r="J7" i="3"/>
  <c r="P16" i="3"/>
  <c r="Y16" i="3"/>
  <c r="X16" i="3"/>
  <c r="W32" i="3" l="1"/>
  <c r="B4" i="11"/>
  <c r="B19" i="11"/>
  <c r="B2" i="10"/>
  <c r="C2" i="10"/>
  <c r="G2" i="10" s="1"/>
  <c r="D2" i="10"/>
  <c r="E2" i="10"/>
  <c r="B3" i="10"/>
  <c r="C3" i="10"/>
  <c r="D3" i="10"/>
  <c r="E3" i="10"/>
  <c r="B4" i="10"/>
  <c r="C4" i="10"/>
  <c r="G4" i="10" s="1"/>
  <c r="B6" i="11" s="1"/>
  <c r="D4" i="10"/>
  <c r="E4" i="10"/>
  <c r="B5" i="10"/>
  <c r="C5" i="10"/>
  <c r="D5" i="10"/>
  <c r="E5" i="10"/>
  <c r="K2" i="9"/>
  <c r="K3" i="9"/>
  <c r="K4" i="9"/>
  <c r="K5" i="9"/>
  <c r="K6" i="9"/>
  <c r="K7" i="9"/>
  <c r="K8" i="9"/>
  <c r="K9" i="9"/>
  <c r="K10" i="9"/>
  <c r="K11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Y32" i="3"/>
  <c r="Y33" i="3"/>
  <c r="Y34" i="3"/>
  <c r="X32" i="3"/>
  <c r="X33" i="3"/>
  <c r="X34" i="3"/>
  <c r="W33" i="3"/>
  <c r="W34" i="3"/>
  <c r="P33" i="3"/>
  <c r="P32" i="3"/>
  <c r="P34" i="3"/>
  <c r="D12" i="1"/>
  <c r="E12" i="1"/>
  <c r="F12" i="1"/>
  <c r="G12" i="1"/>
  <c r="H12" i="1"/>
  <c r="D16" i="1"/>
  <c r="E16" i="1"/>
  <c r="E17" i="1" s="1"/>
  <c r="F16" i="1"/>
  <c r="G16" i="1"/>
  <c r="H16" i="1"/>
  <c r="H3" i="2"/>
  <c r="H8" i="2"/>
  <c r="H9" i="2"/>
  <c r="H10" i="2"/>
  <c r="H11" i="2"/>
  <c r="H2" i="2"/>
  <c r="G14" i="2"/>
  <c r="M5" i="2"/>
  <c r="M6" i="2"/>
  <c r="O6" i="2" s="1"/>
  <c r="M7" i="2"/>
  <c r="O7" i="2" s="1"/>
  <c r="M12" i="2"/>
  <c r="O12" i="2" s="1"/>
  <c r="P12" i="2" s="1"/>
  <c r="M13" i="2"/>
  <c r="O13" i="2" s="1"/>
  <c r="P13" i="2" s="1"/>
  <c r="M4" i="2"/>
  <c r="F17" i="3"/>
  <c r="M17" i="3"/>
  <c r="N17" i="3"/>
  <c r="F18" i="3"/>
  <c r="Y18" i="3" s="1"/>
  <c r="M18" i="3"/>
  <c r="N18" i="3"/>
  <c r="F19" i="3"/>
  <c r="Y19" i="3" s="1"/>
  <c r="M19" i="3"/>
  <c r="N19" i="3"/>
  <c r="F20" i="3"/>
  <c r="Y20" i="3" s="1"/>
  <c r="M20" i="3"/>
  <c r="N20" i="3"/>
  <c r="F21" i="3"/>
  <c r="Y21" i="3" s="1"/>
  <c r="M21" i="3"/>
  <c r="N21" i="3"/>
  <c r="F22" i="3"/>
  <c r="M22" i="3"/>
  <c r="N22" i="3"/>
  <c r="F23" i="3"/>
  <c r="Y23" i="3" s="1"/>
  <c r="M23" i="3"/>
  <c r="N23" i="3"/>
  <c r="F24" i="3"/>
  <c r="Y24" i="3" s="1"/>
  <c r="M24" i="3"/>
  <c r="N24" i="3"/>
  <c r="F25" i="3"/>
  <c r="Y25" i="3" s="1"/>
  <c r="M25" i="3"/>
  <c r="N25" i="3"/>
  <c r="F26" i="3"/>
  <c r="Y26" i="3" s="1"/>
  <c r="M26" i="3"/>
  <c r="N26" i="3"/>
  <c r="F27" i="3"/>
  <c r="Y27" i="3" s="1"/>
  <c r="M27" i="3"/>
  <c r="N27" i="3"/>
  <c r="F28" i="3"/>
  <c r="Y28" i="3" s="1"/>
  <c r="M28" i="3"/>
  <c r="N28" i="3"/>
  <c r="F29" i="3"/>
  <c r="X29" i="3" s="1"/>
  <c r="M29" i="3"/>
  <c r="N29" i="3"/>
  <c r="F30" i="3"/>
  <c r="Y30" i="3" s="1"/>
  <c r="M30" i="3"/>
  <c r="N30" i="3"/>
  <c r="F31" i="3"/>
  <c r="Y31" i="3" s="1"/>
  <c r="M31" i="3"/>
  <c r="N31" i="3"/>
  <c r="H17" i="1" l="1"/>
  <c r="H25" i="2"/>
  <c r="G17" i="1"/>
  <c r="G25" i="2"/>
  <c r="F17" i="1"/>
  <c r="F25" i="2"/>
  <c r="D17" i="1"/>
  <c r="D25" i="2"/>
  <c r="E25" i="2"/>
  <c r="P6" i="2"/>
  <c r="Q6" i="2" s="1"/>
  <c r="R6" i="2" s="1"/>
  <c r="S6" i="2" s="1"/>
  <c r="Q13" i="2"/>
  <c r="R13" i="2" s="1"/>
  <c r="S13" i="2" s="1"/>
  <c r="T13" i="2" s="1"/>
  <c r="P7" i="2"/>
  <c r="Q7" i="2" s="1"/>
  <c r="R7" i="2" s="1"/>
  <c r="S7" i="2" s="1"/>
  <c r="T7" i="2" s="1"/>
  <c r="K2" i="2"/>
  <c r="B14" i="11"/>
  <c r="B7" i="11"/>
  <c r="B21" i="11" s="1"/>
  <c r="B20" i="11"/>
  <c r="G3" i="10"/>
  <c r="B11" i="11" s="1"/>
  <c r="B2" i="11"/>
  <c r="B16" i="11" s="1"/>
  <c r="G5" i="10"/>
  <c r="B3" i="11" s="1"/>
  <c r="W17" i="3"/>
  <c r="Y22" i="3"/>
  <c r="T6" i="2"/>
  <c r="Q12" i="2"/>
  <c r="R12" i="2" s="1"/>
  <c r="S12" i="2" s="1"/>
  <c r="T12" i="2" s="1"/>
  <c r="P5" i="2"/>
  <c r="O5" i="2"/>
  <c r="Q5" i="2"/>
  <c r="R5" i="2" s="1"/>
  <c r="S5" i="2" s="1"/>
  <c r="T5" i="2" s="1"/>
  <c r="O4" i="2"/>
  <c r="P4" i="2"/>
  <c r="Q4" i="2"/>
  <c r="R4" i="2" s="1"/>
  <c r="S4" i="2" s="1"/>
  <c r="D40" i="3"/>
  <c r="C40" i="3"/>
  <c r="E40" i="3"/>
  <c r="X26" i="3"/>
  <c r="W28" i="3"/>
  <c r="X18" i="3"/>
  <c r="X17" i="3"/>
  <c r="X24" i="3"/>
  <c r="Y29" i="3"/>
  <c r="X31" i="3"/>
  <c r="X23" i="3"/>
  <c r="X22" i="3"/>
  <c r="X25" i="3"/>
  <c r="X30" i="3"/>
  <c r="X21" i="3"/>
  <c r="X28" i="3"/>
  <c r="X20" i="3"/>
  <c r="X27" i="3"/>
  <c r="X19" i="3"/>
  <c r="H14" i="2"/>
  <c r="B40" i="3"/>
  <c r="W20" i="3"/>
  <c r="Y17" i="3"/>
  <c r="W24" i="3"/>
  <c r="W27" i="3"/>
  <c r="W19" i="3"/>
  <c r="W18" i="3"/>
  <c r="W25" i="3"/>
  <c r="W29" i="3"/>
  <c r="W21" i="3"/>
  <c r="W26" i="3"/>
  <c r="W31" i="3"/>
  <c r="W23" i="3"/>
  <c r="W30" i="3"/>
  <c r="W22" i="3"/>
  <c r="P28" i="3"/>
  <c r="P20" i="3"/>
  <c r="P30" i="3"/>
  <c r="P22" i="3"/>
  <c r="P23" i="3"/>
  <c r="P19" i="3"/>
  <c r="P31" i="3"/>
  <c r="P24" i="3"/>
  <c r="P26" i="3"/>
  <c r="P18" i="3"/>
  <c r="P27" i="3"/>
  <c r="P29" i="3"/>
  <c r="P25" i="3"/>
  <c r="P21" i="3"/>
  <c r="P17" i="3"/>
  <c r="K17" i="2"/>
  <c r="B18" i="11" l="1"/>
  <c r="B9" i="11"/>
  <c r="B22" i="11" s="1"/>
  <c r="B15" i="11"/>
  <c r="B13" i="11"/>
  <c r="B12" i="11"/>
  <c r="B17" i="11" s="1"/>
  <c r="B23" i="11"/>
  <c r="P14" i="2"/>
  <c r="T4" i="2"/>
  <c r="T14" i="2" s="1"/>
  <c r="H29" i="1" s="1"/>
  <c r="S14" i="2"/>
  <c r="G28" i="1"/>
  <c r="G35" i="1" s="1"/>
  <c r="D28" i="1"/>
  <c r="D35" i="1" s="1"/>
  <c r="C39" i="3"/>
  <c r="D39" i="3"/>
  <c r="E39" i="3"/>
  <c r="F28" i="1"/>
  <c r="F35" i="1" s="1"/>
  <c r="E28" i="1"/>
  <c r="E35" i="1" s="1"/>
  <c r="C28" i="1"/>
  <c r="C35" i="1" s="1"/>
  <c r="H28" i="1"/>
  <c r="H35" i="1" s="1"/>
  <c r="B39" i="3"/>
  <c r="G23" i="1" s="1"/>
  <c r="O14" i="2"/>
  <c r="R14" i="2"/>
  <c r="S15" i="2"/>
  <c r="Q14" i="2"/>
  <c r="E29" i="1" s="1"/>
  <c r="N7" i="3"/>
  <c r="N6" i="3"/>
  <c r="M11" i="3"/>
  <c r="M10" i="3"/>
  <c r="M9" i="3"/>
  <c r="M8" i="3"/>
  <c r="M7" i="3"/>
  <c r="M6" i="3"/>
  <c r="M5" i="3"/>
  <c r="M4" i="3"/>
  <c r="M3" i="3"/>
  <c r="M2" i="3"/>
  <c r="F11" i="3"/>
  <c r="F15" i="3" s="1"/>
  <c r="F10" i="3"/>
  <c r="F9" i="3"/>
  <c r="F8" i="3"/>
  <c r="K48" i="7"/>
  <c r="K46" i="7"/>
  <c r="K44" i="7"/>
  <c r="K42" i="7"/>
  <c r="K40" i="7"/>
  <c r="K38" i="7"/>
  <c r="K36" i="7"/>
  <c r="K34" i="7"/>
  <c r="K32" i="7"/>
  <c r="K30" i="7"/>
  <c r="K28" i="7"/>
  <c r="K26" i="7"/>
  <c r="K24" i="7"/>
  <c r="K22" i="7"/>
  <c r="K20" i="7"/>
  <c r="K18" i="7"/>
  <c r="K11" i="7"/>
  <c r="K10" i="7"/>
  <c r="K9" i="7"/>
  <c r="K8" i="7"/>
  <c r="K7" i="7"/>
  <c r="F7" i="3" s="1"/>
  <c r="K6" i="7"/>
  <c r="F6" i="3" s="1"/>
  <c r="K5" i="7"/>
  <c r="F5" i="3" s="1"/>
  <c r="K4" i="7"/>
  <c r="F4" i="3" s="1"/>
  <c r="K3" i="7"/>
  <c r="F3" i="3" s="1"/>
  <c r="K2" i="7"/>
  <c r="F2" i="3" s="1"/>
  <c r="X2" i="3" s="1"/>
  <c r="F29" i="1" l="1"/>
  <c r="P15" i="2"/>
  <c r="D29" i="1"/>
  <c r="G29" i="1"/>
  <c r="P6" i="3"/>
  <c r="P5" i="3"/>
  <c r="F12" i="3"/>
  <c r="Y12" i="3" s="1"/>
  <c r="X15" i="3"/>
  <c r="W15" i="3"/>
  <c r="Y15" i="3"/>
  <c r="P15" i="3"/>
  <c r="H23" i="1"/>
  <c r="F23" i="1"/>
  <c r="R15" i="2"/>
  <c r="T15" i="2"/>
  <c r="T16" i="2" s="1"/>
  <c r="H36" i="1" s="1"/>
  <c r="O15" i="2"/>
  <c r="Q15" i="2"/>
  <c r="F14" i="3"/>
  <c r="F13" i="3"/>
  <c r="E23" i="1"/>
  <c r="C23" i="1"/>
  <c r="D23" i="1"/>
  <c r="P2" i="3"/>
  <c r="Y9" i="3"/>
  <c r="X9" i="3"/>
  <c r="Y10" i="3"/>
  <c r="X10" i="3"/>
  <c r="Y5" i="3"/>
  <c r="X5" i="3"/>
  <c r="Y6" i="3"/>
  <c r="X6" i="3"/>
  <c r="X7" i="3"/>
  <c r="Y7" i="3"/>
  <c r="X11" i="3"/>
  <c r="Y11" i="3"/>
  <c r="Y2" i="3"/>
  <c r="X3" i="3"/>
  <c r="Y3" i="3"/>
  <c r="X4" i="3"/>
  <c r="Y4" i="3"/>
  <c r="X8" i="3"/>
  <c r="Y8" i="3"/>
  <c r="W7" i="3"/>
  <c r="W9" i="3"/>
  <c r="K13" i="2"/>
  <c r="W10" i="3"/>
  <c r="W11" i="3"/>
  <c r="W2" i="3"/>
  <c r="K9" i="2"/>
  <c r="W5" i="3"/>
  <c r="W6" i="3"/>
  <c r="W3" i="3"/>
  <c r="W4" i="3"/>
  <c r="W8" i="3"/>
  <c r="K10" i="2"/>
  <c r="K12" i="2"/>
  <c r="K8" i="2"/>
  <c r="P11" i="3"/>
  <c r="P8" i="3"/>
  <c r="K11" i="2"/>
  <c r="K3" i="2"/>
  <c r="K6" i="2"/>
  <c r="K7" i="2"/>
  <c r="P7" i="3"/>
  <c r="P10" i="3"/>
  <c r="P4" i="3"/>
  <c r="P9" i="3"/>
  <c r="Q16" i="2" l="1"/>
  <c r="E36" i="1" s="1"/>
  <c r="P12" i="3"/>
  <c r="X12" i="3"/>
  <c r="W12" i="3"/>
  <c r="X13" i="3"/>
  <c r="P13" i="3"/>
  <c r="W13" i="3"/>
  <c r="C38" i="3" s="1"/>
  <c r="Y13" i="3"/>
  <c r="D38" i="3" s="1"/>
  <c r="H37" i="1"/>
  <c r="E37" i="1"/>
  <c r="X14" i="3"/>
  <c r="Y14" i="3"/>
  <c r="W14" i="3"/>
  <c r="P14" i="3"/>
  <c r="F37" i="1"/>
  <c r="G37" i="1"/>
  <c r="D37" i="1"/>
  <c r="C37" i="1"/>
  <c r="P16" i="2"/>
  <c r="R16" i="2"/>
  <c r="F36" i="1" s="1"/>
  <c r="S16" i="2"/>
  <c r="G36" i="1" s="1"/>
  <c r="E38" i="3" l="1"/>
  <c r="C27" i="1" s="1"/>
  <c r="B38" i="3"/>
  <c r="H22" i="1" s="1"/>
  <c r="H21" i="1" s="1"/>
  <c r="H33" i="1" s="1"/>
  <c r="C26" i="1"/>
  <c r="E26" i="1"/>
  <c r="D26" i="1"/>
  <c r="H26" i="1"/>
  <c r="F26" i="1"/>
  <c r="P18" i="2"/>
  <c r="D36" i="1"/>
  <c r="G26" i="1"/>
  <c r="G27" i="1"/>
  <c r="F27" i="1"/>
  <c r="D27" i="1"/>
  <c r="H27" i="1"/>
  <c r="E27" i="1"/>
  <c r="C25" i="1"/>
  <c r="G25" i="1"/>
  <c r="H25" i="1"/>
  <c r="F25" i="1"/>
  <c r="F22" i="1" l="1"/>
  <c r="F21" i="1" s="1"/>
  <c r="F33" i="1" s="1"/>
  <c r="E22" i="1"/>
  <c r="E21" i="1" s="1"/>
  <c r="E33" i="1" s="1"/>
  <c r="G22" i="1"/>
  <c r="G21" i="1" s="1"/>
  <c r="G33" i="1" s="1"/>
  <c r="C22" i="1"/>
  <c r="C21" i="1" s="1"/>
  <c r="C33" i="1" s="1"/>
  <c r="D22" i="1"/>
  <c r="D21" i="1" s="1"/>
  <c r="D33" i="1" s="1"/>
  <c r="C24" i="1"/>
  <c r="C34" i="1" s="1"/>
  <c r="G24" i="1"/>
  <c r="G34" i="1" s="1"/>
  <c r="E24" i="1"/>
  <c r="E34" i="1" s="1"/>
  <c r="F24" i="1"/>
  <c r="F34" i="1" s="1"/>
  <c r="D24" i="1"/>
  <c r="D34" i="1" s="1"/>
  <c r="H24" i="1"/>
  <c r="H34" i="1" s="1"/>
  <c r="H40" i="1" s="1"/>
  <c r="F39" i="1" l="1"/>
  <c r="E39" i="1"/>
  <c r="G40" i="1"/>
  <c r="G44" i="1" s="1"/>
  <c r="C40" i="1"/>
  <c r="C44" i="1" s="1"/>
  <c r="D39" i="1"/>
  <c r="H39" i="1"/>
  <c r="G39" i="1"/>
  <c r="E40" i="1"/>
  <c r="E44" i="1" s="1"/>
  <c r="D40" i="1"/>
  <c r="D42" i="1" s="1"/>
  <c r="F40" i="1"/>
  <c r="F42" i="1" s="1"/>
  <c r="H41" i="1"/>
  <c r="H44" i="1"/>
  <c r="H42" i="1"/>
  <c r="C41" i="1" l="1"/>
  <c r="G42" i="1"/>
  <c r="G41" i="1"/>
  <c r="C42" i="1"/>
  <c r="C45" i="1"/>
  <c r="D41" i="1"/>
  <c r="D44" i="1"/>
  <c r="E42" i="1"/>
  <c r="E41" i="1"/>
  <c r="E45" i="1" s="1"/>
  <c r="C47" i="1"/>
  <c r="F44" i="1"/>
  <c r="F41" i="1"/>
  <c r="H45" i="1"/>
  <c r="G45" i="1"/>
  <c r="D45" i="1" l="1"/>
  <c r="F45" i="1"/>
</calcChain>
</file>

<file path=xl/sharedStrings.xml><?xml version="1.0" encoding="utf-8"?>
<sst xmlns="http://schemas.openxmlformats.org/spreadsheetml/2006/main" count="372" uniqueCount="182">
  <si>
    <t xml:space="preserve">Aerobus 330neo </t>
  </si>
  <si>
    <t xml:space="preserve">ШФ </t>
  </si>
  <si>
    <t xml:space="preserve">Лизинг </t>
  </si>
  <si>
    <t xml:space="preserve">ожидаются в 2023 </t>
  </si>
  <si>
    <t xml:space="preserve">- </t>
  </si>
  <si>
    <t xml:space="preserve">Aerobus 330 </t>
  </si>
  <si>
    <t xml:space="preserve">В собственности </t>
  </si>
  <si>
    <t xml:space="preserve">Aerobus 320 </t>
  </si>
  <si>
    <t xml:space="preserve">УФ </t>
  </si>
  <si>
    <t xml:space="preserve">Условный # ВС </t>
  </si>
  <si>
    <t xml:space="preserve">Кол-во кресел эконом класса </t>
  </si>
  <si>
    <t xml:space="preserve">Кол-во кресел бизнес класса </t>
  </si>
  <si>
    <t>Марка</t>
  </si>
  <si>
    <t>Фюзеляж</t>
  </si>
  <si>
    <t>№</t>
  </si>
  <si>
    <t>Возраст</t>
  </si>
  <si>
    <t xml:space="preserve">Форма владени </t>
  </si>
  <si>
    <t>Суммарная стоимость лизинга</t>
  </si>
  <si>
    <t xml:space="preserve">Направление </t>
  </si>
  <si>
    <t xml:space="preserve">ВС </t>
  </si>
  <si>
    <t xml:space="preserve">Средняя длительно сть рейса, часов </t>
  </si>
  <si>
    <t xml:space="preserve">Кол-во рейсов в год (в одну сторону) </t>
  </si>
  <si>
    <t xml:space="preserve">Кол-во кресел эконом </t>
  </si>
  <si>
    <t xml:space="preserve">Кол-во кресел БК </t>
  </si>
  <si>
    <t xml:space="preserve">Загрузка эконом </t>
  </si>
  <si>
    <t xml:space="preserve">Загрузка БК </t>
  </si>
  <si>
    <t xml:space="preserve">Доп. выручка, руб </t>
  </si>
  <si>
    <t xml:space="preserve">Москва - Санкт-Петербург </t>
  </si>
  <si>
    <t xml:space="preserve">А320 </t>
  </si>
  <si>
    <t xml:space="preserve">Москва- Минеральные воды </t>
  </si>
  <si>
    <t xml:space="preserve">Москва - Сочи </t>
  </si>
  <si>
    <t xml:space="preserve">Москва - Краснодар </t>
  </si>
  <si>
    <t xml:space="preserve">Москва - Новосибирск </t>
  </si>
  <si>
    <t xml:space="preserve">Москва - Красноярск </t>
  </si>
  <si>
    <t xml:space="preserve">Москва- Уфа </t>
  </si>
  <si>
    <t xml:space="preserve">Москва - Екатеринбург </t>
  </si>
  <si>
    <t xml:space="preserve">Москва - Саратов </t>
  </si>
  <si>
    <t xml:space="preserve">Москва - Калиниград </t>
  </si>
  <si>
    <t xml:space="preserve">Москва - Варадеро </t>
  </si>
  <si>
    <t xml:space="preserve">Москва - Пунтакана </t>
  </si>
  <si>
    <t xml:space="preserve">Москва - Гавана </t>
  </si>
  <si>
    <t xml:space="preserve">Москва - Мале </t>
  </si>
  <si>
    <t xml:space="preserve">Москва - Сингапур </t>
  </si>
  <si>
    <t xml:space="preserve">Моска - Дубай </t>
  </si>
  <si>
    <t xml:space="preserve">Моска - Доха </t>
  </si>
  <si>
    <t xml:space="preserve">Москва - Шри-Ланка </t>
  </si>
  <si>
    <t xml:space="preserve">Москва - Паттайя </t>
  </si>
  <si>
    <t xml:space="preserve">Моква - Пхукет </t>
  </si>
  <si>
    <t xml:space="preserve">Москва - Хургада </t>
  </si>
  <si>
    <t xml:space="preserve">Москва - Шарм эль Шейх </t>
  </si>
  <si>
    <t xml:space="preserve">Москва - Анталья </t>
  </si>
  <si>
    <t xml:space="preserve">Москва - Белек </t>
  </si>
  <si>
    <t xml:space="preserve">Москва - Кемер </t>
  </si>
  <si>
    <t xml:space="preserve">Москва - Бодрум </t>
  </si>
  <si>
    <t xml:space="preserve">Аэропортовые сборы за рейс </t>
  </si>
  <si>
    <t xml:space="preserve">Средняя ставка пилота в час </t>
  </si>
  <si>
    <t xml:space="preserve">Количество пилотов на рейс </t>
  </si>
  <si>
    <t xml:space="preserve">Средняя ставка стюардов в час </t>
  </si>
  <si>
    <t xml:space="preserve">Количество стюардов на рейс </t>
  </si>
  <si>
    <t>Год</t>
  </si>
  <si>
    <t>PV</t>
  </si>
  <si>
    <t>Расход керосина, кг/час</t>
  </si>
  <si>
    <t>Международные авиаперевозки</t>
  </si>
  <si>
    <t>Сумма по направлениям</t>
  </si>
  <si>
    <t>Внутренние рейсы</t>
  </si>
  <si>
    <t>В воздухе в год, часов</t>
  </si>
  <si>
    <t>(Всего в году 8760 часов)</t>
  </si>
  <si>
    <t>Маршрут</t>
  </si>
  <si>
    <t>кол-ов рейсов(в одну сторону)</t>
  </si>
  <si>
    <t>кол-во мест эконом</t>
  </si>
  <si>
    <t>кол-во мест бизнес</t>
  </si>
  <si>
    <t>цена эконом</t>
  </si>
  <si>
    <t>цена бизнес</t>
  </si>
  <si>
    <t>загруженность эконома старая</t>
  </si>
  <si>
    <t>загруженность бизнес старая</t>
  </si>
  <si>
    <t>новая загруженность эконома</t>
  </si>
  <si>
    <t>новая загруженность бизнес</t>
  </si>
  <si>
    <t>оптимальное количество рейсов</t>
  </si>
  <si>
    <t>Москва - Санкт-Петербург</t>
  </si>
  <si>
    <t>Москва- Минеральные воды</t>
  </si>
  <si>
    <t>Москва - Сочи</t>
  </si>
  <si>
    <t>Москва - Краснодар</t>
  </si>
  <si>
    <t>Москва - Новосибирск</t>
  </si>
  <si>
    <t>Москва - Красноярск</t>
  </si>
  <si>
    <t>Москва- Уфа</t>
  </si>
  <si>
    <t>Москва - Екатеринбург</t>
  </si>
  <si>
    <t>Москва - Саратов</t>
  </si>
  <si>
    <t>Москва - Калиниград</t>
  </si>
  <si>
    <t>Международные рейсы</t>
  </si>
  <si>
    <t>Москва - Варадеро</t>
  </si>
  <si>
    <t>Москва - Пунтакана</t>
  </si>
  <si>
    <t>Москва - Гавана</t>
  </si>
  <si>
    <t>Москва - Мале</t>
  </si>
  <si>
    <t>Москва - Сингапур</t>
  </si>
  <si>
    <t>Моска - Дубай</t>
  </si>
  <si>
    <t>Моска - Доха</t>
  </si>
  <si>
    <t>Москва - Шри-Ланка</t>
  </si>
  <si>
    <t>Москва - Паттайя</t>
  </si>
  <si>
    <t>Моква - Пхукет</t>
  </si>
  <si>
    <t>Москва - Хургада</t>
  </si>
  <si>
    <t>Москва - Анталья</t>
  </si>
  <si>
    <t>Москва - Белек</t>
  </si>
  <si>
    <t>Москва - Кемер</t>
  </si>
  <si>
    <t>Москва - Бодрум</t>
  </si>
  <si>
    <t>Чисто зп</t>
  </si>
  <si>
    <t>a320</t>
  </si>
  <si>
    <t>a330</t>
  </si>
  <si>
    <t>Не больше чем</t>
  </si>
  <si>
    <t>Курс доллара</t>
  </si>
  <si>
    <t>Sum</t>
  </si>
  <si>
    <t>Изменение</t>
  </si>
  <si>
    <t>инфляция США</t>
  </si>
  <si>
    <t>Цена в долларах (с учетом обесценивания)</t>
  </si>
  <si>
    <t>Срок до погашения, лет</t>
  </si>
  <si>
    <t>Доходность, % годовых</t>
  </si>
  <si>
    <t>Цена нового в рублях на 27.12.21</t>
  </si>
  <si>
    <t>Цена нового в $</t>
  </si>
  <si>
    <t>Обесценивание за 5 лет</t>
  </si>
  <si>
    <t>Прибыль</t>
  </si>
  <si>
    <t>Налоги</t>
  </si>
  <si>
    <t>Обесценивание активов</t>
  </si>
  <si>
    <t>EBITDA</t>
  </si>
  <si>
    <t>Cтоимость лизинга в год, $</t>
  </si>
  <si>
    <t>Цена компании через EBITDA</t>
  </si>
  <si>
    <t>TV</t>
  </si>
  <si>
    <t>Форвардные ставки</t>
  </si>
  <si>
    <t>Прогнозируемый рост компании</t>
  </si>
  <si>
    <t>Лизинг</t>
  </si>
  <si>
    <t>Траты на полеты</t>
  </si>
  <si>
    <t>wacc</t>
  </si>
  <si>
    <t>-</t>
  </si>
  <si>
    <t>EBITDA Margin</t>
  </si>
  <si>
    <t>EBITDA Multiple</t>
  </si>
  <si>
    <t>TV/Company price</t>
  </si>
  <si>
    <t>Топливо</t>
  </si>
  <si>
    <t>Зп</t>
  </si>
  <si>
    <t>Итого топлива</t>
  </si>
  <si>
    <t>Цена топлива</t>
  </si>
  <si>
    <t>Год владения</t>
  </si>
  <si>
    <t>Aerobus 330neo</t>
  </si>
  <si>
    <t>Москва - Паттайя</t>
  </si>
  <si>
    <t>С 2023</t>
  </si>
  <si>
    <t>Сборы</t>
  </si>
  <si>
    <t>Минеральные воды - Екатеринбург</t>
  </si>
  <si>
    <t>Москва - 
Минеральные воды -
Екатеринбург</t>
  </si>
  <si>
    <t>Новосибирск - Красноярск</t>
  </si>
  <si>
    <t>Москва - 
Новосибирск -
Красноярск</t>
  </si>
  <si>
    <t>Калининград - Санкт-Петербург</t>
  </si>
  <si>
    <t>Москва -
Калининград -
Санкт-Петербург</t>
  </si>
  <si>
    <t>Санкт-Петербург - Сочи</t>
  </si>
  <si>
    <t>Москва -
Санкт-Петербург -
Сочи</t>
  </si>
  <si>
    <t>Ребро 3, рейсы</t>
  </si>
  <si>
    <t>Ребро 3, маршрут</t>
  </si>
  <si>
    <t>Ребро 2, рейсы</t>
  </si>
  <si>
    <t>Ребро 2, маршрут</t>
  </si>
  <si>
    <t>Ребро 1, рейсы</t>
  </si>
  <si>
    <t>Ребро 1, маршрут</t>
  </si>
  <si>
    <t>В цикле</t>
  </si>
  <si>
    <t>Взято по средней цене из гугла</t>
  </si>
  <si>
    <t>Израсходовано керосина</t>
  </si>
  <si>
    <t>ЗП</t>
  </si>
  <si>
    <t>A320</t>
  </si>
  <si>
    <t>Depreciation rate</t>
  </si>
  <si>
    <t>a330neo</t>
  </si>
  <si>
    <t>Мультипликатор 2019-2021</t>
  </si>
  <si>
    <t xml:space="preserve">Ср. стоимость билета эконом 2019 </t>
  </si>
  <si>
    <t>Ср. стоимость билета эконом 2021</t>
  </si>
  <si>
    <t>Ср. стоимость билета БК, 2021</t>
  </si>
  <si>
    <t>Ср. стоимость билета БК, 2019</t>
  </si>
  <si>
    <t>Выручка от полетов</t>
  </si>
  <si>
    <t>NPV</t>
  </si>
  <si>
    <t>Средняя цена обслуживания самолета, $/час</t>
  </si>
  <si>
    <t>Обслуживание самолетов</t>
  </si>
  <si>
    <t>Обслуживание авиапарка</t>
  </si>
  <si>
    <t>Итого, $</t>
  </si>
  <si>
    <t>Итого, RUB</t>
  </si>
  <si>
    <t>Среднегодовая доходность на 2 года в 2019</t>
  </si>
  <si>
    <t>Процентные ставки РФ</t>
  </si>
  <si>
    <t>USD/ RUB</t>
  </si>
  <si>
    <t>Cash flows</t>
  </si>
  <si>
    <t>Рост доллара к рублю</t>
  </si>
  <si>
    <t>Стоимость лизинга в год,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</si>
</sst>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RUB&quot;_-;\-* #,##0.00\ &quot;RUB&quot;_-;_-* &quot;-&quot;??\ &quot;RUB&quot;_-;_-@_-"/>
    <numFmt numFmtId="43" formatCode="_-* #,##0.00_-;\-* #,##0.00_-;_-* &quot;-&quot;??_-;_-@_-"/>
    <numFmt numFmtId="164" formatCode="#,##0.00\ &quot;RUB&quot;"/>
    <numFmt numFmtId="165" formatCode="_-[$$-C09]* #,##0.00_-;\-[$$-C09]* #,##0.00_-;_-[$$-C09]* &quot;-&quot;??_-;_-@_-"/>
    <numFmt numFmtId="166" formatCode="_-[$$-C09]* #,##0_-;\-[$$-C09]* #,##0_-;_-[$$-C09]* &quot;-&quot;??_-;_-@_-"/>
    <numFmt numFmtId="167" formatCode="#,##0\ &quot;RUB&quot;"/>
    <numFmt numFmtId="169" formatCode="0.0"/>
    <numFmt numFmtId="170" formatCode="_-* #,##0_-;\-* #,##0_-;_-* &quot;-&quot;??_-;_-@_-"/>
    <numFmt numFmtId="173" formatCode="_-[$$-4809]* #,##0.00_-;\-[$$-4809]* #,##0.00_-;_-[$$-4809]* &quot;-&quot;??_-;_-@_-"/>
    <numFmt numFmtId="174" formatCode="_-[$$-2009]* #,##0.00_-;\-[$$-2009]* #,##0.00_-;_-[$$-2009]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2B2E33"/>
      <name val="Times New Roman"/>
      <family val="1"/>
    </font>
    <font>
      <sz val="14"/>
      <color rgb="FF333D47"/>
      <name val="Times New Roman"/>
      <family val="1"/>
    </font>
    <font>
      <b/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14"/>
      <color rgb="FF444444"/>
      <name val="Times New Roman"/>
      <family val="1"/>
    </font>
    <font>
      <b/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297">
    <xf numFmtId="0" fontId="0" fillId="0" borderId="0" xfId="0"/>
    <xf numFmtId="0" fontId="3" fillId="0" borderId="4" xfId="0" applyFont="1" applyBorder="1" applyAlignment="1">
      <alignment wrapText="1"/>
    </xf>
    <xf numFmtId="9" fontId="3" fillId="0" borderId="6" xfId="0" applyNumberFormat="1" applyFont="1" applyBorder="1"/>
    <xf numFmtId="0" fontId="3" fillId="0" borderId="0" xfId="0" applyFont="1"/>
    <xf numFmtId="0" fontId="3" fillId="0" borderId="7" xfId="0" applyFont="1" applyBorder="1" applyAlignment="1">
      <alignment wrapText="1"/>
    </xf>
    <xf numFmtId="9" fontId="3" fillId="0" borderId="8" xfId="0" applyNumberFormat="1" applyFont="1" applyBorder="1"/>
    <xf numFmtId="9" fontId="3" fillId="0" borderId="0" xfId="0" applyNumberFormat="1" applyFont="1" applyBorder="1"/>
    <xf numFmtId="0" fontId="3" fillId="0" borderId="0" xfId="0" applyFont="1" applyAlignment="1">
      <alignment wrapText="1"/>
    </xf>
    <xf numFmtId="9" fontId="3" fillId="0" borderId="0" xfId="0" applyNumberFormat="1" applyFont="1"/>
    <xf numFmtId="0" fontId="4" fillId="0" borderId="7" xfId="0" applyFont="1" applyBorder="1"/>
    <xf numFmtId="9" fontId="4" fillId="0" borderId="8" xfId="2" applyFont="1" applyBorder="1"/>
    <xf numFmtId="0" fontId="3" fillId="0" borderId="7" xfId="0" applyFont="1" applyBorder="1"/>
    <xf numFmtId="10" fontId="5" fillId="0" borderId="8" xfId="0" applyNumberFormat="1" applyFont="1" applyBorder="1" applyAlignment="1"/>
    <xf numFmtId="0" fontId="3" fillId="0" borderId="9" xfId="0" applyFont="1" applyBorder="1"/>
    <xf numFmtId="2" fontId="3" fillId="0" borderId="11" xfId="0" applyNumberFormat="1" applyFont="1" applyBorder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3" fillId="0" borderId="7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6" fillId="0" borderId="8" xfId="0" applyFont="1" applyBorder="1" applyAlignment="1"/>
    <xf numFmtId="0" fontId="5" fillId="0" borderId="7" xfId="0" applyFont="1" applyBorder="1" applyAlignment="1"/>
    <xf numFmtId="0" fontId="5" fillId="0" borderId="1" xfId="0" applyFont="1" applyBorder="1" applyAlignment="1"/>
    <xf numFmtId="0" fontId="3" fillId="0" borderId="1" xfId="0" applyFont="1" applyBorder="1"/>
    <xf numFmtId="0" fontId="3" fillId="0" borderId="8" xfId="0" applyFont="1" applyBorder="1"/>
    <xf numFmtId="9" fontId="5" fillId="0" borderId="1" xfId="2" applyFont="1" applyBorder="1" applyAlignment="1"/>
    <xf numFmtId="10" fontId="5" fillId="0" borderId="1" xfId="2" applyNumberFormat="1" applyFont="1" applyBorder="1"/>
    <xf numFmtId="10" fontId="3" fillId="0" borderId="1" xfId="2" applyNumberFormat="1" applyFont="1" applyBorder="1"/>
    <xf numFmtId="10" fontId="3" fillId="0" borderId="8" xfId="2" applyNumberFormat="1" applyFont="1" applyBorder="1"/>
    <xf numFmtId="9" fontId="3" fillId="0" borderId="10" xfId="0" applyNumberFormat="1" applyFont="1" applyBorder="1"/>
    <xf numFmtId="10" fontId="3" fillId="0" borderId="10" xfId="2" applyNumberFormat="1" applyFont="1" applyBorder="1"/>
    <xf numFmtId="10" fontId="3" fillId="0" borderId="11" xfId="2" applyNumberFormat="1" applyFont="1" applyBorder="1"/>
    <xf numFmtId="0" fontId="6" fillId="0" borderId="0" xfId="0" applyFont="1" applyBorder="1" applyAlignment="1"/>
    <xf numFmtId="0" fontId="6" fillId="0" borderId="0" xfId="0" applyFont="1" applyAlignment="1"/>
    <xf numFmtId="164" fontId="3" fillId="0" borderId="0" xfId="0" applyNumberFormat="1" applyFont="1"/>
    <xf numFmtId="164" fontId="6" fillId="0" borderId="0" xfId="0" applyNumberFormat="1" applyFont="1" applyBorder="1" applyAlignment="1"/>
    <xf numFmtId="0" fontId="3" fillId="0" borderId="57" xfId="0" applyFont="1" applyBorder="1" applyAlignment="1"/>
    <xf numFmtId="0" fontId="3" fillId="0" borderId="5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3" fillId="0" borderId="58" xfId="0" applyFont="1" applyBorder="1" applyAlignment="1"/>
    <xf numFmtId="2" fontId="3" fillId="0" borderId="1" xfId="0" applyNumberFormat="1" applyFont="1" applyBorder="1"/>
    <xf numFmtId="2" fontId="3" fillId="0" borderId="8" xfId="0" applyNumberFormat="1" applyFont="1" applyBorder="1"/>
    <xf numFmtId="0" fontId="3" fillId="0" borderId="48" xfId="0" applyFont="1" applyBorder="1" applyAlignment="1"/>
    <xf numFmtId="0" fontId="3" fillId="0" borderId="10" xfId="0" applyFont="1" applyBorder="1" applyAlignment="1"/>
    <xf numFmtId="0" fontId="3" fillId="0" borderId="35" xfId="0" applyFont="1" applyBorder="1"/>
    <xf numFmtId="169" fontId="3" fillId="0" borderId="36" xfId="0" applyNumberFormat="1" applyFont="1" applyBorder="1"/>
    <xf numFmtId="0" fontId="3" fillId="0" borderId="4" xfId="0" applyFont="1" applyBorder="1" applyAlignment="1"/>
    <xf numFmtId="167" fontId="3" fillId="0" borderId="5" xfId="0" applyNumberFormat="1" applyFont="1" applyBorder="1" applyAlignment="1"/>
    <xf numFmtId="167" fontId="3" fillId="0" borderId="6" xfId="0" applyNumberFormat="1" applyFont="1" applyBorder="1" applyAlignment="1"/>
    <xf numFmtId="167" fontId="3" fillId="0" borderId="1" xfId="0" applyNumberFormat="1" applyFont="1" applyBorder="1" applyAlignment="1"/>
    <xf numFmtId="167" fontId="3" fillId="0" borderId="8" xfId="0" applyNumberFormat="1" applyFont="1" applyBorder="1" applyAlignment="1"/>
    <xf numFmtId="0" fontId="3" fillId="0" borderId="9" xfId="0" applyFont="1" applyBorder="1" applyAlignment="1"/>
    <xf numFmtId="167" fontId="3" fillId="0" borderId="10" xfId="0" applyNumberFormat="1" applyFont="1" applyBorder="1" applyAlignment="1"/>
    <xf numFmtId="167" fontId="3" fillId="0" borderId="11" xfId="0" applyNumberFormat="1" applyFont="1" applyBorder="1" applyAlignment="1"/>
    <xf numFmtId="0" fontId="3" fillId="0" borderId="46" xfId="0" applyFont="1" applyBorder="1" applyAlignment="1"/>
    <xf numFmtId="167" fontId="3" fillId="0" borderId="2" xfId="0" applyNumberFormat="1" applyFont="1" applyBorder="1" applyAlignment="1"/>
    <xf numFmtId="167" fontId="3" fillId="0" borderId="47" xfId="0" applyNumberFormat="1" applyFont="1" applyBorder="1" applyAlignment="1"/>
    <xf numFmtId="0" fontId="3" fillId="0" borderId="15" xfId="0" applyFont="1" applyBorder="1" applyAlignment="1"/>
    <xf numFmtId="167" fontId="3" fillId="0" borderId="21" xfId="0" applyNumberFormat="1" applyFont="1" applyBorder="1" applyAlignment="1"/>
    <xf numFmtId="167" fontId="3" fillId="0" borderId="56" xfId="0" applyNumberFormat="1" applyFont="1" applyBorder="1" applyAlignment="1"/>
    <xf numFmtId="0" fontId="3" fillId="0" borderId="0" xfId="0" applyFont="1" applyBorder="1" applyAlignment="1"/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0" xfId="0" applyFont="1" applyBorder="1"/>
    <xf numFmtId="167" fontId="3" fillId="0" borderId="23" xfId="0" applyNumberFormat="1" applyFont="1" applyBorder="1" applyAlignment="1"/>
    <xf numFmtId="0" fontId="3" fillId="0" borderId="59" xfId="0" applyFont="1" applyBorder="1" applyAlignment="1"/>
    <xf numFmtId="0" fontId="3" fillId="0" borderId="0" xfId="0" applyFont="1" applyAlignment="1"/>
    <xf numFmtId="167" fontId="3" fillId="0" borderId="1" xfId="0" applyNumberFormat="1" applyFont="1" applyBorder="1"/>
    <xf numFmtId="167" fontId="3" fillId="0" borderId="0" xfId="0" applyNumberFormat="1" applyFont="1" applyBorder="1"/>
    <xf numFmtId="167" fontId="3" fillId="0" borderId="44" xfId="0" applyNumberFormat="1" applyFont="1" applyBorder="1"/>
    <xf numFmtId="167" fontId="6" fillId="0" borderId="23" xfId="0" applyNumberFormat="1" applyFont="1" applyBorder="1" applyAlignment="1"/>
    <xf numFmtId="167" fontId="6" fillId="0" borderId="1" xfId="0" applyNumberFormat="1" applyFont="1" applyBorder="1" applyAlignment="1"/>
    <xf numFmtId="167" fontId="6" fillId="0" borderId="8" xfId="0" applyNumberFormat="1" applyFont="1" applyBorder="1" applyAlignment="1"/>
    <xf numFmtId="9" fontId="3" fillId="0" borderId="1" xfId="2" applyFont="1" applyBorder="1" applyAlignment="1"/>
    <xf numFmtId="9" fontId="3" fillId="0" borderId="23" xfId="2" applyFont="1" applyBorder="1" applyAlignment="1"/>
    <xf numFmtId="9" fontId="3" fillId="0" borderId="8" xfId="2" applyFont="1" applyBorder="1" applyAlignment="1"/>
    <xf numFmtId="0" fontId="3" fillId="0" borderId="30" xfId="0" applyFont="1" applyBorder="1" applyAlignment="1"/>
    <xf numFmtId="9" fontId="3" fillId="0" borderId="10" xfId="2" applyFont="1" applyBorder="1" applyAlignment="1"/>
    <xf numFmtId="9" fontId="3" fillId="0" borderId="11" xfId="2" applyFont="1" applyBorder="1" applyAlignment="1"/>
    <xf numFmtId="0" fontId="7" fillId="0" borderId="35" xfId="0" applyFont="1" applyBorder="1" applyAlignment="1"/>
    <xf numFmtId="167" fontId="7" fillId="0" borderId="39" xfId="0" applyNumberFormat="1" applyFont="1" applyBorder="1" applyAlignment="1"/>
    <xf numFmtId="10" fontId="6" fillId="0" borderId="0" xfId="0" applyNumberFormat="1" applyFont="1" applyBorder="1" applyAlignment="1"/>
    <xf numFmtId="0" fontId="4" fillId="0" borderId="0" xfId="0" applyFont="1" applyBorder="1"/>
    <xf numFmtId="167" fontId="3" fillId="0" borderId="0" xfId="0" applyNumberFormat="1" applyFont="1"/>
    <xf numFmtId="0" fontId="3" fillId="0" borderId="9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7" xfId="0" applyFont="1" applyBorder="1" applyAlignment="1"/>
    <xf numFmtId="166" fontId="6" fillId="0" borderId="1" xfId="0" applyNumberFormat="1" applyFont="1" applyBorder="1" applyAlignment="1"/>
    <xf numFmtId="1" fontId="3" fillId="0" borderId="1" xfId="0" applyNumberFormat="1" applyFont="1" applyBorder="1" applyAlignment="1"/>
    <xf numFmtId="0" fontId="3" fillId="0" borderId="8" xfId="0" applyFont="1" applyBorder="1" applyAlignment="1"/>
    <xf numFmtId="164" fontId="3" fillId="0" borderId="8" xfId="0" applyNumberFormat="1" applyFont="1" applyBorder="1" applyAlignment="1"/>
    <xf numFmtId="164" fontId="6" fillId="0" borderId="1" xfId="0" applyNumberFormat="1" applyFont="1" applyBorder="1" applyAlignment="1"/>
    <xf numFmtId="166" fontId="3" fillId="0" borderId="1" xfId="0" applyNumberFormat="1" applyFont="1" applyBorder="1" applyAlignment="1"/>
    <xf numFmtId="165" fontId="3" fillId="0" borderId="1" xfId="0" applyNumberFormat="1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164" fontId="6" fillId="0" borderId="10" xfId="0" applyNumberFormat="1" applyFont="1" applyBorder="1" applyAlignment="1"/>
    <xf numFmtId="166" fontId="6" fillId="0" borderId="10" xfId="0" applyNumberFormat="1" applyFont="1" applyBorder="1" applyAlignment="1"/>
    <xf numFmtId="1" fontId="3" fillId="0" borderId="10" xfId="0" applyNumberFormat="1" applyFont="1" applyBorder="1" applyAlignment="1"/>
    <xf numFmtId="166" fontId="3" fillId="0" borderId="10" xfId="0" applyNumberFormat="1" applyFont="1" applyBorder="1" applyAlignment="1"/>
    <xf numFmtId="0" fontId="3" fillId="0" borderId="2" xfId="0" applyFont="1" applyBorder="1"/>
    <xf numFmtId="167" fontId="3" fillId="0" borderId="2" xfId="0" applyNumberFormat="1" applyFont="1" applyBorder="1"/>
    <xf numFmtId="166" fontId="3" fillId="0" borderId="2" xfId="0" applyNumberFormat="1" applyFont="1" applyBorder="1"/>
    <xf numFmtId="0" fontId="3" fillId="0" borderId="46" xfId="0" applyFont="1" applyBorder="1"/>
    <xf numFmtId="167" fontId="3" fillId="0" borderId="47" xfId="0" applyNumberFormat="1" applyFont="1" applyBorder="1"/>
    <xf numFmtId="167" fontId="3" fillId="0" borderId="8" xfId="0" applyNumberFormat="1" applyFont="1" applyBorder="1"/>
    <xf numFmtId="167" fontId="3" fillId="0" borderId="10" xfId="0" applyNumberFormat="1" applyFont="1" applyBorder="1"/>
    <xf numFmtId="167" fontId="3" fillId="0" borderId="11" xfId="0" applyNumberFormat="1" applyFont="1" applyBorder="1"/>
    <xf numFmtId="164" fontId="3" fillId="0" borderId="6" xfId="0" applyNumberFormat="1" applyFont="1" applyBorder="1"/>
    <xf numFmtId="164" fontId="3" fillId="0" borderId="0" xfId="0" applyNumberFormat="1" applyFont="1" applyBorder="1"/>
    <xf numFmtId="9" fontId="3" fillId="0" borderId="11" xfId="0" applyNumberFormat="1" applyFont="1" applyBorder="1"/>
    <xf numFmtId="0" fontId="3" fillId="0" borderId="38" xfId="0" applyFont="1" applyBorder="1" applyAlignment="1"/>
    <xf numFmtId="0" fontId="3" fillId="0" borderId="36" xfId="0" applyFont="1" applyBorder="1" applyAlignment="1"/>
    <xf numFmtId="0" fontId="3" fillId="0" borderId="39" xfId="0" applyFont="1" applyBorder="1" applyAlignment="1"/>
    <xf numFmtId="0" fontId="3" fillId="0" borderId="55" xfId="0" applyFont="1" applyBorder="1" applyAlignment="1">
      <alignment wrapText="1"/>
    </xf>
    <xf numFmtId="0" fontId="3" fillId="0" borderId="26" xfId="0" applyFont="1" applyBorder="1" applyAlignment="1"/>
    <xf numFmtId="0" fontId="3" fillId="0" borderId="3" xfId="0" applyFont="1" applyBorder="1" applyAlignment="1"/>
    <xf numFmtId="0" fontId="8" fillId="0" borderId="0" xfId="0" applyFont="1" applyAlignment="1">
      <alignment horizontal="center"/>
    </xf>
    <xf numFmtId="0" fontId="3" fillId="0" borderId="3" xfId="0" applyFont="1" applyBorder="1"/>
    <xf numFmtId="0" fontId="3" fillId="0" borderId="25" xfId="0" applyFont="1" applyBorder="1"/>
    <xf numFmtId="0" fontId="9" fillId="0" borderId="0" xfId="0" applyFont="1"/>
    <xf numFmtId="49" fontId="3" fillId="0" borderId="4" xfId="0" applyNumberFormat="1" applyFont="1" applyBorder="1" applyAlignment="1">
      <alignment wrapText="1"/>
    </xf>
    <xf numFmtId="49" fontId="3" fillId="0" borderId="5" xfId="0" applyNumberFormat="1" applyFont="1" applyBorder="1" applyAlignment="1">
      <alignment wrapText="1"/>
    </xf>
    <xf numFmtId="49" fontId="6" fillId="0" borderId="5" xfId="0" applyNumberFormat="1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41" xfId="0" applyFont="1" applyBorder="1" applyAlignment="1">
      <alignment wrapText="1"/>
    </xf>
    <xf numFmtId="0" fontId="3" fillId="0" borderId="4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textRotation="90" wrapText="1"/>
    </xf>
    <xf numFmtId="0" fontId="6" fillId="0" borderId="35" xfId="0" applyFont="1" applyBorder="1" applyAlignment="1">
      <alignment wrapText="1"/>
    </xf>
    <xf numFmtId="0" fontId="6" fillId="0" borderId="36" xfId="0" applyFont="1" applyBorder="1" applyAlignment="1">
      <alignment wrapText="1"/>
    </xf>
    <xf numFmtId="0" fontId="6" fillId="0" borderId="37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3" fillId="0" borderId="36" xfId="0" applyFont="1" applyBorder="1" applyAlignment="1">
      <alignment wrapText="1"/>
    </xf>
    <xf numFmtId="0" fontId="3" fillId="0" borderId="39" xfId="0" applyFont="1" applyBorder="1" applyAlignment="1">
      <alignment wrapText="1"/>
    </xf>
    <xf numFmtId="170" fontId="6" fillId="0" borderId="5" xfId="4" applyNumberFormat="1" applyFont="1" applyBorder="1" applyAlignment="1"/>
    <xf numFmtId="167" fontId="6" fillId="0" borderId="24" xfId="0" applyNumberFormat="1" applyFont="1" applyBorder="1" applyAlignment="1"/>
    <xf numFmtId="167" fontId="6" fillId="0" borderId="5" xfId="0" applyNumberFormat="1" applyFont="1" applyBorder="1" applyAlignment="1"/>
    <xf numFmtId="167" fontId="6" fillId="0" borderId="22" xfId="0" applyNumberFormat="1" applyFont="1" applyBorder="1" applyAlignment="1"/>
    <xf numFmtId="167" fontId="3" fillId="0" borderId="22" xfId="0" applyNumberFormat="1" applyFont="1" applyBorder="1" applyAlignment="1"/>
    <xf numFmtId="9" fontId="6" fillId="0" borderId="5" xfId="0" applyNumberFormat="1" applyFont="1" applyBorder="1" applyAlignment="1"/>
    <xf numFmtId="9" fontId="3" fillId="0" borderId="5" xfId="2" applyFont="1" applyBorder="1" applyAlignment="1"/>
    <xf numFmtId="164" fontId="6" fillId="0" borderId="5" xfId="0" applyNumberFormat="1" applyFont="1" applyBorder="1" applyAlignment="1"/>
    <xf numFmtId="164" fontId="3" fillId="2" borderId="5" xfId="0" applyNumberFormat="1" applyFont="1" applyFill="1" applyBorder="1" applyAlignment="1"/>
    <xf numFmtId="3" fontId="6" fillId="0" borderId="5" xfId="0" applyNumberFormat="1" applyFont="1" applyBorder="1" applyAlignment="1"/>
    <xf numFmtId="1" fontId="3" fillId="0" borderId="5" xfId="0" applyNumberFormat="1" applyFont="1" applyBorder="1" applyAlignment="1"/>
    <xf numFmtId="167" fontId="3" fillId="0" borderId="5" xfId="0" applyNumberFormat="1" applyFont="1" applyFill="1" applyBorder="1" applyAlignment="1"/>
    <xf numFmtId="170" fontId="6" fillId="0" borderId="1" xfId="4" applyNumberFormat="1" applyFont="1" applyBorder="1" applyAlignment="1"/>
    <xf numFmtId="167" fontId="6" fillId="0" borderId="3" xfId="0" applyNumberFormat="1" applyFont="1" applyBorder="1" applyAlignment="1"/>
    <xf numFmtId="9" fontId="6" fillId="0" borderId="1" xfId="0" applyNumberFormat="1" applyFont="1" applyBorder="1" applyAlignment="1"/>
    <xf numFmtId="164" fontId="3" fillId="2" borderId="1" xfId="0" applyNumberFormat="1" applyFont="1" applyFill="1" applyBorder="1" applyAlignment="1"/>
    <xf numFmtId="3" fontId="6" fillId="0" borderId="1" xfId="0" applyNumberFormat="1" applyFont="1" applyBorder="1" applyAlignment="1"/>
    <xf numFmtId="167" fontId="3" fillId="0" borderId="1" xfId="0" applyNumberFormat="1" applyFont="1" applyFill="1" applyBorder="1" applyAlignment="1"/>
    <xf numFmtId="0" fontId="3" fillId="0" borderId="1" xfId="3" applyFont="1" applyBorder="1"/>
    <xf numFmtId="0" fontId="6" fillId="9" borderId="1" xfId="0" applyFont="1" applyFill="1" applyBorder="1"/>
    <xf numFmtId="0" fontId="6" fillId="0" borderId="1" xfId="0" applyFont="1" applyBorder="1"/>
    <xf numFmtId="170" fontId="6" fillId="0" borderId="1" xfId="4" applyNumberFormat="1" applyFont="1" applyBorder="1"/>
    <xf numFmtId="167" fontId="6" fillId="0" borderId="3" xfId="0" applyNumberFormat="1" applyFont="1" applyBorder="1"/>
    <xf numFmtId="167" fontId="3" fillId="0" borderId="23" xfId="0" applyNumberFormat="1" applyFont="1" applyBorder="1"/>
    <xf numFmtId="9" fontId="6" fillId="0" borderId="1" xfId="0" applyNumberFormat="1" applyFont="1" applyBorder="1"/>
    <xf numFmtId="9" fontId="3" fillId="0" borderId="1" xfId="2" applyFont="1" applyBorder="1"/>
    <xf numFmtId="164" fontId="6" fillId="9" borderId="1" xfId="0" applyNumberFormat="1" applyFont="1" applyFill="1" applyBorder="1" applyAlignment="1"/>
    <xf numFmtId="0" fontId="3" fillId="0" borderId="10" xfId="3" applyFont="1" applyBorder="1"/>
    <xf numFmtId="0" fontId="6" fillId="9" borderId="10" xfId="0" applyFont="1" applyFill="1" applyBorder="1"/>
    <xf numFmtId="0" fontId="6" fillId="0" borderId="10" xfId="0" applyFont="1" applyBorder="1"/>
    <xf numFmtId="170" fontId="6" fillId="0" borderId="10" xfId="4" applyNumberFormat="1" applyFont="1" applyBorder="1"/>
    <xf numFmtId="167" fontId="6" fillId="0" borderId="25" xfId="0" applyNumberFormat="1" applyFont="1" applyBorder="1"/>
    <xf numFmtId="167" fontId="6" fillId="0" borderId="10" xfId="0" applyNumberFormat="1" applyFont="1" applyBorder="1" applyAlignment="1"/>
    <xf numFmtId="167" fontId="6" fillId="0" borderId="30" xfId="0" applyNumberFormat="1" applyFont="1" applyBorder="1" applyAlignment="1"/>
    <xf numFmtId="0" fontId="3" fillId="0" borderId="10" xfId="0" applyFont="1" applyBorder="1"/>
    <xf numFmtId="9" fontId="6" fillId="0" borderId="10" xfId="0" applyNumberFormat="1" applyFont="1" applyBorder="1"/>
    <xf numFmtId="9" fontId="3" fillId="0" borderId="10" xfId="2" applyFont="1" applyBorder="1"/>
    <xf numFmtId="164" fontId="6" fillId="9" borderId="10" xfId="0" applyNumberFormat="1" applyFont="1" applyFill="1" applyBorder="1" applyAlignment="1"/>
    <xf numFmtId="164" fontId="3" fillId="2" borderId="10" xfId="0" applyNumberFormat="1" applyFont="1" applyFill="1" applyBorder="1" applyAlignment="1"/>
    <xf numFmtId="3" fontId="6" fillId="0" borderId="10" xfId="0" applyNumberFormat="1" applyFont="1" applyBorder="1" applyAlignment="1"/>
    <xf numFmtId="167" fontId="3" fillId="0" borderId="10" xfId="0" applyNumberFormat="1" applyFont="1" applyFill="1" applyBorder="1" applyAlignment="1"/>
    <xf numFmtId="167" fontId="6" fillId="0" borderId="31" xfId="0" applyNumberFormat="1" applyFont="1" applyBorder="1" applyAlignment="1"/>
    <xf numFmtId="1" fontId="6" fillId="0" borderId="5" xfId="0" applyNumberFormat="1" applyFont="1" applyBorder="1" applyAlignment="1"/>
    <xf numFmtId="164" fontId="3" fillId="2" borderId="1" xfId="1" applyNumberFormat="1" applyFont="1" applyFill="1" applyBorder="1" applyAlignment="1"/>
    <xf numFmtId="1" fontId="6" fillId="0" borderId="1" xfId="0" applyNumberFormat="1" applyFont="1" applyBorder="1" applyAlignment="1"/>
    <xf numFmtId="170" fontId="6" fillId="0" borderId="10" xfId="4" applyNumberFormat="1" applyFont="1" applyBorder="1" applyAlignment="1"/>
    <xf numFmtId="167" fontId="6" fillId="0" borderId="25" xfId="0" applyNumberFormat="1" applyFont="1" applyBorder="1" applyAlignment="1"/>
    <xf numFmtId="9" fontId="6" fillId="0" borderId="10" xfId="0" applyNumberFormat="1" applyFont="1" applyBorder="1" applyAlignment="1"/>
    <xf numFmtId="164" fontId="3" fillId="2" borderId="10" xfId="1" applyNumberFormat="1" applyFont="1" applyFill="1" applyBorder="1" applyAlignment="1"/>
    <xf numFmtId="1" fontId="6" fillId="0" borderId="10" xfId="0" applyNumberFormat="1" applyFont="1" applyBorder="1" applyAlignment="1"/>
    <xf numFmtId="0" fontId="6" fillId="0" borderId="17" xfId="0" applyFont="1" applyBorder="1"/>
    <xf numFmtId="0" fontId="6" fillId="0" borderId="17" xfId="0" applyFont="1" applyBorder="1" applyAlignment="1">
      <alignment horizontal="right"/>
    </xf>
    <xf numFmtId="167" fontId="6" fillId="0" borderId="27" xfId="0" applyNumberFormat="1" applyFont="1" applyBorder="1" applyAlignment="1">
      <alignment horizontal="right"/>
    </xf>
    <xf numFmtId="167" fontId="6" fillId="0" borderId="32" xfId="0" applyNumberFormat="1" applyFont="1" applyBorder="1" applyAlignment="1">
      <alignment horizontal="right"/>
    </xf>
    <xf numFmtId="9" fontId="6" fillId="0" borderId="17" xfId="0" applyNumberFormat="1" applyFont="1" applyBorder="1" applyAlignment="1">
      <alignment horizontal="right"/>
    </xf>
    <xf numFmtId="1" fontId="6" fillId="0" borderId="17" xfId="0" applyNumberFormat="1" applyFont="1" applyBorder="1" applyAlignment="1">
      <alignment horizontal="right"/>
    </xf>
    <xf numFmtId="164" fontId="3" fillId="2" borderId="5" xfId="1" applyNumberFormat="1" applyFont="1" applyFill="1" applyBorder="1" applyAlignment="1"/>
    <xf numFmtId="0" fontId="6" fillId="0" borderId="12" xfId="0" applyFont="1" applyBorder="1" applyAlignment="1">
      <alignment horizontal="left"/>
    </xf>
    <xf numFmtId="0" fontId="6" fillId="0" borderId="12" xfId="0" applyFont="1" applyBorder="1" applyAlignment="1">
      <alignment horizontal="right"/>
    </xf>
    <xf numFmtId="167" fontId="6" fillId="0" borderId="28" xfId="0" applyNumberFormat="1" applyFont="1" applyBorder="1" applyAlignment="1">
      <alignment horizontal="right"/>
    </xf>
    <xf numFmtId="167" fontId="6" fillId="0" borderId="33" xfId="0" applyNumberFormat="1" applyFont="1" applyBorder="1" applyAlignment="1">
      <alignment horizontal="right"/>
    </xf>
    <xf numFmtId="9" fontId="6" fillId="0" borderId="12" xfId="0" applyNumberFormat="1" applyFont="1" applyBorder="1" applyAlignment="1">
      <alignment horizontal="right"/>
    </xf>
    <xf numFmtId="1" fontId="6" fillId="0" borderId="12" xfId="0" applyNumberFormat="1" applyFont="1" applyBorder="1" applyAlignment="1">
      <alignment horizontal="right"/>
    </xf>
    <xf numFmtId="0" fontId="6" fillId="0" borderId="20" xfId="0" applyFont="1" applyBorder="1" applyAlignment="1">
      <alignment horizontal="left"/>
    </xf>
    <xf numFmtId="0" fontId="6" fillId="0" borderId="20" xfId="0" applyFont="1" applyBorder="1" applyAlignment="1">
      <alignment horizontal="right"/>
    </xf>
    <xf numFmtId="167" fontId="6" fillId="0" borderId="29" xfId="0" applyNumberFormat="1" applyFont="1" applyBorder="1" applyAlignment="1">
      <alignment horizontal="right"/>
    </xf>
    <xf numFmtId="167" fontId="6" fillId="0" borderId="34" xfId="0" applyNumberFormat="1" applyFont="1" applyBorder="1" applyAlignment="1">
      <alignment horizontal="right"/>
    </xf>
    <xf numFmtId="167" fontId="6" fillId="0" borderId="49" xfId="0" applyNumberFormat="1" applyFont="1" applyBorder="1" applyAlignment="1"/>
    <xf numFmtId="9" fontId="6" fillId="0" borderId="20" xfId="0" applyNumberFormat="1" applyFont="1" applyBorder="1" applyAlignment="1">
      <alignment horizontal="right"/>
    </xf>
    <xf numFmtId="1" fontId="6" fillId="0" borderId="20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3" applyFont="1" applyBorder="1" applyAlignment="1">
      <alignment wrapText="1"/>
    </xf>
    <xf numFmtId="0" fontId="4" fillId="0" borderId="0" xfId="3" applyFont="1" applyAlignment="1">
      <alignment wrapText="1"/>
    </xf>
    <xf numFmtId="0" fontId="3" fillId="7" borderId="1" xfId="3" applyFont="1" applyFill="1" applyBorder="1"/>
    <xf numFmtId="0" fontId="3" fillId="0" borderId="1" xfId="3" applyFont="1" applyBorder="1" applyAlignment="1">
      <alignment horizontal="right"/>
    </xf>
    <xf numFmtId="2" fontId="3" fillId="0" borderId="1" xfId="3" applyNumberFormat="1" applyFont="1" applyBorder="1" applyAlignment="1">
      <alignment horizontal="right"/>
    </xf>
    <xf numFmtId="0" fontId="4" fillId="0" borderId="0" xfId="3" applyFont="1"/>
    <xf numFmtId="0" fontId="3" fillId="4" borderId="1" xfId="3" applyFont="1" applyFill="1" applyBorder="1"/>
    <xf numFmtId="0" fontId="3" fillId="6" borderId="1" xfId="3" applyFont="1" applyFill="1" applyBorder="1"/>
    <xf numFmtId="0" fontId="3" fillId="5" borderId="1" xfId="3" applyFont="1" applyFill="1" applyBorder="1"/>
    <xf numFmtId="0" fontId="3" fillId="3" borderId="1" xfId="3" applyFont="1" applyFill="1" applyBorder="1"/>
    <xf numFmtId="0" fontId="3" fillId="0" borderId="0" xfId="3" applyFont="1"/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3" fillId="6" borderId="7" xfId="3" applyFont="1" applyFill="1" applyBorder="1"/>
    <xf numFmtId="0" fontId="3" fillId="0" borderId="8" xfId="3" applyFont="1" applyBorder="1" applyAlignment="1">
      <alignment horizontal="right"/>
    </xf>
    <xf numFmtId="0" fontId="3" fillId="4" borderId="7" xfId="3" applyFont="1" applyFill="1" applyBorder="1"/>
    <xf numFmtId="0" fontId="3" fillId="0" borderId="7" xfId="3" applyFont="1" applyBorder="1"/>
    <xf numFmtId="0" fontId="3" fillId="5" borderId="7" xfId="3" applyFont="1" applyFill="1" applyBorder="1"/>
    <xf numFmtId="0" fontId="3" fillId="3" borderId="7" xfId="3" applyFont="1" applyFill="1" applyBorder="1"/>
    <xf numFmtId="0" fontId="3" fillId="3" borderId="9" xfId="3" applyFont="1" applyFill="1" applyBorder="1"/>
    <xf numFmtId="0" fontId="3" fillId="0" borderId="10" xfId="3" applyFont="1" applyBorder="1" applyAlignment="1">
      <alignment horizontal="right"/>
    </xf>
    <xf numFmtId="0" fontId="3" fillId="0" borderId="11" xfId="3" applyFont="1" applyBorder="1" applyAlignment="1">
      <alignment horizontal="right"/>
    </xf>
    <xf numFmtId="0" fontId="3" fillId="8" borderId="5" xfId="3" applyFont="1" applyFill="1" applyBorder="1"/>
    <xf numFmtId="0" fontId="3" fillId="8" borderId="1" xfId="3" applyFont="1" applyFill="1" applyBorder="1"/>
    <xf numFmtId="0" fontId="3" fillId="0" borderId="8" xfId="3" applyFont="1" applyBorder="1"/>
    <xf numFmtId="0" fontId="3" fillId="0" borderId="9" xfId="3" applyFont="1" applyBorder="1"/>
    <xf numFmtId="0" fontId="3" fillId="8" borderId="10" xfId="3" applyFont="1" applyFill="1" applyBorder="1"/>
    <xf numFmtId="0" fontId="3" fillId="0" borderId="11" xfId="3" applyFont="1" applyBorder="1"/>
    <xf numFmtId="0" fontId="3" fillId="0" borderId="5" xfId="3" applyFont="1" applyBorder="1" applyAlignment="1">
      <alignment horizontal="right"/>
    </xf>
    <xf numFmtId="0" fontId="3" fillId="0" borderId="6" xfId="3" applyFont="1" applyBorder="1" applyAlignment="1">
      <alignment horizontal="right"/>
    </xf>
    <xf numFmtId="0" fontId="3" fillId="0" borderId="0" xfId="3" applyFont="1" applyBorder="1"/>
    <xf numFmtId="0" fontId="3" fillId="0" borderId="0" xfId="3" applyFont="1" applyBorder="1" applyAlignment="1">
      <alignment horizontal="right"/>
    </xf>
    <xf numFmtId="0" fontId="3" fillId="8" borderId="0" xfId="3" applyFont="1" applyFill="1"/>
    <xf numFmtId="0" fontId="3" fillId="4" borderId="0" xfId="3" applyFont="1" applyFill="1"/>
    <xf numFmtId="0" fontId="3" fillId="5" borderId="0" xfId="3" applyFont="1" applyFill="1"/>
    <xf numFmtId="0" fontId="3" fillId="6" borderId="0" xfId="3" applyFont="1" applyFill="1"/>
    <xf numFmtId="0" fontId="3" fillId="0" borderId="4" xfId="3" applyFont="1" applyBorder="1" applyAlignment="1">
      <alignment wrapText="1"/>
    </xf>
    <xf numFmtId="0" fontId="3" fillId="0" borderId="5" xfId="3" applyFont="1" applyBorder="1" applyAlignment="1">
      <alignment wrapText="1"/>
    </xf>
    <xf numFmtId="0" fontId="3" fillId="0" borderId="6" xfId="3" applyFont="1" applyBorder="1" applyAlignment="1">
      <alignment wrapText="1"/>
    </xf>
    <xf numFmtId="0" fontId="3" fillId="0" borderId="40" xfId="0" applyFont="1" applyBorder="1" applyAlignment="1">
      <alignment horizontal="center" textRotation="90" wrapText="1"/>
    </xf>
    <xf numFmtId="0" fontId="3" fillId="0" borderId="43" xfId="0" applyFont="1" applyBorder="1" applyAlignment="1">
      <alignment horizontal="center" textRotation="90" wrapText="1"/>
    </xf>
    <xf numFmtId="0" fontId="3" fillId="0" borderId="45" xfId="0" applyFont="1" applyBorder="1" applyAlignment="1">
      <alignment horizontal="center" textRotation="90" wrapText="1"/>
    </xf>
    <xf numFmtId="0" fontId="3" fillId="0" borderId="50" xfId="0" applyFont="1" applyBorder="1" applyAlignment="1">
      <alignment horizontal="center" vertical="center" textRotation="90" wrapText="1"/>
    </xf>
    <xf numFmtId="0" fontId="3" fillId="0" borderId="51" xfId="0" applyFont="1" applyBorder="1" applyAlignment="1">
      <alignment horizontal="center" vertical="center" textRotation="90" wrapText="1"/>
    </xf>
    <xf numFmtId="0" fontId="3" fillId="0" borderId="52" xfId="0" applyFont="1" applyBorder="1" applyAlignment="1">
      <alignment horizontal="center" vertical="center" textRotation="90" wrapText="1"/>
    </xf>
    <xf numFmtId="0" fontId="3" fillId="0" borderId="50" xfId="0" applyFont="1" applyBorder="1" applyAlignment="1">
      <alignment horizontal="center" vertical="center" textRotation="90"/>
    </xf>
    <xf numFmtId="0" fontId="3" fillId="0" borderId="51" xfId="0" applyFont="1" applyBorder="1" applyAlignment="1">
      <alignment horizontal="center" vertical="center" textRotation="90"/>
    </xf>
    <xf numFmtId="0" fontId="3" fillId="0" borderId="43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/>
    </xf>
    <xf numFmtId="0" fontId="3" fillId="0" borderId="52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9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9" fontId="3" fillId="0" borderId="48" xfId="0" applyNumberFormat="1" applyFont="1" applyBorder="1" applyAlignment="1">
      <alignment horizontal="center"/>
    </xf>
    <xf numFmtId="9" fontId="3" fillId="0" borderId="30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 textRotation="90" wrapText="1"/>
    </xf>
    <xf numFmtId="0" fontId="3" fillId="0" borderId="15" xfId="0" applyFont="1" applyBorder="1" applyAlignment="1">
      <alignment horizontal="center" textRotation="90" wrapText="1"/>
    </xf>
    <xf numFmtId="0" fontId="3" fillId="0" borderId="35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textRotation="90"/>
    </xf>
    <xf numFmtId="0" fontId="3" fillId="0" borderId="18" xfId="0" applyFont="1" applyBorder="1" applyAlignment="1">
      <alignment horizontal="center" textRotation="90"/>
    </xf>
    <xf numFmtId="0" fontId="3" fillId="0" borderId="19" xfId="0" applyFont="1" applyBorder="1" applyAlignment="1">
      <alignment horizontal="center" textRotation="90"/>
    </xf>
    <xf numFmtId="0" fontId="10" fillId="0" borderId="1" xfId="0" applyFont="1" applyBorder="1" applyAlignment="1">
      <alignment horizontal="center"/>
    </xf>
    <xf numFmtId="0" fontId="7" fillId="0" borderId="1" xfId="3" applyFont="1" applyBorder="1" applyAlignment="1">
      <alignment horizontal="center"/>
    </xf>
    <xf numFmtId="1" fontId="3" fillId="0" borderId="0" xfId="0" applyNumberFormat="1" applyFont="1"/>
    <xf numFmtId="173" fontId="3" fillId="0" borderId="31" xfId="0" applyNumberFormat="1" applyFont="1" applyBorder="1" applyAlignment="1"/>
    <xf numFmtId="173" fontId="3" fillId="0" borderId="2" xfId="0" applyNumberFormat="1" applyFont="1" applyBorder="1" applyAlignment="1"/>
    <xf numFmtId="173" fontId="6" fillId="0" borderId="2" xfId="0" applyNumberFormat="1" applyFont="1" applyBorder="1" applyAlignment="1"/>
    <xf numFmtId="173" fontId="6" fillId="0" borderId="26" xfId="0" applyNumberFormat="1" applyFont="1" applyBorder="1" applyAlignment="1"/>
    <xf numFmtId="173" fontId="3" fillId="0" borderId="53" xfId="0" applyNumberFormat="1" applyFont="1" applyBorder="1"/>
    <xf numFmtId="173" fontId="3" fillId="0" borderId="23" xfId="0" applyNumberFormat="1" applyFont="1" applyBorder="1" applyAlignment="1"/>
    <xf numFmtId="173" fontId="3" fillId="0" borderId="1" xfId="0" applyNumberFormat="1" applyFont="1" applyBorder="1" applyAlignment="1"/>
    <xf numFmtId="173" fontId="6" fillId="0" borderId="1" xfId="0" applyNumberFormat="1" applyFont="1" applyBorder="1" applyAlignment="1"/>
    <xf numFmtId="173" fontId="6" fillId="0" borderId="3" xfId="0" applyNumberFormat="1" applyFont="1" applyBorder="1" applyAlignment="1"/>
    <xf numFmtId="173" fontId="3" fillId="0" borderId="54" xfId="0" applyNumberFormat="1" applyFont="1" applyBorder="1"/>
    <xf numFmtId="174" fontId="3" fillId="0" borderId="23" xfId="0" applyNumberFormat="1" applyFont="1" applyBorder="1"/>
    <xf numFmtId="174" fontId="3" fillId="0" borderId="1" xfId="0" applyNumberFormat="1" applyFont="1" applyBorder="1"/>
    <xf numFmtId="174" fontId="3" fillId="0" borderId="8" xfId="0" applyNumberFormat="1" applyFont="1" applyBorder="1"/>
    <xf numFmtId="44" fontId="3" fillId="0" borderId="30" xfId="1" applyFont="1" applyBorder="1"/>
    <xf numFmtId="44" fontId="3" fillId="0" borderId="10" xfId="1" applyFont="1" applyBorder="1"/>
    <xf numFmtId="44" fontId="3" fillId="0" borderId="11" xfId="1" applyFont="1" applyBorder="1"/>
  </cellXfs>
  <cellStyles count="5">
    <cellStyle name="Comma" xfId="4" builtinId="3"/>
    <cellStyle name="Currency" xfId="1" builtinId="4"/>
    <cellStyle name="Normal" xfId="0" builtinId="0"/>
    <cellStyle name="Normal 2" xfId="3" xr:uid="{36994AED-76EC-EB4D-BFF5-7973DF23DAD7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Прибыль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Sheet1!$D$8:$H$8</c:f>
              <c:numCache>
                <c:formatCode>General</c:formatCode>
                <c:ptCount val="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</c:numCache>
            </c:numRef>
          </c:cat>
          <c:val>
            <c:numRef>
              <c:f>Sheet1!$D$39:$H$39</c:f>
              <c:numCache>
                <c:formatCode>#\ ##0\ "RUB"</c:formatCode>
                <c:ptCount val="5"/>
                <c:pt idx="0">
                  <c:v>263088223.34332848</c:v>
                </c:pt>
                <c:pt idx="1">
                  <c:v>846937849.40805817</c:v>
                </c:pt>
                <c:pt idx="2">
                  <c:v>400710684.12068367</c:v>
                </c:pt>
                <c:pt idx="3">
                  <c:v>1267884648.6522985</c:v>
                </c:pt>
                <c:pt idx="4">
                  <c:v>3384573539.8882122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04-514C-BF8B-056AF2642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889776"/>
        <c:axId val="1664653072"/>
      </c:lineChart>
      <c:catAx>
        <c:axId val="28488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664653072"/>
        <c:crosses val="autoZero"/>
        <c:auto val="1"/>
        <c:lblAlgn val="ctr"/>
        <c:lblOffset val="100"/>
        <c:noMultiLvlLbl val="0"/>
      </c:catAx>
      <c:valAx>
        <c:axId val="166465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RU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8488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472722</xdr:colOff>
      <xdr:row>14</xdr:row>
      <xdr:rowOff>64911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FCBC9-BB6E-2E47-9555-8346D5144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B1E-0982-0048-972E-665677B7F0DC}">
  <dimension ref="A1:S86"/>
  <sheetViews>
    <sheetView showGridLines="0" tabSelected="1" topLeftCell="A7" zoomScale="76" zoomScaleNormal="75" workbookViewId="0">
      <selection activeCell="D4" sqref="D4"/>
    </sheetView>
  </sheetViews>
  <sheetFormatPr baseColWidth="10" defaultRowHeight="18" x14ac:dyDescent="0.2"/>
  <cols>
    <col min="1" max="1" width="25.5" style="3" customWidth="1"/>
    <col min="2" max="2" width="26.83203125" style="3" customWidth="1"/>
    <col min="3" max="3" width="22" style="3" bestFit="1" customWidth="1"/>
    <col min="4" max="5" width="21.5" style="3" bestFit="1" customWidth="1"/>
    <col min="6" max="6" width="21.83203125" style="3" bestFit="1" customWidth="1"/>
    <col min="7" max="7" width="21.5" style="3" bestFit="1" customWidth="1"/>
    <col min="8" max="8" width="21.83203125" style="3" bestFit="1" customWidth="1"/>
    <col min="9" max="9" width="21.33203125" style="3" bestFit="1" customWidth="1"/>
    <col min="10" max="10" width="11" style="3" bestFit="1" customWidth="1"/>
    <col min="11" max="11" width="10.83203125" style="3"/>
    <col min="12" max="12" width="11" style="3" bestFit="1" customWidth="1"/>
    <col min="13" max="13" width="21.1640625" style="3" bestFit="1" customWidth="1"/>
    <col min="14" max="14" width="10.83203125" style="3"/>
    <col min="15" max="15" width="11" style="3" bestFit="1" customWidth="1"/>
    <col min="16" max="16" width="21.1640625" style="3" bestFit="1" customWidth="1"/>
    <col min="17" max="17" width="10.83203125" style="3"/>
    <col min="18" max="18" width="11.83203125" style="3" bestFit="1" customWidth="1"/>
    <col min="19" max="19" width="21.1640625" style="3" bestFit="1" customWidth="1"/>
    <col min="20" max="16384" width="10.83203125" style="3"/>
  </cols>
  <sheetData>
    <row r="1" spans="1:19" ht="37" customHeight="1" x14ac:dyDescent="0.2">
      <c r="A1" s="1" t="s">
        <v>126</v>
      </c>
      <c r="B1" s="2">
        <v>0.02</v>
      </c>
    </row>
    <row r="2" spans="1:19" ht="44" customHeight="1" x14ac:dyDescent="0.2">
      <c r="A2" s="4" t="s">
        <v>180</v>
      </c>
      <c r="B2" s="5">
        <v>0.05</v>
      </c>
      <c r="C2" s="6"/>
      <c r="E2" s="7"/>
      <c r="F2" s="8"/>
    </row>
    <row r="3" spans="1:19" ht="16" customHeight="1" x14ac:dyDescent="0.2">
      <c r="A3" s="9" t="s">
        <v>132</v>
      </c>
      <c r="B3" s="10">
        <v>0.53</v>
      </c>
    </row>
    <row r="4" spans="1:19" ht="54" customHeight="1" x14ac:dyDescent="0.2">
      <c r="A4" s="4" t="s">
        <v>176</v>
      </c>
      <c r="B4" s="12">
        <v>5.8900000000000001E-2</v>
      </c>
    </row>
    <row r="5" spans="1:19" ht="43" customHeight="1" thickBot="1" x14ac:dyDescent="0.25">
      <c r="A5" s="86" t="s">
        <v>164</v>
      </c>
      <c r="B5" s="14">
        <f>(1+B4)^2</f>
        <v>1.1212692099999999</v>
      </c>
    </row>
    <row r="7" spans="1:19" ht="19" thickBot="1" x14ac:dyDescent="0.25"/>
    <row r="8" spans="1:19" x14ac:dyDescent="0.2">
      <c r="A8" s="251" t="s">
        <v>177</v>
      </c>
      <c r="B8" s="15" t="s">
        <v>59</v>
      </c>
      <c r="C8" s="16">
        <v>2021</v>
      </c>
      <c r="D8" s="16">
        <v>2022</v>
      </c>
      <c r="E8" s="16">
        <v>2023</v>
      </c>
      <c r="F8" s="16">
        <v>2024</v>
      </c>
      <c r="G8" s="16">
        <v>2025</v>
      </c>
      <c r="H8" s="17">
        <v>2026</v>
      </c>
    </row>
    <row r="9" spans="1:19" x14ac:dyDescent="0.2">
      <c r="A9" s="252"/>
      <c r="B9" s="18" t="s">
        <v>138</v>
      </c>
      <c r="C9" s="19" t="s">
        <v>130</v>
      </c>
      <c r="D9" s="19">
        <v>1</v>
      </c>
      <c r="E9" s="20">
        <v>2</v>
      </c>
      <c r="F9" s="20">
        <v>3</v>
      </c>
      <c r="G9" s="20">
        <v>4</v>
      </c>
      <c r="H9" s="21">
        <v>5</v>
      </c>
    </row>
    <row r="10" spans="1:19" x14ac:dyDescent="0.2">
      <c r="A10" s="252"/>
      <c r="B10" s="22" t="s">
        <v>113</v>
      </c>
      <c r="C10" s="23">
        <v>0</v>
      </c>
      <c r="D10" s="24">
        <v>1</v>
      </c>
      <c r="E10" s="24">
        <v>2</v>
      </c>
      <c r="F10" s="24">
        <v>3</v>
      </c>
      <c r="G10" s="24">
        <v>4</v>
      </c>
      <c r="H10" s="25">
        <v>5</v>
      </c>
    </row>
    <row r="11" spans="1:19" x14ac:dyDescent="0.2">
      <c r="A11" s="252"/>
      <c r="B11" s="22" t="s">
        <v>114</v>
      </c>
      <c r="C11" s="26">
        <v>0</v>
      </c>
      <c r="D11" s="27">
        <v>8.1500000000000003E-2</v>
      </c>
      <c r="E11" s="28">
        <v>8.4099999999999994E-2</v>
      </c>
      <c r="F11" s="28">
        <v>8.4599999999999995E-2</v>
      </c>
      <c r="G11" s="28">
        <v>8.4699999999999998E-2</v>
      </c>
      <c r="H11" s="29">
        <v>8.48E-2</v>
      </c>
    </row>
    <row r="12" spans="1:19" ht="19" thickBot="1" x14ac:dyDescent="0.25">
      <c r="A12" s="253"/>
      <c r="B12" s="13" t="s">
        <v>125</v>
      </c>
      <c r="C12" s="30">
        <v>0</v>
      </c>
      <c r="D12" s="31">
        <f>D11</f>
        <v>8.1500000000000003E-2</v>
      </c>
      <c r="E12" s="31">
        <f>(1+E11)^E10/(1+D11)^D10-1</f>
        <v>8.6706250577901267E-2</v>
      </c>
      <c r="F12" s="31">
        <f>(1+F11)^F10/(1+E11)^E10-1</f>
        <v>8.5600691924456296E-2</v>
      </c>
      <c r="G12" s="31">
        <f>(1+G11)^G10/(1+F11)^F10-1</f>
        <v>8.5000055323333878E-2</v>
      </c>
      <c r="H12" s="32">
        <f>(1+H11)^H10/(1+G11)^G10-1</f>
        <v>8.5200092199888999E-2</v>
      </c>
    </row>
    <row r="13" spans="1:19" x14ac:dyDescent="0.2">
      <c r="I13" s="33"/>
      <c r="J13" s="34"/>
      <c r="M13" s="35"/>
      <c r="P13" s="35"/>
      <c r="S13" s="35"/>
    </row>
    <row r="14" spans="1:19" ht="19" thickBot="1" x14ac:dyDescent="0.25">
      <c r="I14" s="36"/>
      <c r="J14" s="34"/>
      <c r="L14" s="8"/>
      <c r="O14" s="8"/>
    </row>
    <row r="15" spans="1:19" x14ac:dyDescent="0.2">
      <c r="A15" s="254" t="s">
        <v>178</v>
      </c>
      <c r="B15" s="37" t="s">
        <v>59</v>
      </c>
      <c r="C15" s="38">
        <v>0</v>
      </c>
      <c r="D15" s="39">
        <v>1</v>
      </c>
      <c r="E15" s="39">
        <v>2</v>
      </c>
      <c r="F15" s="39">
        <v>3</v>
      </c>
      <c r="G15" s="39">
        <v>4</v>
      </c>
      <c r="H15" s="40">
        <v>5</v>
      </c>
      <c r="I15" s="33"/>
      <c r="J15" s="34"/>
      <c r="L15" s="8"/>
      <c r="O15" s="8"/>
    </row>
    <row r="16" spans="1:19" x14ac:dyDescent="0.2">
      <c r="A16" s="255"/>
      <c r="B16" s="41" t="s">
        <v>108</v>
      </c>
      <c r="C16" s="42">
        <v>73.2</v>
      </c>
      <c r="D16" s="42">
        <f>usd*(1+usd_dynamics)^D15</f>
        <v>76.86</v>
      </c>
      <c r="E16" s="42">
        <f>usd*(1+usd_dynamics)^E15</f>
        <v>80.703000000000003</v>
      </c>
      <c r="F16" s="42">
        <f>usd*(1+usd_dynamics)^F15</f>
        <v>84.738150000000019</v>
      </c>
      <c r="G16" s="42">
        <f>usd*(1+usd_dynamics)^G15</f>
        <v>88.975057500000005</v>
      </c>
      <c r="H16" s="43">
        <f>usd*(1+usd_dynamics)^H15</f>
        <v>93.423810375000016</v>
      </c>
      <c r="I16" s="36"/>
      <c r="J16" s="34"/>
      <c r="L16" s="8"/>
      <c r="O16" s="8"/>
    </row>
    <row r="17" spans="1:15" ht="19" thickBot="1" x14ac:dyDescent="0.25">
      <c r="A17" s="256"/>
      <c r="B17" s="44" t="s">
        <v>111</v>
      </c>
      <c r="C17" s="45"/>
      <c r="D17" s="31">
        <f>(1+D11)*(D16/usd)^(-1/D15)-1</f>
        <v>2.9999999999999805E-2</v>
      </c>
      <c r="E17" s="31">
        <f>(1+E11)*(E16/usd)^(-1/E15)-1</f>
        <v>3.2476190476190547E-2</v>
      </c>
      <c r="F17" s="31">
        <f>(1+F11)*(F16/usd)^(-1/F15)-1</f>
        <v>3.2952380952380844E-2</v>
      </c>
      <c r="G17" s="31">
        <f>(1+G11)*(G16/usd)^(-1/G15)-1</f>
        <v>3.3047619047618992E-2</v>
      </c>
      <c r="H17" s="32">
        <f>(1+H11)*(H16/usd)^(-1/H15)-1</f>
        <v>3.3142857142857141E-2</v>
      </c>
      <c r="I17" s="36"/>
      <c r="J17" s="34"/>
      <c r="L17" s="8"/>
      <c r="O17" s="8"/>
    </row>
    <row r="18" spans="1:15" ht="19" thickBot="1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L18" s="8"/>
      <c r="O18" s="8"/>
    </row>
    <row r="19" spans="1:15" ht="19" thickBot="1" x14ac:dyDescent="0.25">
      <c r="B19" s="46" t="s">
        <v>137</v>
      </c>
      <c r="C19" s="47">
        <v>64</v>
      </c>
      <c r="D19" s="47">
        <f>C19*(1+D11)^D9</f>
        <v>69.215999999999994</v>
      </c>
      <c r="E19" s="47">
        <f>C19*(1+E11)^E9</f>
        <v>75.217459840000004</v>
      </c>
      <c r="F19" s="47">
        <f>C19*(1+F11)^F9</f>
        <v>81.656126447104</v>
      </c>
      <c r="G19" s="47">
        <f>C19*(1+G11)^G9</f>
        <v>88.596901712596988</v>
      </c>
      <c r="H19" s="47">
        <f>C19*(1+H11)^H9</f>
        <v>96.145365907134746</v>
      </c>
      <c r="J19" s="34"/>
      <c r="L19" s="8"/>
      <c r="O19" s="8"/>
    </row>
    <row r="20" spans="1:15" ht="16" customHeight="1" thickBot="1" x14ac:dyDescent="0.25">
      <c r="J20" s="34"/>
      <c r="L20" s="8"/>
      <c r="O20" s="8"/>
    </row>
    <row r="21" spans="1:15" x14ac:dyDescent="0.2">
      <c r="A21" s="257" t="s">
        <v>179</v>
      </c>
      <c r="B21" s="48" t="s">
        <v>169</v>
      </c>
      <c r="C21" s="49">
        <f>SUM(C22:C23)</f>
        <v>25269276575.094337</v>
      </c>
      <c r="D21" s="49">
        <f t="shared" ref="D21:H21" si="0">SUM(D22:D23)</f>
        <v>27328722615.964523</v>
      </c>
      <c r="E21" s="49">
        <f t="shared" si="0"/>
        <v>29698293687.0783</v>
      </c>
      <c r="F21" s="49">
        <f t="shared" si="0"/>
        <v>37593074320.964951</v>
      </c>
      <c r="G21" s="49">
        <f t="shared" si="0"/>
        <v>40788487718.021172</v>
      </c>
      <c r="H21" s="50">
        <f t="shared" si="0"/>
        <v>44263670632.290611</v>
      </c>
      <c r="J21" s="34"/>
      <c r="L21" s="8"/>
      <c r="O21" s="8"/>
    </row>
    <row r="22" spans="1:15" x14ac:dyDescent="0.2">
      <c r="A22" s="258"/>
      <c r="B22" s="18" t="s">
        <v>64</v>
      </c>
      <c r="C22" s="51">
        <f t="shared" ref="C22:H22" si="1">внутр_рейсы*(1+C11)^C10</f>
        <v>10586127232.963686</v>
      </c>
      <c r="D22" s="51">
        <f t="shared" si="1"/>
        <v>11448896602.450226</v>
      </c>
      <c r="E22" s="51">
        <f t="shared" si="1"/>
        <v>12441587500.102757</v>
      </c>
      <c r="F22" s="51">
        <f t="shared" si="1"/>
        <v>13506595998.750217</v>
      </c>
      <c r="G22" s="51">
        <f t="shared" si="1"/>
        <v>14654657405.873907</v>
      </c>
      <c r="H22" s="52">
        <f t="shared" si="1"/>
        <v>15903235568.012148</v>
      </c>
      <c r="J22" s="34"/>
      <c r="L22" s="8"/>
      <c r="O22" s="8"/>
    </row>
    <row r="23" spans="1:15" ht="19" thickBot="1" x14ac:dyDescent="0.25">
      <c r="A23" s="258"/>
      <c r="B23" s="53" t="s">
        <v>88</v>
      </c>
      <c r="C23" s="54">
        <f>международ_рейсы*(1+C11)^C10</f>
        <v>14683149342.130653</v>
      </c>
      <c r="D23" s="54">
        <f>международ_рейсы*(1+D11)^D10</f>
        <v>15879826013.514299</v>
      </c>
      <c r="E23" s="54">
        <f>международ_рейсы*(1+E11)^E10</f>
        <v>17256706186.975544</v>
      </c>
      <c r="F23" s="54">
        <f>(новые_рейсы+ международ_рейсы)*(1+F11)^F10</f>
        <v>24086478322.214729</v>
      </c>
      <c r="G23" s="54">
        <f>(новые_рейсы+ международ_рейсы)*(1+G11)^G10</f>
        <v>26133830312.147263</v>
      </c>
      <c r="H23" s="55">
        <f>(новые_рейсы+ международ_рейсы)*(1+H11)^H10</f>
        <v>28360435064.278461</v>
      </c>
      <c r="J23" s="34"/>
      <c r="L23" s="8"/>
      <c r="O23" s="8"/>
    </row>
    <row r="24" spans="1:15" x14ac:dyDescent="0.2">
      <c r="A24" s="258"/>
      <c r="B24" s="48" t="s">
        <v>128</v>
      </c>
      <c r="C24" s="49">
        <f>SUM(C25:C28)</f>
        <v>16843093025.464031</v>
      </c>
      <c r="D24" s="49">
        <f t="shared" ref="D24:H24" si="2">SUM(D25:D28)</f>
        <v>17909070701.834602</v>
      </c>
      <c r="E24" s="49">
        <f t="shared" si="2"/>
        <v>19107406104.417908</v>
      </c>
      <c r="F24" s="49">
        <f t="shared" si="2"/>
        <v>22300340806.453865</v>
      </c>
      <c r="G24" s="49">
        <f>SUM(G25:G28)</f>
        <v>23816275662.449722</v>
      </c>
      <c r="H24" s="50">
        <f t="shared" si="2"/>
        <v>25452763476.242645</v>
      </c>
      <c r="J24" s="34"/>
      <c r="L24" s="8"/>
      <c r="O24" s="8"/>
    </row>
    <row r="25" spans="1:15" x14ac:dyDescent="0.2">
      <c r="A25" s="258"/>
      <c r="B25" s="56" t="s">
        <v>134</v>
      </c>
      <c r="C25" s="57">
        <f>SUM(Рейсы!C38:C39)*Sheet1!C19</f>
        <v>9643897869.5775833</v>
      </c>
      <c r="D25" s="57">
        <f>SUM(Рейсы!C38:C39)*Sheet1!D19</f>
        <v>10429875545.948156</v>
      </c>
      <c r="E25" s="57">
        <f>SUM(Рейсы!C38:C39)*Sheet1!E19</f>
        <v>11334210948.53146</v>
      </c>
      <c r="F25" s="57">
        <f>SUM(Рейсы!C38:C40)*Sheet1!F19</f>
        <v>14021165650.567415</v>
      </c>
      <c r="G25" s="57">
        <f>SUM(Рейсы!C38:C40)*Sheet1!G19</f>
        <v>15212965506.563274</v>
      </c>
      <c r="H25" s="58">
        <f>SUM(Рейсы!C38:C40)*Sheet1!H19</f>
        <v>16509111570.356194</v>
      </c>
      <c r="J25" s="34"/>
      <c r="L25" s="8"/>
      <c r="O25" s="8"/>
    </row>
    <row r="26" spans="1:15" x14ac:dyDescent="0.2">
      <c r="A26" s="258"/>
      <c r="B26" s="56" t="s">
        <v>135</v>
      </c>
      <c r="C26" s="57">
        <f>SUM(Рейсы!D38:D39)</f>
        <v>1099233775.9561481</v>
      </c>
      <c r="D26" s="57">
        <f>SUM(Рейсы!D38:D39)</f>
        <v>1099233775.9561481</v>
      </c>
      <c r="E26" s="57">
        <f>SUM(Рейсы!D38:D39)</f>
        <v>1099233775.9561481</v>
      </c>
      <c r="F26" s="57">
        <f>SUM(Рейсы!D38:D40)</f>
        <v>1256913775.9561481</v>
      </c>
      <c r="G26" s="57">
        <f>SUM(Рейсы!D38:D40)</f>
        <v>1256913775.9561481</v>
      </c>
      <c r="H26" s="58">
        <f>SUM(Рейсы!D38:D40)</f>
        <v>1256913775.9561481</v>
      </c>
      <c r="J26" s="34"/>
      <c r="L26" s="8"/>
      <c r="O26" s="8"/>
    </row>
    <row r="27" spans="1:15" ht="19" thickBot="1" x14ac:dyDescent="0.25">
      <c r="A27" s="258"/>
      <c r="B27" s="59" t="s">
        <v>142</v>
      </c>
      <c r="C27" s="60">
        <f>SUM(Рейсы!E38:E39)</f>
        <v>499961379.93030035</v>
      </c>
      <c r="D27" s="60">
        <f>SUM(Рейсы!E38:E39)</f>
        <v>499961379.93030035</v>
      </c>
      <c r="E27" s="60">
        <f>SUM(Рейсы!E38:E39)</f>
        <v>499961379.93030035</v>
      </c>
      <c r="F27" s="60">
        <f>SUM(Рейсы!E38:E40)</f>
        <v>539561379.93030035</v>
      </c>
      <c r="G27" s="60">
        <f>SUM(Рейсы!E38:E40)</f>
        <v>539561379.93030035</v>
      </c>
      <c r="H27" s="61">
        <f>SUM(Рейсы!E38:E40)</f>
        <v>539561379.93030035</v>
      </c>
      <c r="J27" s="34"/>
      <c r="L27" s="8"/>
      <c r="O27" s="8"/>
    </row>
    <row r="28" spans="1:15" x14ac:dyDescent="0.2">
      <c r="A28" s="259"/>
      <c r="B28" s="48" t="s">
        <v>127</v>
      </c>
      <c r="C28" s="49">
        <f>'Данные по авиапарку'!H14*usd</f>
        <v>5600000000.000001</v>
      </c>
      <c r="D28" s="49">
        <f>'Данные по авиапарку'!H14*Sheet1!D16</f>
        <v>5880000000</v>
      </c>
      <c r="E28" s="49">
        <f>'Данные по авиапарку'!H14*Sheet1!E16</f>
        <v>6174000000.000001</v>
      </c>
      <c r="F28" s="49">
        <f>'Данные по авиапарку'!H14*Sheet1!F16</f>
        <v>6482700000.0000019</v>
      </c>
      <c r="G28" s="49">
        <f>'Данные по авиапарку'!H14*Sheet1!G16</f>
        <v>6806835000.000001</v>
      </c>
      <c r="H28" s="50">
        <f>'Данные по авиапарку'!H14*Sheet1!H16</f>
        <v>7147176750.0000019</v>
      </c>
      <c r="J28" s="34"/>
      <c r="L28" s="8"/>
      <c r="O28" s="8"/>
    </row>
    <row r="29" spans="1:15" x14ac:dyDescent="0.2">
      <c r="A29" s="259"/>
      <c r="B29" s="18" t="s">
        <v>120</v>
      </c>
      <c r="C29" s="51"/>
      <c r="D29" s="51">
        <f>'Данные по авиапарку'!P14-'Данные по авиапарку'!O14</f>
        <v>4872192841.2915955</v>
      </c>
      <c r="E29" s="51">
        <f>'Данные по авиапарку'!Q14-'Данные по авиапарку'!P14</f>
        <v>5614515534.8819427</v>
      </c>
      <c r="F29" s="51">
        <f>'Данные по авиапарку'!R14-'Данные по авиапарку'!Q14</f>
        <v>1704287054.4230652</v>
      </c>
      <c r="G29" s="51">
        <f>'Данные по авиапарку'!S14-'Данные по авиапарку'!R14</f>
        <v>1842010485.8302917</v>
      </c>
      <c r="H29" s="52">
        <f>'Данные по авиапарку'!T14-'Данные по авиапарку'!S14</f>
        <v>4007203705.5948944</v>
      </c>
      <c r="J29" s="34"/>
      <c r="L29" s="8"/>
      <c r="O29" s="8"/>
    </row>
    <row r="30" spans="1:15" x14ac:dyDescent="0.2">
      <c r="A30" s="259"/>
      <c r="B30" s="18" t="s">
        <v>172</v>
      </c>
      <c r="C30" s="51"/>
      <c r="D30" s="51"/>
      <c r="E30" s="51"/>
      <c r="F30" s="51"/>
      <c r="G30" s="51"/>
      <c r="H30" s="52"/>
      <c r="J30" s="34"/>
      <c r="L30" s="8"/>
      <c r="O30" s="8"/>
    </row>
    <row r="31" spans="1:15" ht="19" thickBot="1" x14ac:dyDescent="0.25">
      <c r="A31" s="260"/>
      <c r="B31" s="53" t="s">
        <v>119</v>
      </c>
      <c r="C31" s="54"/>
      <c r="D31" s="54"/>
      <c r="E31" s="54"/>
      <c r="F31" s="54"/>
      <c r="G31" s="54"/>
      <c r="H31" s="55"/>
      <c r="J31" s="34"/>
      <c r="L31" s="8"/>
      <c r="O31" s="8"/>
    </row>
    <row r="32" spans="1:15" ht="19" thickBot="1" x14ac:dyDescent="0.25">
      <c r="B32" s="62"/>
      <c r="C32" s="62"/>
      <c r="D32" s="62"/>
      <c r="E32" s="33"/>
      <c r="F32" s="33"/>
      <c r="G32" s="33"/>
      <c r="H32" s="33"/>
      <c r="J32" s="34"/>
      <c r="L32" s="8"/>
      <c r="O32" s="8"/>
    </row>
    <row r="33" spans="1:15" x14ac:dyDescent="0.2">
      <c r="A33" s="257" t="s">
        <v>60</v>
      </c>
      <c r="B33" s="63" t="s">
        <v>169</v>
      </c>
      <c r="C33" s="49">
        <f>C21/(1+Sheet1!C11)^Sheet1!C10</f>
        <v>25269276575.094337</v>
      </c>
      <c r="D33" s="49">
        <f>D21/(1+Sheet1!D11)^Sheet1!D10</f>
        <v>25269276575.094337</v>
      </c>
      <c r="E33" s="49">
        <f>E21/(1+Sheet1!E11)^Sheet1!E10</f>
        <v>25269276575.094337</v>
      </c>
      <c r="F33" s="49">
        <f>F21/(1+Sheet1!F11)^Sheet1!F10</f>
        <v>29464497781.440941</v>
      </c>
      <c r="G33" s="49">
        <f>G21/(1+Sheet1!G11)^Sheet1!G10</f>
        <v>29464497781.440941</v>
      </c>
      <c r="H33" s="50">
        <f>H21/(1+Sheet1!H11)^Sheet1!H10</f>
        <v>29464497781.440941</v>
      </c>
      <c r="J33" s="34"/>
      <c r="L33" s="8"/>
      <c r="M33" s="33"/>
      <c r="N33" s="36"/>
      <c r="O33" s="33"/>
    </row>
    <row r="34" spans="1:15" x14ac:dyDescent="0.2">
      <c r="A34" s="258"/>
      <c r="B34" s="64" t="s">
        <v>128</v>
      </c>
      <c r="C34" s="51">
        <f>C24/(1+Sheet1!C11)^Sheet1!C10</f>
        <v>16843093025.464031</v>
      </c>
      <c r="D34" s="51">
        <f>D24/(1+Sheet1!D11)^Sheet1!D10</f>
        <v>16559473603.175777</v>
      </c>
      <c r="E34" s="51">
        <f>E24/(1+Sheet1!E11)^Sheet1!E10</f>
        <v>16257847490.25029</v>
      </c>
      <c r="F34" s="51">
        <f>F24/(1+Sheet1!F11)^Sheet1!F10</f>
        <v>17478441284.348541</v>
      </c>
      <c r="G34" s="51">
        <f>G24/(1+Sheet1!G11)^Sheet1!G10</f>
        <v>17204231896.746574</v>
      </c>
      <c r="H34" s="52">
        <f>H24/(1+Sheet1!H11)^Sheet1!H10</f>
        <v>16942853637.407045</v>
      </c>
      <c r="J34" s="34"/>
      <c r="L34" s="8"/>
      <c r="M34" s="33"/>
      <c r="N34" s="36"/>
      <c r="O34" s="33"/>
    </row>
    <row r="35" spans="1:15" x14ac:dyDescent="0.2">
      <c r="A35" s="258"/>
      <c r="B35" s="65" t="s">
        <v>127</v>
      </c>
      <c r="C35" s="51">
        <f>C28/(1+Sheet1!C11)^Sheet1!C10</f>
        <v>5600000000.000001</v>
      </c>
      <c r="D35" s="51">
        <f>D28/(1+Sheet1!D11)^Sheet1!D10</f>
        <v>5436893203.8834953</v>
      </c>
      <c r="E35" s="66">
        <f>E28/(1+Sheet1!E11)^Sheet1!E10</f>
        <v>5253248392.6008644</v>
      </c>
      <c r="F35" s="51">
        <f>F28/(1+Sheet1!F11)^Sheet1!F10</f>
        <v>5080975770.6148777</v>
      </c>
      <c r="G35" s="51">
        <f>G28/(1+Sheet1!G11)^Sheet1!G10</f>
        <v>4917073075.6836357</v>
      </c>
      <c r="H35" s="52">
        <f>H28/(1+Sheet1!H11)^Sheet1!H10</f>
        <v>4757580437.5409422</v>
      </c>
      <c r="J35" s="34"/>
      <c r="L35" s="8"/>
      <c r="M35" s="33"/>
      <c r="N35" s="36"/>
      <c r="O35" s="33"/>
    </row>
    <row r="36" spans="1:15" x14ac:dyDescent="0.2">
      <c r="A36" s="258"/>
      <c r="B36" s="67" t="s">
        <v>120</v>
      </c>
      <c r="C36" s="51" t="s">
        <v>130</v>
      </c>
      <c r="D36" s="51">
        <f>'Данные по авиапарку'!P16</f>
        <v>-816838202.80804443</v>
      </c>
      <c r="E36" s="66">
        <f>'Данные по авиапарку'!Q16</f>
        <v>-792333056.7237854</v>
      </c>
      <c r="F36" s="51">
        <f>'Данные по авиапарку'!R16</f>
        <v>-4105866357.4562988</v>
      </c>
      <c r="G36" s="51">
        <f>'Данные по авиапарку'!S16</f>
        <v>-3754175680.4203873</v>
      </c>
      <c r="H36" s="52">
        <f>'Данные по авиапарку'!T16</f>
        <v>-2133647099.0886459</v>
      </c>
      <c r="J36" s="68"/>
      <c r="L36" s="8"/>
      <c r="M36" s="33"/>
      <c r="N36" s="33"/>
      <c r="O36" s="33"/>
    </row>
    <row r="37" spans="1:15" x14ac:dyDescent="0.2">
      <c r="A37" s="258"/>
      <c r="B37" s="65" t="s">
        <v>172</v>
      </c>
      <c r="C37" s="69">
        <f>'Данные по авиапарку'!C25/(1+C11)^C10</f>
        <v>2258772842.1402025</v>
      </c>
      <c r="D37" s="69">
        <f>'Данные по авиапарку'!D25/(1+D11)^D10</f>
        <v>2192983341.8836918</v>
      </c>
      <c r="E37" s="70">
        <f>'Данные по авиапарку'!E25/(1+E11)^E10</f>
        <v>2118909786.1113396</v>
      </c>
      <c r="F37" s="70">
        <f>'Данные по авиапарку'!F25/(1+F11)^F10</f>
        <v>2398503684.9005394</v>
      </c>
      <c r="G37" s="70">
        <f>'Данные по авиапарку'!G25/(1+G11)^G10</f>
        <v>2321132479.938045</v>
      </c>
      <c r="H37" s="71">
        <f>'Данные по авиапарку'!H25/(1+H11)^H10</f>
        <v>2245843067.5160952</v>
      </c>
      <c r="J37" s="34"/>
      <c r="L37" s="8"/>
      <c r="M37" s="33"/>
      <c r="N37" s="36"/>
      <c r="O37" s="33"/>
    </row>
    <row r="38" spans="1:15" x14ac:dyDescent="0.2">
      <c r="A38" s="258"/>
      <c r="B38" s="67" t="s">
        <v>119</v>
      </c>
      <c r="C38" s="69"/>
      <c r="D38" s="51"/>
      <c r="E38" s="72"/>
      <c r="F38" s="73"/>
      <c r="G38" s="73"/>
      <c r="H38" s="74"/>
      <c r="J38" s="34"/>
      <c r="L38" s="8"/>
      <c r="M38" s="33"/>
      <c r="N38" s="33"/>
      <c r="O38" s="33"/>
    </row>
    <row r="39" spans="1:15" x14ac:dyDescent="0.2">
      <c r="A39" s="258"/>
      <c r="B39" s="67" t="s">
        <v>118</v>
      </c>
      <c r="C39" s="51" t="s">
        <v>130</v>
      </c>
      <c r="D39" s="51">
        <f>D33-D34+D36-D35-D37</f>
        <v>263088223.34332848</v>
      </c>
      <c r="E39" s="66">
        <f>E33-E34+E36-E35-E37</f>
        <v>846937849.40805817</v>
      </c>
      <c r="F39" s="51">
        <f>F33-F34+F36-F35-F37</f>
        <v>400710684.12068367</v>
      </c>
      <c r="G39" s="51">
        <f>G33-G34+G36-G35-G37</f>
        <v>1267884648.6522985</v>
      </c>
      <c r="H39" s="52">
        <f>H33-H34+H36-H35-H37</f>
        <v>3384573539.8882122</v>
      </c>
      <c r="J39" s="68"/>
      <c r="L39" s="8"/>
      <c r="M39" s="33"/>
      <c r="N39" s="33"/>
      <c r="O39" s="33"/>
    </row>
    <row r="40" spans="1:15" x14ac:dyDescent="0.2">
      <c r="A40" s="258"/>
      <c r="B40" s="67" t="s">
        <v>121</v>
      </c>
      <c r="C40" s="51">
        <f t="shared" ref="C40:H40" si="3">C33-C34</f>
        <v>8426183549.6303062</v>
      </c>
      <c r="D40" s="51">
        <f t="shared" si="3"/>
        <v>8709802971.91856</v>
      </c>
      <c r="E40" s="66">
        <f t="shared" si="3"/>
        <v>9011429084.8440475</v>
      </c>
      <c r="F40" s="51">
        <f t="shared" si="3"/>
        <v>11986056497.0924</v>
      </c>
      <c r="G40" s="51">
        <f t="shared" si="3"/>
        <v>12260265884.694366</v>
      </c>
      <c r="H40" s="52">
        <f t="shared" si="3"/>
        <v>12521644144.033895</v>
      </c>
      <c r="J40" s="34"/>
      <c r="L40" s="8"/>
      <c r="M40" s="33"/>
      <c r="N40" s="36"/>
      <c r="O40" s="33"/>
    </row>
    <row r="41" spans="1:15" x14ac:dyDescent="0.2">
      <c r="A41" s="258"/>
      <c r="B41" s="67" t="s">
        <v>123</v>
      </c>
      <c r="C41" s="51">
        <f>C40*B3</f>
        <v>4465877281.3040628</v>
      </c>
      <c r="D41" s="51">
        <f>D40*B3</f>
        <v>4616195575.1168375</v>
      </c>
      <c r="E41" s="66">
        <f>E40*B3</f>
        <v>4776057414.9673452</v>
      </c>
      <c r="F41" s="51">
        <f>F40*B3</f>
        <v>6352609943.458972</v>
      </c>
      <c r="G41" s="51">
        <f>G40*B3</f>
        <v>6497940918.8880148</v>
      </c>
      <c r="H41" s="52">
        <f>H40*B3</f>
        <v>6636471396.337965</v>
      </c>
      <c r="J41" s="68"/>
      <c r="L41" s="8"/>
      <c r="M41" s="33"/>
      <c r="N41" s="33"/>
      <c r="O41" s="33"/>
    </row>
    <row r="42" spans="1:15" x14ac:dyDescent="0.2">
      <c r="A42" s="258"/>
      <c r="B42" s="67" t="s">
        <v>131</v>
      </c>
      <c r="C42" s="75">
        <f t="shared" ref="C42:H42" si="4">C40/C33</f>
        <v>0.33345566995515974</v>
      </c>
      <c r="D42" s="75">
        <f t="shared" si="4"/>
        <v>0.34467955368785796</v>
      </c>
      <c r="E42" s="76">
        <f t="shared" si="4"/>
        <v>0.35661602967003042</v>
      </c>
      <c r="F42" s="75">
        <f t="shared" si="4"/>
        <v>0.40679656534455377</v>
      </c>
      <c r="G42" s="75">
        <f t="shared" si="4"/>
        <v>0.41610299878984691</v>
      </c>
      <c r="H42" s="77">
        <f t="shared" si="4"/>
        <v>0.42497395465267396</v>
      </c>
      <c r="J42" s="34"/>
      <c r="L42" s="8"/>
      <c r="M42" s="33"/>
      <c r="N42" s="36"/>
      <c r="O42" s="33"/>
    </row>
    <row r="43" spans="1:15" x14ac:dyDescent="0.2">
      <c r="A43" s="258"/>
      <c r="B43" s="64" t="s">
        <v>129</v>
      </c>
      <c r="C43" s="75">
        <v>0.25</v>
      </c>
      <c r="D43" s="75">
        <v>0.25</v>
      </c>
      <c r="E43" s="75">
        <v>0.25</v>
      </c>
      <c r="F43" s="75">
        <v>0.25</v>
      </c>
      <c r="G43" s="75">
        <v>0.25</v>
      </c>
      <c r="H43" s="77">
        <v>0.25</v>
      </c>
      <c r="J43" s="68"/>
      <c r="L43" s="8"/>
      <c r="M43" s="33"/>
      <c r="N43" s="33"/>
      <c r="O43" s="33"/>
    </row>
    <row r="44" spans="1:15" x14ac:dyDescent="0.2">
      <c r="A44" s="258"/>
      <c r="B44" s="64" t="s">
        <v>124</v>
      </c>
      <c r="C44" s="51">
        <f>C40*(1+B1)/(C43-B1)</f>
        <v>37368292263.577881</v>
      </c>
      <c r="D44" s="51">
        <f>D40*(1+B1)/(D43-B1)</f>
        <v>38626082745.030136</v>
      </c>
      <c r="E44" s="51">
        <f>E40*(1+B1)/(E43-B1)</f>
        <v>39963728984.960556</v>
      </c>
      <c r="F44" s="51">
        <f>F40*(1+B1)/(F43-B1)</f>
        <v>53155554900.148903</v>
      </c>
      <c r="G44" s="51">
        <f>G40*(1+B1)/(G43-B1)</f>
        <v>54371613923.427193</v>
      </c>
      <c r="H44" s="52">
        <f>H40*(1+B1)/(H43-B1)</f>
        <v>55530769682.237274</v>
      </c>
      <c r="J44" s="68"/>
      <c r="L44" s="8"/>
      <c r="M44" s="33"/>
      <c r="N44" s="33"/>
      <c r="O44" s="33"/>
    </row>
    <row r="45" spans="1:15" ht="19" thickBot="1" x14ac:dyDescent="0.25">
      <c r="A45" s="261"/>
      <c r="B45" s="78" t="s">
        <v>133</v>
      </c>
      <c r="C45" s="79">
        <f t="shared" ref="C45:H45" si="5">C44/C41</f>
        <v>8.3675143560295311</v>
      </c>
      <c r="D45" s="79">
        <f t="shared" si="5"/>
        <v>8.3675143560295311</v>
      </c>
      <c r="E45" s="79">
        <f t="shared" si="5"/>
        <v>8.3675143560295311</v>
      </c>
      <c r="F45" s="79">
        <f t="shared" si="5"/>
        <v>8.3675143560295329</v>
      </c>
      <c r="G45" s="79">
        <f t="shared" si="5"/>
        <v>8.3675143560295329</v>
      </c>
      <c r="H45" s="80">
        <f t="shared" si="5"/>
        <v>8.3675143560295311</v>
      </c>
      <c r="J45" s="68"/>
      <c r="L45" s="8"/>
      <c r="M45" s="33"/>
      <c r="N45" s="33"/>
      <c r="O45" s="33"/>
    </row>
    <row r="46" spans="1:15" ht="19" thickBot="1" x14ac:dyDescent="0.25">
      <c r="D46" s="34"/>
      <c r="E46" s="34"/>
      <c r="F46" s="34"/>
      <c r="G46" s="68"/>
      <c r="H46" s="68"/>
      <c r="J46" s="68"/>
      <c r="L46" s="8"/>
      <c r="M46" s="33"/>
      <c r="N46" s="33"/>
      <c r="O46" s="33"/>
    </row>
    <row r="47" spans="1:15" ht="19" thickBot="1" x14ac:dyDescent="0.25">
      <c r="B47" s="81" t="s">
        <v>170</v>
      </c>
      <c r="C47" s="82">
        <f>SUM(D39:H39)-C41+H41</f>
        <v>8333789060.4464827</v>
      </c>
      <c r="D47" s="68"/>
      <c r="E47" s="34"/>
      <c r="F47" s="34"/>
      <c r="G47" s="34"/>
      <c r="H47" s="68"/>
      <c r="I47" s="68"/>
      <c r="J47" s="68"/>
      <c r="L47" s="8"/>
      <c r="M47" s="33"/>
      <c r="N47" s="33"/>
      <c r="O47" s="33"/>
    </row>
    <row r="48" spans="1:15" x14ac:dyDescent="0.2">
      <c r="A48" s="68"/>
      <c r="B48" s="68"/>
      <c r="C48" s="68"/>
      <c r="D48" s="68"/>
      <c r="E48" s="34"/>
      <c r="F48" s="34"/>
      <c r="G48" s="34"/>
      <c r="H48" s="68"/>
      <c r="I48" s="68"/>
      <c r="J48" s="68"/>
      <c r="L48" s="8"/>
      <c r="M48" s="33"/>
      <c r="N48" s="83"/>
      <c r="O48" s="83"/>
    </row>
    <row r="49" spans="1:15" x14ac:dyDescent="0.2">
      <c r="L49" s="8"/>
      <c r="M49" s="33"/>
      <c r="N49" s="83"/>
      <c r="O49" s="83"/>
    </row>
    <row r="50" spans="1:15" x14ac:dyDescent="0.2">
      <c r="L50" s="8"/>
      <c r="M50" s="33"/>
      <c r="N50" s="33"/>
      <c r="O50" s="33"/>
    </row>
    <row r="51" spans="1:15" x14ac:dyDescent="0.2">
      <c r="L51" s="8"/>
      <c r="M51" s="33"/>
      <c r="N51" s="33"/>
      <c r="O51" s="33"/>
    </row>
    <row r="52" spans="1:15" x14ac:dyDescent="0.2">
      <c r="L52" s="8"/>
      <c r="M52" s="65"/>
      <c r="N52" s="65"/>
      <c r="O52" s="65"/>
    </row>
    <row r="53" spans="1:15" x14ac:dyDescent="0.2">
      <c r="L53" s="8"/>
      <c r="M53" s="65"/>
      <c r="N53" s="65"/>
      <c r="O53" s="65"/>
    </row>
    <row r="54" spans="1:15" x14ac:dyDescent="0.2">
      <c r="L54" s="8"/>
      <c r="M54" s="84"/>
      <c r="N54" s="65"/>
      <c r="O54" s="65"/>
    </row>
    <row r="55" spans="1:15" x14ac:dyDescent="0.2">
      <c r="L55" s="8"/>
      <c r="O55" s="8"/>
    </row>
    <row r="56" spans="1:15" x14ac:dyDescent="0.2">
      <c r="L56" s="8"/>
      <c r="O56" s="8"/>
    </row>
    <row r="57" spans="1:15" x14ac:dyDescent="0.2">
      <c r="L57" s="8"/>
      <c r="O57" s="8"/>
    </row>
    <row r="58" spans="1:15" x14ac:dyDescent="0.2">
      <c r="L58" s="8"/>
      <c r="O58" s="8"/>
    </row>
    <row r="59" spans="1:15" x14ac:dyDescent="0.2">
      <c r="B59" s="85"/>
      <c r="L59" s="8"/>
      <c r="O59" s="8"/>
    </row>
    <row r="60" spans="1:15" x14ac:dyDescent="0.2">
      <c r="A60" s="8"/>
      <c r="B60" s="8"/>
      <c r="L60" s="8"/>
      <c r="O60" s="8"/>
    </row>
    <row r="61" spans="1:15" x14ac:dyDescent="0.2">
      <c r="A61" s="8"/>
      <c r="L61" s="8"/>
      <c r="O61" s="8"/>
    </row>
    <row r="62" spans="1:15" x14ac:dyDescent="0.2">
      <c r="A62" s="8"/>
      <c r="L62" s="8"/>
      <c r="O62" s="8"/>
    </row>
    <row r="63" spans="1:15" x14ac:dyDescent="0.2">
      <c r="A63" s="8"/>
      <c r="L63" s="8"/>
      <c r="O63" s="8"/>
    </row>
    <row r="64" spans="1:15" x14ac:dyDescent="0.2">
      <c r="A64" s="8"/>
      <c r="L64" s="8"/>
      <c r="O64" s="8"/>
    </row>
    <row r="65" spans="1:15" x14ac:dyDescent="0.2">
      <c r="A65" s="8"/>
      <c r="L65" s="8"/>
      <c r="O65" s="8"/>
    </row>
    <row r="66" spans="1:15" x14ac:dyDescent="0.2">
      <c r="A66" s="8"/>
      <c r="L66" s="8"/>
      <c r="O66" s="8"/>
    </row>
    <row r="67" spans="1:15" x14ac:dyDescent="0.2">
      <c r="A67" s="8"/>
      <c r="L67" s="8"/>
      <c r="O67" s="8"/>
    </row>
    <row r="68" spans="1:15" x14ac:dyDescent="0.2">
      <c r="A68" s="8"/>
      <c r="L68" s="8"/>
      <c r="O68" s="8"/>
    </row>
    <row r="69" spans="1:15" x14ac:dyDescent="0.2">
      <c r="A69" s="8"/>
      <c r="L69" s="8"/>
      <c r="O69" s="8"/>
    </row>
    <row r="70" spans="1:15" x14ac:dyDescent="0.2">
      <c r="A70" s="8"/>
      <c r="L70" s="8"/>
      <c r="O70" s="8"/>
    </row>
    <row r="71" spans="1:15" x14ac:dyDescent="0.2">
      <c r="A71" s="8"/>
      <c r="L71" s="8"/>
      <c r="O71" s="8"/>
    </row>
    <row r="72" spans="1:15" x14ac:dyDescent="0.2">
      <c r="A72" s="8"/>
      <c r="L72" s="8"/>
      <c r="O72" s="8"/>
    </row>
    <row r="73" spans="1:15" x14ac:dyDescent="0.2">
      <c r="A73" s="8"/>
      <c r="L73" s="8"/>
      <c r="O73" s="8"/>
    </row>
    <row r="74" spans="1:15" x14ac:dyDescent="0.2">
      <c r="A74" s="8"/>
      <c r="L74" s="8"/>
      <c r="O74" s="8"/>
    </row>
    <row r="75" spans="1:15" x14ac:dyDescent="0.2">
      <c r="A75" s="8"/>
      <c r="L75" s="8"/>
      <c r="O75" s="8"/>
    </row>
    <row r="76" spans="1:15" x14ac:dyDescent="0.2">
      <c r="A76" s="8"/>
      <c r="L76" s="8"/>
      <c r="O76" s="8"/>
    </row>
    <row r="77" spans="1:15" x14ac:dyDescent="0.2">
      <c r="A77" s="8"/>
      <c r="L77" s="8"/>
      <c r="O77" s="8"/>
    </row>
    <row r="78" spans="1:15" x14ac:dyDescent="0.2">
      <c r="A78" s="8"/>
      <c r="L78" s="8"/>
      <c r="O78" s="8"/>
    </row>
    <row r="79" spans="1:15" x14ac:dyDescent="0.2">
      <c r="A79" s="8"/>
      <c r="L79" s="8"/>
      <c r="O79" s="8"/>
    </row>
    <row r="80" spans="1:15" x14ac:dyDescent="0.2">
      <c r="A80" s="8"/>
      <c r="L80" s="8"/>
      <c r="O80" s="8"/>
    </row>
    <row r="81" spans="1:15" x14ac:dyDescent="0.2">
      <c r="A81" s="8"/>
      <c r="L81" s="8"/>
      <c r="O81" s="8"/>
    </row>
    <row r="82" spans="1:15" x14ac:dyDescent="0.2">
      <c r="A82" s="8"/>
      <c r="L82" s="8"/>
      <c r="O82" s="8"/>
    </row>
    <row r="83" spans="1:15" x14ac:dyDescent="0.2">
      <c r="A83" s="8"/>
      <c r="L83" s="8"/>
      <c r="O83" s="8"/>
    </row>
    <row r="84" spans="1:15" x14ac:dyDescent="0.2">
      <c r="A84" s="8"/>
      <c r="L84" s="8"/>
      <c r="O84" s="8"/>
    </row>
    <row r="85" spans="1:15" x14ac:dyDescent="0.2">
      <c r="A85" s="8"/>
      <c r="L85" s="8"/>
      <c r="O85" s="8"/>
    </row>
    <row r="86" spans="1:15" x14ac:dyDescent="0.2">
      <c r="A86" s="8"/>
      <c r="L86" s="8"/>
      <c r="O86" s="8"/>
    </row>
  </sheetData>
  <mergeCells count="4">
    <mergeCell ref="A8:A12"/>
    <mergeCell ref="A15:A17"/>
    <mergeCell ref="A21:A31"/>
    <mergeCell ref="A33:A4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B0F9-DFC5-774F-A696-3D267F0FD11E}">
  <dimension ref="G1:H31"/>
  <sheetViews>
    <sheetView workbookViewId="0">
      <selection sqref="A1:XFD1"/>
    </sheetView>
  </sheetViews>
  <sheetFormatPr baseColWidth="10" defaultRowHeight="18" x14ac:dyDescent="0.2"/>
  <cols>
    <col min="1" max="6" width="10.83203125" style="3"/>
    <col min="7" max="7" width="11" style="3" bestFit="1" customWidth="1"/>
    <col min="8" max="8" width="14" style="3" bestFit="1" customWidth="1"/>
    <col min="9" max="16384" width="10.83203125" style="3"/>
  </cols>
  <sheetData>
    <row r="1" spans="7:8" s="65" customFormat="1" ht="22" customHeight="1" x14ac:dyDescent="0.2">
      <c r="G1" s="88"/>
      <c r="H1" s="6"/>
    </row>
    <row r="3" spans="7:8" x14ac:dyDescent="0.2">
      <c r="G3" s="8"/>
    </row>
    <row r="4" spans="7:8" x14ac:dyDescent="0.2">
      <c r="G4" s="8"/>
    </row>
    <row r="5" spans="7:8" x14ac:dyDescent="0.2">
      <c r="G5" s="8"/>
    </row>
    <row r="6" spans="7:8" x14ac:dyDescent="0.2">
      <c r="G6" s="8"/>
    </row>
    <row r="7" spans="7:8" x14ac:dyDescent="0.2">
      <c r="G7" s="8"/>
    </row>
    <row r="8" spans="7:8" x14ac:dyDescent="0.2">
      <c r="G8" s="8"/>
    </row>
    <row r="9" spans="7:8" x14ac:dyDescent="0.2">
      <c r="G9" s="8"/>
    </row>
    <row r="10" spans="7:8" x14ac:dyDescent="0.2">
      <c r="G10" s="8"/>
    </row>
    <row r="11" spans="7:8" x14ac:dyDescent="0.2">
      <c r="G11" s="8"/>
    </row>
    <row r="12" spans="7:8" x14ac:dyDescent="0.2">
      <c r="G12" s="8"/>
    </row>
    <row r="13" spans="7:8" x14ac:dyDescent="0.2">
      <c r="G13" s="8"/>
    </row>
    <row r="14" spans="7:8" x14ac:dyDescent="0.2">
      <c r="G14" s="8"/>
    </row>
    <row r="15" spans="7:8" x14ac:dyDescent="0.2">
      <c r="G15" s="8"/>
    </row>
    <row r="16" spans="7:8" x14ac:dyDescent="0.2">
      <c r="G16" s="8"/>
    </row>
    <row r="17" spans="7:7" x14ac:dyDescent="0.2">
      <c r="G17" s="8"/>
    </row>
    <row r="18" spans="7:7" x14ac:dyDescent="0.2">
      <c r="G18" s="8"/>
    </row>
    <row r="19" spans="7:7" x14ac:dyDescent="0.2">
      <c r="G19" s="8"/>
    </row>
    <row r="20" spans="7:7" x14ac:dyDescent="0.2">
      <c r="G20" s="8"/>
    </row>
    <row r="21" spans="7:7" x14ac:dyDescent="0.2">
      <c r="G21" s="8"/>
    </row>
    <row r="22" spans="7:7" x14ac:dyDescent="0.2">
      <c r="G22" s="8"/>
    </row>
    <row r="23" spans="7:7" x14ac:dyDescent="0.2">
      <c r="G23" s="8"/>
    </row>
    <row r="24" spans="7:7" x14ac:dyDescent="0.2">
      <c r="G24" s="8"/>
    </row>
    <row r="25" spans="7:7" x14ac:dyDescent="0.2">
      <c r="G25" s="8"/>
    </row>
    <row r="26" spans="7:7" x14ac:dyDescent="0.2">
      <c r="G26" s="8"/>
    </row>
    <row r="27" spans="7:7" x14ac:dyDescent="0.2">
      <c r="G27" s="8"/>
    </row>
    <row r="28" spans="7:7" x14ac:dyDescent="0.2">
      <c r="G28" s="8"/>
    </row>
    <row r="29" spans="7:7" x14ac:dyDescent="0.2">
      <c r="G29" s="8"/>
    </row>
    <row r="30" spans="7:7" x14ac:dyDescent="0.2">
      <c r="G30" s="8"/>
    </row>
    <row r="31" spans="7:7" x14ac:dyDescent="0.2">
      <c r="G3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F3C4-A63F-2C4F-A25E-052F0524BBC6}">
  <dimension ref="A1:T57"/>
  <sheetViews>
    <sheetView showGridLines="0" zoomScale="69" workbookViewId="0">
      <selection activeCell="H31" sqref="H31"/>
    </sheetView>
  </sheetViews>
  <sheetFormatPr baseColWidth="10" defaultRowHeight="18" x14ac:dyDescent="0.2"/>
  <cols>
    <col min="1" max="1" width="6.1640625" style="3" customWidth="1"/>
    <col min="2" max="2" width="12.33203125" style="3" bestFit="1" customWidth="1"/>
    <col min="3" max="5" width="28.6640625" style="3" bestFit="1" customWidth="1"/>
    <col min="6" max="6" width="26.33203125" style="3" customWidth="1"/>
    <col min="7" max="7" width="28.6640625" style="3" bestFit="1" customWidth="1"/>
    <col min="8" max="8" width="25.5" style="3" customWidth="1"/>
    <col min="9" max="9" width="23.83203125" style="3" bestFit="1" customWidth="1"/>
    <col min="10" max="10" width="23.5" style="3" bestFit="1" customWidth="1"/>
    <col min="11" max="11" width="11.6640625" style="3" bestFit="1" customWidth="1"/>
    <col min="12" max="12" width="19.6640625" style="3" bestFit="1" customWidth="1"/>
    <col min="13" max="13" width="30.1640625" style="3" bestFit="1" customWidth="1"/>
    <col min="14" max="14" width="10.33203125" style="3" bestFit="1" customWidth="1"/>
    <col min="15" max="15" width="26.5" style="3" bestFit="1" customWidth="1"/>
    <col min="16" max="16" width="31.1640625" style="3" bestFit="1" customWidth="1"/>
    <col min="17" max="20" width="26.5" style="3" bestFit="1" customWidth="1"/>
    <col min="21" max="16384" width="10.83203125" style="3"/>
  </cols>
  <sheetData>
    <row r="1" spans="1:20" s="7" customFormat="1" ht="80" customHeight="1" x14ac:dyDescent="0.2">
      <c r="A1" s="124" t="s">
        <v>14</v>
      </c>
      <c r="B1" s="125" t="s">
        <v>12</v>
      </c>
      <c r="C1" s="125" t="s">
        <v>13</v>
      </c>
      <c r="D1" s="125" t="s">
        <v>15</v>
      </c>
      <c r="E1" s="126" t="s">
        <v>9</v>
      </c>
      <c r="F1" s="126" t="s">
        <v>16</v>
      </c>
      <c r="G1" s="126" t="s">
        <v>181</v>
      </c>
      <c r="H1" s="126" t="s">
        <v>122</v>
      </c>
      <c r="I1" s="126" t="s">
        <v>10</v>
      </c>
      <c r="J1" s="126" t="s">
        <v>11</v>
      </c>
      <c r="K1" s="127" t="s">
        <v>65</v>
      </c>
      <c r="L1" s="128" t="s">
        <v>116</v>
      </c>
      <c r="M1" s="129" t="s">
        <v>115</v>
      </c>
      <c r="N1" s="1" t="s">
        <v>59</v>
      </c>
      <c r="O1" s="130">
        <v>0</v>
      </c>
      <c r="P1" s="130">
        <v>1</v>
      </c>
      <c r="Q1" s="130">
        <v>2</v>
      </c>
      <c r="R1" s="130">
        <v>3</v>
      </c>
      <c r="S1" s="130">
        <v>4</v>
      </c>
      <c r="T1" s="131">
        <v>5</v>
      </c>
    </row>
    <row r="2" spans="1:20" ht="16" customHeight="1" x14ac:dyDescent="0.2">
      <c r="A2" s="89">
        <v>1</v>
      </c>
      <c r="B2" s="20" t="s">
        <v>0</v>
      </c>
      <c r="C2" s="20" t="s">
        <v>1</v>
      </c>
      <c r="D2" s="20">
        <v>5</v>
      </c>
      <c r="E2" s="20">
        <v>1</v>
      </c>
      <c r="F2" s="20" t="s">
        <v>2</v>
      </c>
      <c r="G2" s="73">
        <v>1800000000</v>
      </c>
      <c r="H2" s="90">
        <f>G2/usd</f>
        <v>24590163.934426229</v>
      </c>
      <c r="I2" s="20">
        <v>220</v>
      </c>
      <c r="J2" s="20">
        <v>26</v>
      </c>
      <c r="K2" s="91">
        <f>SUMPRODUCT(Рейсы!E16:E18,Рейсы!F16:F18)</f>
        <v>4323.8025594149904</v>
      </c>
      <c r="L2" s="19"/>
      <c r="M2" s="92"/>
      <c r="N2" s="262" t="s">
        <v>112</v>
      </c>
      <c r="O2" s="19"/>
      <c r="P2" s="19"/>
      <c r="Q2" s="19"/>
      <c r="R2" s="19"/>
      <c r="S2" s="19"/>
      <c r="T2" s="92"/>
    </row>
    <row r="3" spans="1:20" x14ac:dyDescent="0.2">
      <c r="A3" s="89">
        <v>2</v>
      </c>
      <c r="B3" s="20" t="s">
        <v>0</v>
      </c>
      <c r="C3" s="20" t="s">
        <v>1</v>
      </c>
      <c r="D3" s="20">
        <v>5</v>
      </c>
      <c r="E3" s="20">
        <v>2</v>
      </c>
      <c r="F3" s="20" t="s">
        <v>2</v>
      </c>
      <c r="G3" s="73">
        <v>1800000000</v>
      </c>
      <c r="H3" s="90">
        <f>G3/usd</f>
        <v>24590163.934426229</v>
      </c>
      <c r="I3" s="20">
        <v>220</v>
      </c>
      <c r="J3" s="20">
        <v>26</v>
      </c>
      <c r="K3" s="91">
        <f>SUMPRODUCT(Рейсы!E19:E21,Рейсы!F19:F21)</f>
        <v>3639.3214098515741</v>
      </c>
      <c r="L3" s="19"/>
      <c r="M3" s="93"/>
      <c r="N3" s="262"/>
      <c r="O3" s="19"/>
      <c r="P3" s="19"/>
      <c r="Q3" s="19"/>
      <c r="R3" s="19"/>
      <c r="S3" s="19"/>
      <c r="T3" s="92"/>
    </row>
    <row r="4" spans="1:20" x14ac:dyDescent="0.2">
      <c r="A4" s="89">
        <v>3</v>
      </c>
      <c r="B4" s="20" t="s">
        <v>0</v>
      </c>
      <c r="C4" s="20" t="s">
        <v>1</v>
      </c>
      <c r="D4" s="20" t="s">
        <v>3</v>
      </c>
      <c r="E4" s="20" t="s">
        <v>4</v>
      </c>
      <c r="F4" s="20" t="s">
        <v>4</v>
      </c>
      <c r="G4" s="94" t="s">
        <v>4</v>
      </c>
      <c r="H4" s="90"/>
      <c r="I4" s="20" t="s">
        <v>4</v>
      </c>
      <c r="J4" s="20" t="s">
        <v>4</v>
      </c>
      <c r="K4" s="91"/>
      <c r="L4" s="95">
        <v>296400000</v>
      </c>
      <c r="M4" s="93">
        <f>L4*usd</f>
        <v>21696480000</v>
      </c>
      <c r="N4" s="262"/>
      <c r="O4" s="51">
        <f>M4*(1+Sheet1!C11)^Sheet1!C10</f>
        <v>21696480000</v>
      </c>
      <c r="P4" s="51">
        <f>M4*(1+Sheet1!D11)^Sheet1!D10</f>
        <v>23464743119.999996</v>
      </c>
      <c r="Q4" s="51">
        <f>M4*(1+Sheet1!E11)^Sheet1!E10</f>
        <v>25499283016.708801</v>
      </c>
      <c r="R4" s="51">
        <f>Q4*(1-depreciation_rate)*(1+Sheet1!F12)</f>
        <v>26851578107.921112</v>
      </c>
      <c r="S4" s="51">
        <f>R4*(1-depreciation_rate)*(1+Sheet1!G12)</f>
        <v>28259944820.63483</v>
      </c>
      <c r="T4" s="52">
        <f>S4*(1-depreciation_rate)*(1+Sheet1!H12)</f>
        <v>29747663883.169193</v>
      </c>
    </row>
    <row r="5" spans="1:20" x14ac:dyDescent="0.2">
      <c r="A5" s="89">
        <v>4</v>
      </c>
      <c r="B5" s="20" t="s">
        <v>0</v>
      </c>
      <c r="C5" s="20" t="s">
        <v>1</v>
      </c>
      <c r="D5" s="20" t="s">
        <v>3</v>
      </c>
      <c r="E5" s="20" t="s">
        <v>4</v>
      </c>
      <c r="F5" s="20" t="s">
        <v>4</v>
      </c>
      <c r="G5" s="94" t="s">
        <v>4</v>
      </c>
      <c r="H5" s="90"/>
      <c r="I5" s="20" t="s">
        <v>4</v>
      </c>
      <c r="J5" s="20" t="s">
        <v>4</v>
      </c>
      <c r="K5" s="91"/>
      <c r="L5" s="95">
        <v>296400000</v>
      </c>
      <c r="M5" s="93">
        <f>L5*usd</f>
        <v>21696480000</v>
      </c>
      <c r="N5" s="262"/>
      <c r="O5" s="51">
        <f>M5*(1+Sheet1!C11)^Sheet1!C10</f>
        <v>21696480000</v>
      </c>
      <c r="P5" s="51">
        <f>M5*(1+Sheet1!D11)^Sheet1!D10</f>
        <v>23464743119.999996</v>
      </c>
      <c r="Q5" s="51">
        <f>M5*(1+Sheet1!E11)^Sheet1!E10</f>
        <v>25499283016.708801</v>
      </c>
      <c r="R5" s="51">
        <f>Q5*(1-depreciation_rate)</f>
        <v>24734304526.207535</v>
      </c>
      <c r="S5" s="51">
        <f>R5*(1-depreciation_rate)</f>
        <v>23992275390.421307</v>
      </c>
      <c r="T5" s="52">
        <f>S5*(1-depreciation_rate)*(1+Sheet1!H12)</f>
        <v>25255326881.797222</v>
      </c>
    </row>
    <row r="6" spans="1:20" x14ac:dyDescent="0.2">
      <c r="A6" s="89">
        <v>5</v>
      </c>
      <c r="B6" s="20" t="s">
        <v>5</v>
      </c>
      <c r="C6" s="20" t="s">
        <v>1</v>
      </c>
      <c r="D6" s="20">
        <v>20</v>
      </c>
      <c r="E6" s="20">
        <v>3</v>
      </c>
      <c r="F6" s="20" t="s">
        <v>6</v>
      </c>
      <c r="G6" s="94" t="s">
        <v>4</v>
      </c>
      <c r="H6" s="90"/>
      <c r="I6" s="20">
        <v>240</v>
      </c>
      <c r="J6" s="20">
        <v>16</v>
      </c>
      <c r="K6" s="91">
        <f>SUMPRODUCT(Рейсы!E22:E25,Рейсы!F22:F25)</f>
        <v>3967.4125874125871</v>
      </c>
      <c r="L6" s="95">
        <v>221700000</v>
      </c>
      <c r="M6" s="93">
        <f>L6*usd</f>
        <v>16228440000</v>
      </c>
      <c r="N6" s="262"/>
      <c r="O6" s="51">
        <f>M6*(1-depreciation_rate)^D6</f>
        <v>8824933866.5261402</v>
      </c>
      <c r="P6" s="51">
        <f>O6*(1-depreciation_rate)*(1+Sheet1!D12)</f>
        <v>9257840997.3485794</v>
      </c>
      <c r="Q6" s="51">
        <f>P6*(1-depreciation_rate)*(1+Sheet1!E12)</f>
        <v>9758737068.3148003</v>
      </c>
      <c r="R6" s="51">
        <f>Q6*(1-depreciation_rate)*(1+Sheet1!F12)</f>
        <v>10276268962.261246</v>
      </c>
      <c r="S6" s="51">
        <f>R6*(1-depreciation_rate)*(1+Sheet1!G12)</f>
        <v>10815259820.793783</v>
      </c>
      <c r="T6" s="52">
        <f>S6*(1-depreciation_rate)*(1+Sheet1!H12)</f>
        <v>11384619326.050434</v>
      </c>
    </row>
    <row r="7" spans="1:20" x14ac:dyDescent="0.2">
      <c r="A7" s="89">
        <v>6</v>
      </c>
      <c r="B7" s="20" t="s">
        <v>5</v>
      </c>
      <c r="C7" s="20" t="s">
        <v>1</v>
      </c>
      <c r="D7" s="20">
        <v>20</v>
      </c>
      <c r="E7" s="20">
        <v>4</v>
      </c>
      <c r="F7" s="20" t="s">
        <v>6</v>
      </c>
      <c r="G7" s="94" t="s">
        <v>4</v>
      </c>
      <c r="H7" s="90"/>
      <c r="I7" s="20">
        <v>240</v>
      </c>
      <c r="J7" s="20">
        <v>16</v>
      </c>
      <c r="K7" s="91">
        <f>SUMPRODUCT(Рейсы!E26:E31,Рейсы!F26:F31)</f>
        <v>3456.4335664335663</v>
      </c>
      <c r="L7" s="95">
        <v>221700000</v>
      </c>
      <c r="M7" s="93">
        <f>L7*usd</f>
        <v>16228440000</v>
      </c>
      <c r="N7" s="262"/>
      <c r="O7" s="51">
        <f>M7*(1-depreciation_rate)^D7</f>
        <v>8824933866.5261402</v>
      </c>
      <c r="P7" s="51">
        <f>O7*(1-depreciation_rate)*(1+Sheet1!D12)</f>
        <v>9257840997.3485794</v>
      </c>
      <c r="Q7" s="51">
        <f>P7*(1-depreciation_rate)*(1+Sheet1!E12)</f>
        <v>9758737068.3148003</v>
      </c>
      <c r="R7" s="51">
        <f>Q7*(1-depreciation_rate)*(1+Sheet1!F12)</f>
        <v>10276268962.261246</v>
      </c>
      <c r="S7" s="51">
        <f>R7*(1-depreciation_rate)*(1+Sheet1!G12)</f>
        <v>10815259820.793783</v>
      </c>
      <c r="T7" s="52">
        <f>S7*(1-depreciation_rate)*(1+Sheet1!H12)</f>
        <v>11384619326.050434</v>
      </c>
    </row>
    <row r="8" spans="1:20" x14ac:dyDescent="0.2">
      <c r="A8" s="89">
        <v>7</v>
      </c>
      <c r="B8" s="20" t="s">
        <v>7</v>
      </c>
      <c r="C8" s="20" t="s">
        <v>8</v>
      </c>
      <c r="D8" s="20">
        <v>17</v>
      </c>
      <c r="E8" s="20">
        <v>5</v>
      </c>
      <c r="F8" s="20" t="s">
        <v>2</v>
      </c>
      <c r="G8" s="73">
        <v>500000000</v>
      </c>
      <c r="H8" s="90">
        <f>G8/usd</f>
        <v>6830601.0928961746</v>
      </c>
      <c r="I8" s="20">
        <v>164</v>
      </c>
      <c r="J8" s="20">
        <v>0</v>
      </c>
      <c r="K8" s="91">
        <f>SUMPRODUCT(Рейсы!E2:E3,Рейсы!F2:F3)</f>
        <v>3280</v>
      </c>
      <c r="L8" s="96"/>
      <c r="M8" s="93"/>
      <c r="N8" s="262"/>
      <c r="O8" s="51"/>
      <c r="P8" s="51"/>
      <c r="Q8" s="51"/>
      <c r="R8" s="51"/>
      <c r="S8" s="51"/>
      <c r="T8" s="52"/>
    </row>
    <row r="9" spans="1:20" x14ac:dyDescent="0.2">
      <c r="A9" s="89">
        <v>8</v>
      </c>
      <c r="B9" s="20" t="s">
        <v>7</v>
      </c>
      <c r="C9" s="20" t="s">
        <v>8</v>
      </c>
      <c r="D9" s="20">
        <v>17</v>
      </c>
      <c r="E9" s="20">
        <v>6</v>
      </c>
      <c r="F9" s="20" t="s">
        <v>2</v>
      </c>
      <c r="G9" s="73">
        <v>500000000</v>
      </c>
      <c r="H9" s="90">
        <f>G9/usd</f>
        <v>6830601.0928961746</v>
      </c>
      <c r="I9" s="20">
        <v>164</v>
      </c>
      <c r="J9" s="20">
        <v>0</v>
      </c>
      <c r="K9" s="91">
        <f>SUMPRODUCT(Рейсы!E4:E5,Рейсы!F5:F6)</f>
        <v>4754.142084562438</v>
      </c>
      <c r="L9" s="96"/>
      <c r="M9" s="93"/>
      <c r="N9" s="262"/>
      <c r="O9" s="51"/>
      <c r="P9" s="51"/>
      <c r="Q9" s="51"/>
      <c r="R9" s="51"/>
      <c r="S9" s="51"/>
      <c r="T9" s="52"/>
    </row>
    <row r="10" spans="1:20" x14ac:dyDescent="0.2">
      <c r="A10" s="89">
        <v>9</v>
      </c>
      <c r="B10" s="20" t="s">
        <v>7</v>
      </c>
      <c r="C10" s="20" t="s">
        <v>8</v>
      </c>
      <c r="D10" s="20">
        <v>8</v>
      </c>
      <c r="E10" s="20">
        <v>7</v>
      </c>
      <c r="F10" s="20" t="s">
        <v>2</v>
      </c>
      <c r="G10" s="73">
        <v>500000000</v>
      </c>
      <c r="H10" s="90">
        <f>G10/usd</f>
        <v>6830601.0928961746</v>
      </c>
      <c r="I10" s="20">
        <v>140</v>
      </c>
      <c r="J10" s="20">
        <v>12</v>
      </c>
      <c r="K10" s="91">
        <f>SUMPRODUCT(Рейсы!E6:E6,Рейсы!F6:F6)</f>
        <v>3908.8495575221241</v>
      </c>
      <c r="L10" s="96"/>
      <c r="M10" s="93"/>
      <c r="N10" s="262"/>
      <c r="O10" s="51"/>
      <c r="P10" s="51"/>
      <c r="Q10" s="51"/>
      <c r="R10" s="51"/>
      <c r="S10" s="51"/>
      <c r="T10" s="52"/>
    </row>
    <row r="11" spans="1:20" x14ac:dyDescent="0.2">
      <c r="A11" s="89">
        <v>10</v>
      </c>
      <c r="B11" s="20" t="s">
        <v>7</v>
      </c>
      <c r="C11" s="20" t="s">
        <v>8</v>
      </c>
      <c r="D11" s="20">
        <v>7</v>
      </c>
      <c r="E11" s="20">
        <v>8</v>
      </c>
      <c r="F11" s="20" t="s">
        <v>2</v>
      </c>
      <c r="G11" s="73">
        <v>500000000</v>
      </c>
      <c r="H11" s="90">
        <f>G11/usd</f>
        <v>6830601.0928961746</v>
      </c>
      <c r="I11" s="20">
        <v>140</v>
      </c>
      <c r="J11" s="20">
        <v>12</v>
      </c>
      <c r="K11" s="91">
        <f>SUMPRODUCT(Рейсы!E7:E7,Рейсы!F7:F7)</f>
        <v>3944.070796460177</v>
      </c>
      <c r="L11" s="96"/>
      <c r="M11" s="93"/>
      <c r="N11" s="262"/>
      <c r="O11" s="51"/>
      <c r="P11" s="51"/>
      <c r="Q11" s="51"/>
      <c r="R11" s="51"/>
      <c r="S11" s="51"/>
      <c r="T11" s="52"/>
    </row>
    <row r="12" spans="1:20" x14ac:dyDescent="0.2">
      <c r="A12" s="89">
        <v>11</v>
      </c>
      <c r="B12" s="20" t="s">
        <v>7</v>
      </c>
      <c r="C12" s="20" t="s">
        <v>8</v>
      </c>
      <c r="D12" s="20">
        <v>15</v>
      </c>
      <c r="E12" s="20">
        <v>9</v>
      </c>
      <c r="F12" s="20" t="s">
        <v>6</v>
      </c>
      <c r="G12" s="94" t="s">
        <v>4</v>
      </c>
      <c r="H12" s="90"/>
      <c r="I12" s="20">
        <v>164</v>
      </c>
      <c r="J12" s="20">
        <v>0</v>
      </c>
      <c r="K12" s="91">
        <f>SUMPRODUCT(Рейсы!E8:E9,Рейсы!F8:F9)</f>
        <v>3297.2222222222222</v>
      </c>
      <c r="L12" s="95">
        <v>93900000</v>
      </c>
      <c r="M12" s="52">
        <f>L12*usd</f>
        <v>6873480000</v>
      </c>
      <c r="N12" s="262"/>
      <c r="O12" s="51">
        <f>M12*(1-depreciation_rate)^D12</f>
        <v>4352639383.5079384</v>
      </c>
      <c r="P12" s="51">
        <f>O12*(1-depreciation_rate)*(1+Sheet1!D11)^Sheet1!D10</f>
        <v>4566158108.4659204</v>
      </c>
      <c r="Q12" s="51">
        <f>P12*(1-depreciation_rate)*(1+Sheet1!E12)</f>
        <v>4813210380.8689756</v>
      </c>
      <c r="R12" s="51">
        <f>Q12*(1-depreciation_rate)*(1+Sheet1!F12)</f>
        <v>5068467784.2538557</v>
      </c>
      <c r="S12" s="51">
        <f>R12*(1-depreciation_rate)*(1+Sheet1!G12)</f>
        <v>5334309191.5303698</v>
      </c>
      <c r="T12" s="52">
        <f>S12*(1-depreciation_rate)*(1+Sheet1!H12)</f>
        <v>5615129041.6773281</v>
      </c>
    </row>
    <row r="13" spans="1:20" ht="19" thickBot="1" x14ac:dyDescent="0.25">
      <c r="A13" s="97">
        <v>12</v>
      </c>
      <c r="B13" s="98" t="s">
        <v>7</v>
      </c>
      <c r="C13" s="98" t="s">
        <v>8</v>
      </c>
      <c r="D13" s="98">
        <v>9</v>
      </c>
      <c r="E13" s="98">
        <v>10</v>
      </c>
      <c r="F13" s="98" t="s">
        <v>6</v>
      </c>
      <c r="G13" s="99" t="s">
        <v>4</v>
      </c>
      <c r="H13" s="100"/>
      <c r="I13" s="98">
        <v>164</v>
      </c>
      <c r="J13" s="98">
        <v>0</v>
      </c>
      <c r="K13" s="101">
        <f>SUMPRODUCT(Рейсы!E10:E11,Рейсы!F10:F11)</f>
        <v>2807.2222222222222</v>
      </c>
      <c r="L13" s="102">
        <v>93900000</v>
      </c>
      <c r="M13" s="55">
        <f>L13*usd</f>
        <v>6873480000</v>
      </c>
      <c r="N13" s="263"/>
      <c r="O13" s="54">
        <f>M13*(1-depreciation_rate)^D13</f>
        <v>5225432977.0409803</v>
      </c>
      <c r="P13" s="54">
        <f>O13*(1-depreciation_rate)*(1+Sheet1!D11)^Sheet1!D10</f>
        <v>5481766591.7297249</v>
      </c>
      <c r="Q13" s="54">
        <f>P13*(1-depreciation_rate)*(1+Sheet1!E12)</f>
        <v>5778357918.8585558</v>
      </c>
      <c r="R13" s="54">
        <f>Q13*(1-depreciation_rate)</f>
        <v>5605007181.292799</v>
      </c>
      <c r="S13" s="54">
        <f>R13*(1-depreciation_rate)</f>
        <v>5436856965.8540154</v>
      </c>
      <c r="T13" s="55">
        <f>S13*(1-depreciation_rate)</f>
        <v>5273751256.8783951</v>
      </c>
    </row>
    <row r="14" spans="1:20" x14ac:dyDescent="0.2">
      <c r="F14" s="103" t="s">
        <v>17</v>
      </c>
      <c r="G14" s="104">
        <f>SUM(G2:G13)</f>
        <v>5600000000</v>
      </c>
      <c r="H14" s="105">
        <f>SUM(H2:H13)</f>
        <v>76502732.240437165</v>
      </c>
      <c r="N14" s="106" t="s">
        <v>109</v>
      </c>
      <c r="O14" s="104">
        <f t="shared" ref="O14:T14" si="0">SUM(O2:O13)</f>
        <v>70620900093.601196</v>
      </c>
      <c r="P14" s="104">
        <f t="shared" si="0"/>
        <v>75493092934.892792</v>
      </c>
      <c r="Q14" s="104">
        <f t="shared" si="0"/>
        <v>81107608469.774734</v>
      </c>
      <c r="R14" s="104">
        <f t="shared" si="0"/>
        <v>82811895524.1978</v>
      </c>
      <c r="S14" s="104">
        <f>SUM(S2:S13)</f>
        <v>84653906010.028091</v>
      </c>
      <c r="T14" s="107">
        <f t="shared" si="0"/>
        <v>88661109715.622986</v>
      </c>
    </row>
    <row r="15" spans="1:20" x14ac:dyDescent="0.2">
      <c r="N15" s="11" t="s">
        <v>60</v>
      </c>
      <c r="O15" s="69">
        <f>O14</f>
        <v>70620900093.601196</v>
      </c>
      <c r="P15" s="69">
        <f>P14/(1+Sheet1!D11)^Sheet1!D10</f>
        <v>69804061890.793152</v>
      </c>
      <c r="Q15" s="69">
        <f>Q14/(1+Sheet1!E11)^Sheet1!E10</f>
        <v>69011728834.069366</v>
      </c>
      <c r="R15" s="69">
        <f>R14/(1+Sheet1!F11)^Sheet1!F10</f>
        <v>64905862476.613068</v>
      </c>
      <c r="S15" s="69">
        <f>S14/(1+Sheet1!G11)^Sheet1!G10</f>
        <v>61151686796.19268</v>
      </c>
      <c r="T15" s="108">
        <f>T14/(1+Sheet1!H11)^Sheet1!H10</f>
        <v>59018039697.104034</v>
      </c>
    </row>
    <row r="16" spans="1:20" ht="19" thickBot="1" x14ac:dyDescent="0.25">
      <c r="J16" s="24" t="s">
        <v>66</v>
      </c>
      <c r="N16" s="13" t="s">
        <v>110</v>
      </c>
      <c r="O16" s="109">
        <v>0</v>
      </c>
      <c r="P16" s="109">
        <f>P15-O15</f>
        <v>-816838202.80804443</v>
      </c>
      <c r="Q16" s="109">
        <f t="shared" ref="Q16:T16" si="1">Q15-P15</f>
        <v>-792333056.7237854</v>
      </c>
      <c r="R16" s="109">
        <f t="shared" si="1"/>
        <v>-4105866357.4562988</v>
      </c>
      <c r="S16" s="109">
        <f t="shared" si="1"/>
        <v>-3754175680.4203873</v>
      </c>
      <c r="T16" s="110">
        <f t="shared" si="1"/>
        <v>-2133647099.0886459</v>
      </c>
    </row>
    <row r="17" spans="1:16" ht="19" thickBot="1" x14ac:dyDescent="0.25">
      <c r="J17" s="24" t="s">
        <v>107</v>
      </c>
      <c r="K17" s="24">
        <f>16*365</f>
        <v>5840</v>
      </c>
    </row>
    <row r="18" spans="1:16" x14ac:dyDescent="0.2">
      <c r="N18" s="264" t="s">
        <v>117</v>
      </c>
      <c r="O18" s="265"/>
      <c r="P18" s="111">
        <f>SUM(O16:T16)</f>
        <v>-11602860396.497162</v>
      </c>
    </row>
    <row r="19" spans="1:16" ht="19" thickBot="1" x14ac:dyDescent="0.25">
      <c r="G19" s="65"/>
      <c r="H19" s="65"/>
      <c r="I19" s="112"/>
      <c r="N19" s="266" t="s">
        <v>162</v>
      </c>
      <c r="O19" s="267"/>
      <c r="P19" s="113">
        <v>0.03</v>
      </c>
    </row>
    <row r="20" spans="1:16" ht="51" customHeight="1" thickBot="1" x14ac:dyDescent="0.25">
      <c r="A20" s="270" t="s">
        <v>59</v>
      </c>
      <c r="B20" s="271"/>
      <c r="C20" s="114">
        <v>2021</v>
      </c>
      <c r="D20" s="115">
        <v>2022</v>
      </c>
      <c r="E20" s="115">
        <v>2023</v>
      </c>
      <c r="F20" s="115">
        <v>2024</v>
      </c>
      <c r="G20" s="115">
        <v>2025</v>
      </c>
      <c r="H20" s="116">
        <v>2026</v>
      </c>
      <c r="I20" s="117" t="s">
        <v>171</v>
      </c>
    </row>
    <row r="21" spans="1:16" x14ac:dyDescent="0.2">
      <c r="A21" s="268" t="s">
        <v>173</v>
      </c>
      <c r="B21" s="118" t="s">
        <v>105</v>
      </c>
      <c r="C21" s="281">
        <f>SUMPRODUCT(Рейсы!E2:E15,Рейсы!F2:F15)</f>
        <v>27265.142576204522</v>
      </c>
      <c r="D21" s="282">
        <f>SUMPRODUCT(Рейсы!E2:E15,Рейсы!F2:F15)</f>
        <v>27265.142576204522</v>
      </c>
      <c r="E21" s="283">
        <f>SUMPRODUCT(Рейсы!E2:E15,Рейсы!F2:F15)</f>
        <v>27265.142576204522</v>
      </c>
      <c r="F21" s="283">
        <f>SUMPRODUCT(Рейсы!E2:E15,Рейсы!F2:F15)</f>
        <v>27265.142576204522</v>
      </c>
      <c r="G21" s="283">
        <f>SUMPRODUCT(Рейсы!E2:E15,Рейсы!F2:F15)</f>
        <v>27265.142576204522</v>
      </c>
      <c r="H21" s="284">
        <f>SUMPRODUCT(Рейсы!E2:E15,Рейсы!F2:F15)</f>
        <v>27265.142576204522</v>
      </c>
      <c r="I21" s="285">
        <v>509</v>
      </c>
    </row>
    <row r="22" spans="1:16" x14ac:dyDescent="0.2">
      <c r="A22" s="268"/>
      <c r="B22" s="119" t="s">
        <v>106</v>
      </c>
      <c r="C22" s="286">
        <f>SUMPRODUCT(Рейсы!E22:E31,Рейсы!F22:F31)</f>
        <v>7423.8461538461524</v>
      </c>
      <c r="D22" s="287">
        <f>SUMPRODUCT(Рейсы!E22:E31,Рейсы!F22:F31)</f>
        <v>7423.8461538461524</v>
      </c>
      <c r="E22" s="288">
        <f>SUMPRODUCT(Рейсы!E22:E31,Рейсы!F22:F31)</f>
        <v>7423.8461538461524</v>
      </c>
      <c r="F22" s="288">
        <f>SUMPRODUCT(Рейсы!E22:E31,Рейсы!F22:F31)</f>
        <v>7423.8461538461524</v>
      </c>
      <c r="G22" s="288">
        <f>SUMPRODUCT(Рейсы!E22:E31,Рейсы!F22:F31)</f>
        <v>7423.8461538461524</v>
      </c>
      <c r="H22" s="289">
        <f>SUMPRODUCT(Рейсы!E22:E31,Рейсы!F22:F31)</f>
        <v>7423.8461538461524</v>
      </c>
      <c r="I22" s="285">
        <v>1000</v>
      </c>
    </row>
    <row r="23" spans="1:16" ht="19" thickBot="1" x14ac:dyDescent="0.25">
      <c r="A23" s="268"/>
      <c r="B23" s="119" t="s">
        <v>163</v>
      </c>
      <c r="C23" s="286">
        <f>SUMPRODUCT(Рейсы!E16:E21,Рейсы!F16:F21)</f>
        <v>7963.123969266564</v>
      </c>
      <c r="D23" s="287">
        <f>SUMPRODUCT(Рейсы!E16:E21,Рейсы!F16:F21)</f>
        <v>7963.123969266564</v>
      </c>
      <c r="E23" s="288">
        <f>SUMPRODUCT(Рейсы!E16:E21,Рейсы!F16:F21)</f>
        <v>7963.123969266564</v>
      </c>
      <c r="F23" s="288">
        <f>SUMPRODUCT(Рейсы!E16:E21,Рейсы!F16:F21)+SUMPRODUCT(Рейсы!E32:E34,Рейсы!F32:F34)</f>
        <v>12343.123969266564</v>
      </c>
      <c r="G23" s="288">
        <f>SUMPRODUCT(Рейсы!E16:E21,Рейсы!F16:F21)+SUMPRODUCT(Рейсы!E32:E34,Рейсы!F32:F34)</f>
        <v>12343.123969266564</v>
      </c>
      <c r="H23" s="289">
        <f>SUMPRODUCT(Рейсы!E16:E21,Рейсы!F16:F21)+SUMPRODUCT(Рейсы!E32:E34,Рейсы!F32:F34)</f>
        <v>12343.123969266564</v>
      </c>
      <c r="I23" s="290">
        <v>1200</v>
      </c>
      <c r="K23" s="120"/>
    </row>
    <row r="24" spans="1:16" x14ac:dyDescent="0.2">
      <c r="A24" s="268"/>
      <c r="B24" s="121" t="s">
        <v>174</v>
      </c>
      <c r="C24" s="291">
        <f t="shared" ref="C24:H24" si="2">C21*maintanance_hour320+C22*maintanance_hour330+C23*maintanance_hour330neo</f>
        <v>30857552.48825413</v>
      </c>
      <c r="D24" s="292">
        <f t="shared" si="2"/>
        <v>30857552.48825413</v>
      </c>
      <c r="E24" s="292">
        <f t="shared" si="2"/>
        <v>30857552.48825413</v>
      </c>
      <c r="F24" s="292">
        <f t="shared" si="2"/>
        <v>36113552.48825413</v>
      </c>
      <c r="G24" s="292">
        <f t="shared" si="2"/>
        <v>36113552.48825413</v>
      </c>
      <c r="H24" s="293">
        <f t="shared" si="2"/>
        <v>36113552.48825413</v>
      </c>
      <c r="I24" s="280"/>
    </row>
    <row r="25" spans="1:16" ht="19" thickBot="1" x14ac:dyDescent="0.25">
      <c r="A25" s="269"/>
      <c r="B25" s="122" t="s">
        <v>175</v>
      </c>
      <c r="C25" s="294">
        <f>C24*usd</f>
        <v>2258772842.1402025</v>
      </c>
      <c r="D25" s="295">
        <f>D24*Sheet1!D16</f>
        <v>2371711484.2472124</v>
      </c>
      <c r="E25" s="295">
        <f>E24*Sheet1!E16</f>
        <v>2490297058.4595733</v>
      </c>
      <c r="F25" s="295">
        <f>F24*Sheet1!F16</f>
        <v>3060195627.7825522</v>
      </c>
      <c r="G25" s="295">
        <f>G24*Sheet1!G16</f>
        <v>3213205409.1716795</v>
      </c>
      <c r="H25" s="296">
        <f>H24*Sheet1!H16</f>
        <v>3373865679.6302638</v>
      </c>
      <c r="I25" s="280"/>
    </row>
    <row r="26" spans="1:16" x14ac:dyDescent="0.2">
      <c r="B26" s="123"/>
    </row>
    <row r="27" spans="1:16" x14ac:dyDescent="0.2">
      <c r="B27" s="123"/>
    </row>
    <row r="28" spans="1:16" x14ac:dyDescent="0.2">
      <c r="B28" s="123"/>
    </row>
    <row r="29" spans="1:16" x14ac:dyDescent="0.2">
      <c r="B29" s="123"/>
    </row>
    <row r="30" spans="1:16" x14ac:dyDescent="0.2">
      <c r="B30" s="123"/>
    </row>
    <row r="31" spans="1:16" x14ac:dyDescent="0.2">
      <c r="B31" s="123"/>
    </row>
    <row r="32" spans="1:16" x14ac:dyDescent="0.2">
      <c r="B32" s="123"/>
    </row>
    <row r="33" spans="2:2" x14ac:dyDescent="0.2">
      <c r="B33" s="123"/>
    </row>
    <row r="34" spans="2:2" x14ac:dyDescent="0.2">
      <c r="B34" s="123"/>
    </row>
    <row r="35" spans="2:2" x14ac:dyDescent="0.2">
      <c r="B35" s="123"/>
    </row>
    <row r="36" spans="2:2" x14ac:dyDescent="0.2">
      <c r="B36" s="123"/>
    </row>
    <row r="37" spans="2:2" x14ac:dyDescent="0.2">
      <c r="B37" s="123"/>
    </row>
    <row r="38" spans="2:2" x14ac:dyDescent="0.2">
      <c r="B38" s="123"/>
    </row>
    <row r="39" spans="2:2" x14ac:dyDescent="0.2">
      <c r="B39" s="123"/>
    </row>
    <row r="40" spans="2:2" x14ac:dyDescent="0.2">
      <c r="B40" s="123"/>
    </row>
    <row r="41" spans="2:2" x14ac:dyDescent="0.2">
      <c r="B41" s="123"/>
    </row>
    <row r="42" spans="2:2" x14ac:dyDescent="0.2">
      <c r="B42" s="123"/>
    </row>
    <row r="43" spans="2:2" x14ac:dyDescent="0.2">
      <c r="B43" s="123"/>
    </row>
    <row r="44" spans="2:2" x14ac:dyDescent="0.2">
      <c r="B44" s="123"/>
    </row>
    <row r="45" spans="2:2" x14ac:dyDescent="0.2">
      <c r="B45" s="123"/>
    </row>
    <row r="46" spans="2:2" x14ac:dyDescent="0.2">
      <c r="B46" s="123"/>
    </row>
    <row r="47" spans="2:2" x14ac:dyDescent="0.2">
      <c r="B47" s="123"/>
    </row>
    <row r="48" spans="2:2" x14ac:dyDescent="0.2">
      <c r="B48" s="123"/>
    </row>
    <row r="49" spans="2:2" x14ac:dyDescent="0.2">
      <c r="B49" s="123"/>
    </row>
    <row r="50" spans="2:2" x14ac:dyDescent="0.2">
      <c r="B50" s="123"/>
    </row>
    <row r="51" spans="2:2" x14ac:dyDescent="0.2">
      <c r="B51" s="123"/>
    </row>
    <row r="52" spans="2:2" x14ac:dyDescent="0.2">
      <c r="B52" s="123"/>
    </row>
    <row r="53" spans="2:2" x14ac:dyDescent="0.2">
      <c r="B53" s="123"/>
    </row>
    <row r="54" spans="2:2" x14ac:dyDescent="0.2">
      <c r="B54" s="123"/>
    </row>
    <row r="55" spans="2:2" x14ac:dyDescent="0.2">
      <c r="B55" s="123"/>
    </row>
    <row r="56" spans="2:2" x14ac:dyDescent="0.2">
      <c r="B56" s="123"/>
    </row>
    <row r="57" spans="2:2" x14ac:dyDescent="0.2">
      <c r="B57" s="123"/>
    </row>
  </sheetData>
  <mergeCells count="5">
    <mergeCell ref="N2:N13"/>
    <mergeCell ref="N18:O18"/>
    <mergeCell ref="N19:O19"/>
    <mergeCell ref="A21:A25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1CC8-5E66-484E-A1B7-B84851F82C75}">
  <dimension ref="A1:Z40"/>
  <sheetViews>
    <sheetView showGridLines="0" zoomScale="75" zoomScaleNormal="80" workbookViewId="0">
      <selection activeCell="C27" sqref="C27"/>
    </sheetView>
  </sheetViews>
  <sheetFormatPr baseColWidth="10" defaultRowHeight="18" x14ac:dyDescent="0.2"/>
  <cols>
    <col min="1" max="1" width="17" style="3" customWidth="1"/>
    <col min="2" max="2" width="39" style="3" customWidth="1"/>
    <col min="3" max="3" width="19.33203125" style="3" bestFit="1" customWidth="1"/>
    <col min="4" max="4" width="20.6640625" style="3" bestFit="1" customWidth="1"/>
    <col min="5" max="5" width="28.83203125" style="3" bestFit="1" customWidth="1"/>
    <col min="6" max="6" width="29.1640625" style="3" bestFit="1" customWidth="1"/>
    <col min="7" max="8" width="23.6640625" style="3" bestFit="1" customWidth="1"/>
    <col min="9" max="9" width="23.5" style="3" customWidth="1"/>
    <col min="10" max="10" width="20.1640625" style="3" bestFit="1" customWidth="1"/>
    <col min="11" max="11" width="18.33203125" style="3" bestFit="1" customWidth="1"/>
    <col min="12" max="12" width="14.83203125" style="3" bestFit="1" customWidth="1"/>
    <col min="13" max="13" width="14.1640625" style="3" bestFit="1" customWidth="1"/>
    <col min="14" max="14" width="10.83203125" style="3" bestFit="1" customWidth="1"/>
    <col min="15" max="15" width="22.6640625" style="3" bestFit="1" customWidth="1"/>
    <col min="16" max="16" width="26.1640625" style="3" bestFit="1" customWidth="1"/>
    <col min="17" max="17" width="24.6640625" style="3" bestFit="1" customWidth="1"/>
    <col min="18" max="18" width="22.33203125" style="3" bestFit="1" customWidth="1"/>
    <col min="19" max="19" width="23.5" style="3" bestFit="1" customWidth="1"/>
    <col min="20" max="20" width="24.33203125" style="3" bestFit="1" customWidth="1"/>
    <col min="21" max="21" width="23.1640625" style="3" bestFit="1" customWidth="1"/>
    <col min="22" max="22" width="25.33203125" style="3" bestFit="1" customWidth="1"/>
    <col min="23" max="23" width="25.1640625" style="3" customWidth="1"/>
    <col min="24" max="24" width="24.33203125" style="3" bestFit="1" customWidth="1"/>
    <col min="25" max="25" width="24" style="3" bestFit="1" customWidth="1"/>
    <col min="26" max="26" width="24.6640625" style="3" bestFit="1" customWidth="1"/>
    <col min="27" max="27" width="19.1640625" style="3" bestFit="1" customWidth="1"/>
    <col min="28" max="28" width="21" style="3" bestFit="1" customWidth="1"/>
    <col min="29" max="29" width="11" style="3" bestFit="1" customWidth="1"/>
    <col min="30" max="30" width="18.5" style="3" bestFit="1" customWidth="1"/>
    <col min="31" max="31" width="17.5" style="3" bestFit="1" customWidth="1"/>
    <col min="32" max="16384" width="10.83203125" style="3"/>
  </cols>
  <sheetData>
    <row r="1" spans="1:26" s="7" customFormat="1" ht="55" customHeight="1" thickBot="1" x14ac:dyDescent="0.25">
      <c r="A1" s="132"/>
      <c r="B1" s="133" t="s">
        <v>18</v>
      </c>
      <c r="C1" s="134" t="s">
        <v>9</v>
      </c>
      <c r="D1" s="134" t="s">
        <v>19</v>
      </c>
      <c r="E1" s="134" t="s">
        <v>20</v>
      </c>
      <c r="F1" s="134" t="s">
        <v>21</v>
      </c>
      <c r="G1" s="135" t="s">
        <v>165</v>
      </c>
      <c r="H1" s="134" t="s">
        <v>166</v>
      </c>
      <c r="I1" s="136" t="s">
        <v>168</v>
      </c>
      <c r="J1" s="136" t="s">
        <v>167</v>
      </c>
      <c r="K1" s="134" t="s">
        <v>22</v>
      </c>
      <c r="L1" s="134" t="s">
        <v>23</v>
      </c>
      <c r="M1" s="134" t="s">
        <v>24</v>
      </c>
      <c r="N1" s="134" t="s">
        <v>25</v>
      </c>
      <c r="O1" s="134" t="s">
        <v>26</v>
      </c>
      <c r="P1" s="137" t="s">
        <v>63</v>
      </c>
      <c r="Q1" s="134" t="s">
        <v>54</v>
      </c>
      <c r="R1" s="134" t="s">
        <v>55</v>
      </c>
      <c r="S1" s="134" t="s">
        <v>56</v>
      </c>
      <c r="T1" s="134" t="s">
        <v>57</v>
      </c>
      <c r="U1" s="134" t="s">
        <v>58</v>
      </c>
      <c r="V1" s="137" t="s">
        <v>61</v>
      </c>
      <c r="W1" s="137" t="s">
        <v>136</v>
      </c>
      <c r="X1" s="137" t="s">
        <v>142</v>
      </c>
      <c r="Y1" s="138" t="s">
        <v>104</v>
      </c>
      <c r="Z1" s="88"/>
    </row>
    <row r="2" spans="1:26" ht="16" customHeight="1" x14ac:dyDescent="0.2">
      <c r="A2" s="272" t="s">
        <v>64</v>
      </c>
      <c r="B2" s="16" t="s">
        <v>27</v>
      </c>
      <c r="C2" s="16">
        <v>5</v>
      </c>
      <c r="D2" s="16" t="s">
        <v>28</v>
      </c>
      <c r="E2" s="16">
        <v>1</v>
      </c>
      <c r="F2" s="139">
        <f>'Оптимизация рейсов'!K2</f>
        <v>1013.3333333333333</v>
      </c>
      <c r="G2" s="140">
        <v>2000</v>
      </c>
      <c r="H2" s="141">
        <f t="shared" ref="H2:H34" si="0">G2*mult_19_21</f>
        <v>2242.5384199999999</v>
      </c>
      <c r="I2" s="142"/>
      <c r="J2" s="143"/>
      <c r="K2" s="16">
        <v>164</v>
      </c>
      <c r="L2" s="38"/>
      <c r="M2" s="144">
        <f>'Оптимизация рейсов'!I2</f>
        <v>0.9</v>
      </c>
      <c r="N2" s="145"/>
      <c r="O2" s="146">
        <v>17100000</v>
      </c>
      <c r="P2" s="147">
        <f t="shared" ref="P2:P34" si="1">O2+(N2*L2*J2+M2*K2*H2)*F2</f>
        <v>352511986.40255994</v>
      </c>
      <c r="Q2" s="148">
        <v>42000</v>
      </c>
      <c r="R2" s="146">
        <v>6000</v>
      </c>
      <c r="S2" s="16">
        <v>2</v>
      </c>
      <c r="T2" s="146">
        <v>2000</v>
      </c>
      <c r="U2" s="16">
        <v>4</v>
      </c>
      <c r="V2" s="38">
        <v>2600</v>
      </c>
      <c r="W2" s="149">
        <f t="shared" ref="W2:W34" si="2">V2*F2*E2</f>
        <v>2634666.6666666665</v>
      </c>
      <c r="X2" s="150">
        <f t="shared" ref="X2:X34" si="3">Q2*F2</f>
        <v>42560000</v>
      </c>
      <c r="Y2" s="50">
        <f t="shared" ref="Y2:Y15" si="4">(T2*U2+R2*S2)*F2*E2</f>
        <v>20266666.666666664</v>
      </c>
      <c r="Z2" s="65"/>
    </row>
    <row r="3" spans="1:26" x14ac:dyDescent="0.2">
      <c r="A3" s="273"/>
      <c r="B3" s="20" t="s">
        <v>29</v>
      </c>
      <c r="C3" s="20">
        <v>5</v>
      </c>
      <c r="D3" s="20" t="s">
        <v>28</v>
      </c>
      <c r="E3" s="20">
        <v>4</v>
      </c>
      <c r="F3" s="151">
        <f>'Оптимизация рейсов'!K3</f>
        <v>566.66666666666663</v>
      </c>
      <c r="G3" s="152">
        <v>4000</v>
      </c>
      <c r="H3" s="73">
        <f t="shared" si="0"/>
        <v>4485.0768399999997</v>
      </c>
      <c r="I3" s="72"/>
      <c r="J3" s="66"/>
      <c r="K3" s="20">
        <v>164</v>
      </c>
      <c r="L3" s="19"/>
      <c r="M3" s="153">
        <f>'Оптимизация рейсов'!I3</f>
        <v>0.9</v>
      </c>
      <c r="N3" s="75"/>
      <c r="O3" s="94">
        <v>9000000</v>
      </c>
      <c r="P3" s="154">
        <f t="shared" si="1"/>
        <v>384131826.89759994</v>
      </c>
      <c r="Q3" s="155">
        <v>42000</v>
      </c>
      <c r="R3" s="94">
        <v>6000</v>
      </c>
      <c r="S3" s="20">
        <v>2</v>
      </c>
      <c r="T3" s="94">
        <v>2000</v>
      </c>
      <c r="U3" s="20">
        <v>4</v>
      </c>
      <c r="V3" s="19">
        <v>2600</v>
      </c>
      <c r="W3" s="91">
        <f t="shared" si="2"/>
        <v>5893333.333333333</v>
      </c>
      <c r="X3" s="156">
        <f t="shared" si="3"/>
        <v>23800000</v>
      </c>
      <c r="Y3" s="52">
        <f t="shared" si="4"/>
        <v>45333333.333333328</v>
      </c>
      <c r="Z3" s="65"/>
    </row>
    <row r="4" spans="1:26" x14ac:dyDescent="0.2">
      <c r="A4" s="273"/>
      <c r="B4" s="20" t="s">
        <v>30</v>
      </c>
      <c r="C4" s="20">
        <v>6</v>
      </c>
      <c r="D4" s="20" t="s">
        <v>28</v>
      </c>
      <c r="E4" s="20">
        <v>4</v>
      </c>
      <c r="F4" s="151">
        <f>'Оптимизация рейсов'!K4</f>
        <v>566.66666666666663</v>
      </c>
      <c r="G4" s="152">
        <v>4500</v>
      </c>
      <c r="H4" s="73">
        <f t="shared" si="0"/>
        <v>5045.7114449999999</v>
      </c>
      <c r="I4" s="72"/>
      <c r="J4" s="66"/>
      <c r="K4" s="20">
        <v>164</v>
      </c>
      <c r="L4" s="19"/>
      <c r="M4" s="153">
        <f>'Оптимизация рейсов'!I4</f>
        <v>0.9</v>
      </c>
      <c r="N4" s="75"/>
      <c r="O4" s="94">
        <v>9000000</v>
      </c>
      <c r="P4" s="154">
        <f t="shared" si="1"/>
        <v>431023305.25979996</v>
      </c>
      <c r="Q4" s="155">
        <v>42000</v>
      </c>
      <c r="R4" s="94">
        <v>6000</v>
      </c>
      <c r="S4" s="20">
        <v>2</v>
      </c>
      <c r="T4" s="94">
        <v>2000</v>
      </c>
      <c r="U4" s="20">
        <v>4</v>
      </c>
      <c r="V4" s="19">
        <v>2600</v>
      </c>
      <c r="W4" s="91">
        <f t="shared" si="2"/>
        <v>5893333.333333333</v>
      </c>
      <c r="X4" s="156">
        <f t="shared" si="3"/>
        <v>23800000</v>
      </c>
      <c r="Y4" s="52">
        <f t="shared" si="4"/>
        <v>45333333.333333328</v>
      </c>
      <c r="Z4" s="65"/>
    </row>
    <row r="5" spans="1:26" x14ac:dyDescent="0.2">
      <c r="A5" s="273"/>
      <c r="B5" s="20" t="s">
        <v>31</v>
      </c>
      <c r="C5" s="20">
        <v>6</v>
      </c>
      <c r="D5" s="20" t="s">
        <v>28</v>
      </c>
      <c r="E5" s="20">
        <v>2.5</v>
      </c>
      <c r="F5" s="151">
        <f>'Оптимизация рейсов'!K5</f>
        <v>577.77777777777771</v>
      </c>
      <c r="G5" s="152">
        <v>5000</v>
      </c>
      <c r="H5" s="73">
        <f t="shared" si="0"/>
        <v>5606.3460499999992</v>
      </c>
      <c r="I5" s="72"/>
      <c r="J5" s="66"/>
      <c r="K5" s="20">
        <v>164</v>
      </c>
      <c r="L5" s="19"/>
      <c r="M5" s="153">
        <f>'Оптимизация рейсов'!I5</f>
        <v>0.9</v>
      </c>
      <c r="N5" s="75"/>
      <c r="O5" s="94">
        <v>9750000</v>
      </c>
      <c r="P5" s="154">
        <f t="shared" si="1"/>
        <v>487859191.14399987</v>
      </c>
      <c r="Q5" s="155">
        <v>42000</v>
      </c>
      <c r="R5" s="94">
        <v>6000</v>
      </c>
      <c r="S5" s="20">
        <v>2</v>
      </c>
      <c r="T5" s="94">
        <v>2000</v>
      </c>
      <c r="U5" s="20">
        <v>4</v>
      </c>
      <c r="V5" s="19">
        <v>2600</v>
      </c>
      <c r="W5" s="91">
        <f t="shared" si="2"/>
        <v>3755555.555555555</v>
      </c>
      <c r="X5" s="156">
        <f t="shared" si="3"/>
        <v>24266666.666666664</v>
      </c>
      <c r="Y5" s="52">
        <f t="shared" si="4"/>
        <v>28888888.888888884</v>
      </c>
      <c r="Z5" s="65"/>
    </row>
    <row r="6" spans="1:26" x14ac:dyDescent="0.2">
      <c r="A6" s="273"/>
      <c r="B6" s="20" t="s">
        <v>32</v>
      </c>
      <c r="C6" s="20">
        <v>7</v>
      </c>
      <c r="D6" s="20" t="s">
        <v>28</v>
      </c>
      <c r="E6" s="20">
        <v>4</v>
      </c>
      <c r="F6" s="151">
        <f>'Оптимизация рейсов'!K6</f>
        <v>977.21238938053102</v>
      </c>
      <c r="G6" s="152">
        <v>11000</v>
      </c>
      <c r="H6" s="73">
        <f t="shared" si="0"/>
        <v>12333.961309999999</v>
      </c>
      <c r="I6" s="72">
        <v>70000</v>
      </c>
      <c r="J6" s="72">
        <f>I6*mult_19_21</f>
        <v>78488.844699999987</v>
      </c>
      <c r="K6" s="20">
        <v>140</v>
      </c>
      <c r="L6" s="20">
        <v>12</v>
      </c>
      <c r="M6" s="153">
        <f>'Оптимизация рейсов'!I6</f>
        <v>0.9</v>
      </c>
      <c r="N6" s="75">
        <f>'Оптимизация рейсов'!J6</f>
        <v>0.8</v>
      </c>
      <c r="O6" s="94">
        <v>15750000</v>
      </c>
      <c r="P6" s="154">
        <f t="shared" si="1"/>
        <v>2270737981.1887298</v>
      </c>
      <c r="Q6" s="155">
        <v>42000</v>
      </c>
      <c r="R6" s="94">
        <v>6000</v>
      </c>
      <c r="S6" s="20">
        <v>2</v>
      </c>
      <c r="T6" s="94">
        <v>2000</v>
      </c>
      <c r="U6" s="20">
        <v>4</v>
      </c>
      <c r="V6" s="19">
        <v>2600</v>
      </c>
      <c r="W6" s="91">
        <f t="shared" si="2"/>
        <v>10163008.849557523</v>
      </c>
      <c r="X6" s="156">
        <f t="shared" si="3"/>
        <v>41042920.3539823</v>
      </c>
      <c r="Y6" s="52">
        <f t="shared" si="4"/>
        <v>78176991.150442481</v>
      </c>
      <c r="Z6" s="65"/>
    </row>
    <row r="7" spans="1:26" x14ac:dyDescent="0.2">
      <c r="A7" s="273"/>
      <c r="B7" s="20" t="s">
        <v>33</v>
      </c>
      <c r="C7" s="20">
        <v>8</v>
      </c>
      <c r="D7" s="20" t="s">
        <v>28</v>
      </c>
      <c r="E7" s="20">
        <v>4.5</v>
      </c>
      <c r="F7" s="151">
        <f>'Оптимизация рейсов'!K7</f>
        <v>876.46017699115043</v>
      </c>
      <c r="G7" s="152">
        <v>7500</v>
      </c>
      <c r="H7" s="73">
        <f t="shared" si="0"/>
        <v>8409.5190750000002</v>
      </c>
      <c r="I7" s="72">
        <v>45000</v>
      </c>
      <c r="J7" s="72">
        <f>I7*mult_19_21</f>
        <v>50457.114449999994</v>
      </c>
      <c r="K7" s="20">
        <v>140</v>
      </c>
      <c r="L7" s="20">
        <v>12</v>
      </c>
      <c r="M7" s="153">
        <f>'Оптимизация рейсов'!I7</f>
        <v>0.9</v>
      </c>
      <c r="N7" s="75">
        <f>'Оптимизация рейсов'!J7</f>
        <v>0.8</v>
      </c>
      <c r="O7" s="94">
        <v>14400000</v>
      </c>
      <c r="P7" s="154">
        <f t="shared" si="1"/>
        <v>1367643734.716078</v>
      </c>
      <c r="Q7" s="155">
        <v>42000</v>
      </c>
      <c r="R7" s="94">
        <v>6000</v>
      </c>
      <c r="S7" s="20">
        <v>2</v>
      </c>
      <c r="T7" s="94">
        <v>2000</v>
      </c>
      <c r="U7" s="20">
        <v>4</v>
      </c>
      <c r="V7" s="19">
        <v>2600</v>
      </c>
      <c r="W7" s="91">
        <f t="shared" si="2"/>
        <v>10254584.07079646</v>
      </c>
      <c r="X7" s="156">
        <f t="shared" si="3"/>
        <v>36811327.433628321</v>
      </c>
      <c r="Y7" s="52">
        <f t="shared" si="4"/>
        <v>78881415.929203525</v>
      </c>
      <c r="Z7" s="65"/>
    </row>
    <row r="8" spans="1:26" x14ac:dyDescent="0.2">
      <c r="A8" s="273"/>
      <c r="B8" s="20" t="s">
        <v>34</v>
      </c>
      <c r="C8" s="20">
        <v>9</v>
      </c>
      <c r="D8" s="20" t="s">
        <v>28</v>
      </c>
      <c r="E8" s="20">
        <v>2</v>
      </c>
      <c r="F8" s="151">
        <f>'Оптимизация рейсов'!K8</f>
        <v>633.33333333333337</v>
      </c>
      <c r="G8" s="152">
        <v>5500</v>
      </c>
      <c r="H8" s="73">
        <f t="shared" si="0"/>
        <v>6166.9806549999994</v>
      </c>
      <c r="I8" s="72"/>
      <c r="J8" s="72"/>
      <c r="K8" s="20">
        <v>164</v>
      </c>
      <c r="L8" s="19"/>
      <c r="M8" s="153">
        <f>'Оптимизация рейсов'!I8</f>
        <v>0.9</v>
      </c>
      <c r="N8" s="75"/>
      <c r="O8" s="94">
        <v>11400000</v>
      </c>
      <c r="P8" s="154">
        <f t="shared" si="1"/>
        <v>587889351.6293999</v>
      </c>
      <c r="Q8" s="155">
        <v>42000</v>
      </c>
      <c r="R8" s="94">
        <v>6000</v>
      </c>
      <c r="S8" s="20">
        <v>2</v>
      </c>
      <c r="T8" s="94">
        <v>2000</v>
      </c>
      <c r="U8" s="20">
        <v>4</v>
      </c>
      <c r="V8" s="19">
        <v>2600</v>
      </c>
      <c r="W8" s="91">
        <f t="shared" si="2"/>
        <v>3293333.3333333335</v>
      </c>
      <c r="X8" s="156">
        <f t="shared" si="3"/>
        <v>26600000</v>
      </c>
      <c r="Y8" s="52">
        <f t="shared" si="4"/>
        <v>25333333.333333336</v>
      </c>
      <c r="Z8" s="65"/>
    </row>
    <row r="9" spans="1:26" x14ac:dyDescent="0.2">
      <c r="A9" s="273"/>
      <c r="B9" s="20" t="s">
        <v>35</v>
      </c>
      <c r="C9" s="20">
        <v>9</v>
      </c>
      <c r="D9" s="20" t="s">
        <v>28</v>
      </c>
      <c r="E9" s="20">
        <v>2.5</v>
      </c>
      <c r="F9" s="151">
        <f>'Оптимизация рейсов'!K9</f>
        <v>812.22222222222217</v>
      </c>
      <c r="G9" s="152">
        <v>4000</v>
      </c>
      <c r="H9" s="73">
        <f t="shared" si="0"/>
        <v>4485.0768399999997</v>
      </c>
      <c r="I9" s="72"/>
      <c r="J9" s="72"/>
      <c r="K9" s="20">
        <v>164</v>
      </c>
      <c r="L9" s="19"/>
      <c r="M9" s="153">
        <f>'Оптимизация рейсов'!I9</f>
        <v>0.9</v>
      </c>
      <c r="N9" s="75"/>
      <c r="O9" s="94">
        <v>12900000</v>
      </c>
      <c r="P9" s="154">
        <f t="shared" si="1"/>
        <v>550588951.88655984</v>
      </c>
      <c r="Q9" s="155">
        <v>42000</v>
      </c>
      <c r="R9" s="94">
        <v>6000</v>
      </c>
      <c r="S9" s="20">
        <v>2</v>
      </c>
      <c r="T9" s="94">
        <v>2000</v>
      </c>
      <c r="U9" s="20">
        <v>4</v>
      </c>
      <c r="V9" s="19">
        <v>2600</v>
      </c>
      <c r="W9" s="91">
        <f t="shared" si="2"/>
        <v>5279444.444444444</v>
      </c>
      <c r="X9" s="156">
        <f t="shared" si="3"/>
        <v>34113333.333333328</v>
      </c>
      <c r="Y9" s="52">
        <f t="shared" si="4"/>
        <v>40611111.111111112</v>
      </c>
      <c r="Z9" s="65"/>
    </row>
    <row r="10" spans="1:26" x14ac:dyDescent="0.2">
      <c r="A10" s="273"/>
      <c r="B10" s="20" t="s">
        <v>36</v>
      </c>
      <c r="C10" s="20">
        <v>10</v>
      </c>
      <c r="D10" s="20" t="s">
        <v>28</v>
      </c>
      <c r="E10" s="20">
        <v>2</v>
      </c>
      <c r="F10" s="151">
        <f>'Оптимизация рейсов'!K10</f>
        <v>591.11111111111109</v>
      </c>
      <c r="G10" s="152">
        <v>4500</v>
      </c>
      <c r="H10" s="73">
        <f t="shared" si="0"/>
        <v>5045.7114449999999</v>
      </c>
      <c r="I10" s="72"/>
      <c r="J10" s="72"/>
      <c r="K10" s="20">
        <v>164</v>
      </c>
      <c r="L10" s="19"/>
      <c r="M10" s="153">
        <f>'Оптимизация рейсов'!I10</f>
        <v>0.9</v>
      </c>
      <c r="N10" s="75"/>
      <c r="O10" s="94">
        <v>11400000</v>
      </c>
      <c r="P10" s="154">
        <f t="shared" si="1"/>
        <v>451628232.15336001</v>
      </c>
      <c r="Q10" s="155">
        <v>42000</v>
      </c>
      <c r="R10" s="94">
        <v>6000</v>
      </c>
      <c r="S10" s="20">
        <v>2</v>
      </c>
      <c r="T10" s="94">
        <v>2000</v>
      </c>
      <c r="U10" s="20">
        <v>4</v>
      </c>
      <c r="V10" s="19">
        <v>2600</v>
      </c>
      <c r="W10" s="91">
        <f t="shared" si="2"/>
        <v>3073777.7777777775</v>
      </c>
      <c r="X10" s="156">
        <f t="shared" si="3"/>
        <v>24826666.666666664</v>
      </c>
      <c r="Y10" s="52">
        <f t="shared" si="4"/>
        <v>23644444.444444444</v>
      </c>
      <c r="Z10" s="65"/>
    </row>
    <row r="11" spans="1:26" x14ac:dyDescent="0.2">
      <c r="A11" s="273"/>
      <c r="B11" s="20" t="s">
        <v>37</v>
      </c>
      <c r="C11" s="20">
        <v>10</v>
      </c>
      <c r="D11" s="20" t="s">
        <v>28</v>
      </c>
      <c r="E11" s="20">
        <v>3</v>
      </c>
      <c r="F11" s="151">
        <f>'Оптимизация рейсов'!K11</f>
        <v>541.66666666666663</v>
      </c>
      <c r="G11" s="152">
        <v>5000</v>
      </c>
      <c r="H11" s="73">
        <f t="shared" si="0"/>
        <v>5606.3460499999992</v>
      </c>
      <c r="I11" s="72"/>
      <c r="J11" s="72"/>
      <c r="K11" s="20">
        <v>164</v>
      </c>
      <c r="L11" s="19"/>
      <c r="M11" s="153">
        <f>'Оптимизация рейсов'!I11</f>
        <v>0.9</v>
      </c>
      <c r="N11" s="75"/>
      <c r="O11" s="94">
        <v>11250000</v>
      </c>
      <c r="P11" s="154">
        <f t="shared" si="1"/>
        <v>459477366.69749987</v>
      </c>
      <c r="Q11" s="155">
        <v>42000</v>
      </c>
      <c r="R11" s="94">
        <v>6000</v>
      </c>
      <c r="S11" s="20">
        <v>2</v>
      </c>
      <c r="T11" s="94">
        <v>2000</v>
      </c>
      <c r="U11" s="20">
        <v>4</v>
      </c>
      <c r="V11" s="19">
        <v>2600</v>
      </c>
      <c r="W11" s="91">
        <f t="shared" si="2"/>
        <v>4225000</v>
      </c>
      <c r="X11" s="156">
        <f t="shared" si="3"/>
        <v>22750000</v>
      </c>
      <c r="Y11" s="52">
        <f t="shared" si="4"/>
        <v>32499999.999999996</v>
      </c>
      <c r="Z11" s="65"/>
    </row>
    <row r="12" spans="1:26" x14ac:dyDescent="0.2">
      <c r="A12" s="273"/>
      <c r="B12" s="157" t="s">
        <v>145</v>
      </c>
      <c r="C12" s="158"/>
      <c r="D12" s="159" t="s">
        <v>161</v>
      </c>
      <c r="E12" s="159">
        <v>2</v>
      </c>
      <c r="F12" s="160">
        <f>MIN(F6,F8)</f>
        <v>633.33333333333337</v>
      </c>
      <c r="G12" s="161">
        <f>5760/(1+Sheet1!D11)</f>
        <v>5325.9361997226079</v>
      </c>
      <c r="H12" s="73">
        <f t="shared" si="0"/>
        <v>5971.80827517337</v>
      </c>
      <c r="I12" s="162">
        <f>40000/(1+Sheet1!D11)</f>
        <v>36985.668053629219</v>
      </c>
      <c r="J12" s="72">
        <f>I12*mult_19_21</f>
        <v>41470.890799815068</v>
      </c>
      <c r="K12" s="159">
        <v>140</v>
      </c>
      <c r="L12" s="24">
        <v>12</v>
      </c>
      <c r="M12" s="163">
        <v>0.9</v>
      </c>
      <c r="N12" s="164">
        <v>0.8</v>
      </c>
      <c r="O12" s="165">
        <v>11250000</v>
      </c>
      <c r="P12" s="154">
        <f t="shared" si="1"/>
        <v>739943316.42171061</v>
      </c>
      <c r="Q12" s="155">
        <v>42000</v>
      </c>
      <c r="R12" s="94">
        <v>6000</v>
      </c>
      <c r="S12" s="20">
        <v>2</v>
      </c>
      <c r="T12" s="94">
        <v>2000</v>
      </c>
      <c r="U12" s="20">
        <v>4</v>
      </c>
      <c r="V12" s="19">
        <v>2600</v>
      </c>
      <c r="W12" s="91">
        <f t="shared" si="2"/>
        <v>3293333.3333333335</v>
      </c>
      <c r="X12" s="156">
        <f t="shared" si="3"/>
        <v>26600000</v>
      </c>
      <c r="Y12" s="52">
        <f t="shared" si="4"/>
        <v>25333333.333333336</v>
      </c>
      <c r="Z12" s="65"/>
    </row>
    <row r="13" spans="1:26" x14ac:dyDescent="0.2">
      <c r="A13" s="273"/>
      <c r="B13" s="157" t="s">
        <v>143</v>
      </c>
      <c r="C13" s="158"/>
      <c r="D13" s="159" t="s">
        <v>161</v>
      </c>
      <c r="E13" s="159">
        <v>3</v>
      </c>
      <c r="F13" s="160">
        <f>MIN(F3,F9)</f>
        <v>566.66666666666663</v>
      </c>
      <c r="G13" s="161">
        <f>6332/(1+Sheet1!D11)</f>
        <v>5854.8312528895058</v>
      </c>
      <c r="H13" s="73">
        <f t="shared" si="0"/>
        <v>6564.8420136107261</v>
      </c>
      <c r="I13" s="72"/>
      <c r="J13" s="72"/>
      <c r="K13" s="159">
        <v>164</v>
      </c>
      <c r="L13" s="24"/>
      <c r="M13" s="163">
        <v>0.9</v>
      </c>
      <c r="N13" s="164"/>
      <c r="O13" s="165">
        <v>11250000</v>
      </c>
      <c r="P13" s="154">
        <f t="shared" si="1"/>
        <v>560333386.01840103</v>
      </c>
      <c r="Q13" s="155">
        <v>42000</v>
      </c>
      <c r="R13" s="94">
        <v>6000</v>
      </c>
      <c r="S13" s="20">
        <v>2</v>
      </c>
      <c r="T13" s="94">
        <v>2000</v>
      </c>
      <c r="U13" s="20">
        <v>4</v>
      </c>
      <c r="V13" s="19">
        <v>2600</v>
      </c>
      <c r="W13" s="91">
        <f t="shared" si="2"/>
        <v>4420000</v>
      </c>
      <c r="X13" s="156">
        <f t="shared" si="3"/>
        <v>23800000</v>
      </c>
      <c r="Y13" s="52">
        <f t="shared" si="4"/>
        <v>34000000</v>
      </c>
      <c r="Z13" s="65"/>
    </row>
    <row r="14" spans="1:26" x14ac:dyDescent="0.2">
      <c r="A14" s="273"/>
      <c r="B14" s="157" t="s">
        <v>149</v>
      </c>
      <c r="C14" s="158"/>
      <c r="D14" s="159" t="s">
        <v>161</v>
      </c>
      <c r="E14" s="159">
        <v>4</v>
      </c>
      <c r="F14" s="160">
        <f>MIN(F2,F4)</f>
        <v>566.66666666666663</v>
      </c>
      <c r="G14" s="161">
        <f>12990/(1+Sheet1!D11)</f>
        <v>12011.09570041609</v>
      </c>
      <c r="H14" s="73">
        <f t="shared" si="0"/>
        <v>13467.671787239944</v>
      </c>
      <c r="I14" s="72"/>
      <c r="J14" s="72"/>
      <c r="K14" s="159">
        <v>164</v>
      </c>
      <c r="L14" s="24"/>
      <c r="M14" s="163">
        <v>0.9</v>
      </c>
      <c r="N14" s="164"/>
      <c r="O14" s="165">
        <v>11250000</v>
      </c>
      <c r="P14" s="154">
        <f t="shared" si="1"/>
        <v>1137686068.2847488</v>
      </c>
      <c r="Q14" s="155">
        <v>42000</v>
      </c>
      <c r="R14" s="94">
        <v>6000</v>
      </c>
      <c r="S14" s="20">
        <v>2</v>
      </c>
      <c r="T14" s="94">
        <v>2000</v>
      </c>
      <c r="U14" s="20">
        <v>4</v>
      </c>
      <c r="V14" s="19">
        <v>2600</v>
      </c>
      <c r="W14" s="91">
        <f t="shared" si="2"/>
        <v>5893333.333333333</v>
      </c>
      <c r="X14" s="156">
        <f t="shared" si="3"/>
        <v>23800000</v>
      </c>
      <c r="Y14" s="52">
        <f t="shared" si="4"/>
        <v>45333333.333333328</v>
      </c>
    </row>
    <row r="15" spans="1:26" ht="19" thickBot="1" x14ac:dyDescent="0.25">
      <c r="A15" s="274"/>
      <c r="B15" s="166" t="s">
        <v>147</v>
      </c>
      <c r="C15" s="167"/>
      <c r="D15" s="168" t="s">
        <v>161</v>
      </c>
      <c r="E15" s="168">
        <v>2</v>
      </c>
      <c r="F15" s="169">
        <f>MIN(F11,F2)</f>
        <v>541.66666666666663</v>
      </c>
      <c r="G15" s="170">
        <f>9572/(1+Sheet1!D11)</f>
        <v>8850.6703652334727</v>
      </c>
      <c r="H15" s="171">
        <f t="shared" si="0"/>
        <v>9923.9841683957457</v>
      </c>
      <c r="I15" s="172"/>
      <c r="J15" s="171"/>
      <c r="K15" s="168">
        <v>164</v>
      </c>
      <c r="L15" s="173"/>
      <c r="M15" s="174">
        <v>0.9</v>
      </c>
      <c r="N15" s="175"/>
      <c r="O15" s="176">
        <v>11250000</v>
      </c>
      <c r="P15" s="177">
        <f t="shared" si="1"/>
        <v>804672534.26323974</v>
      </c>
      <c r="Q15" s="178">
        <v>42000</v>
      </c>
      <c r="R15" s="99">
        <v>6000</v>
      </c>
      <c r="S15" s="98">
        <v>2</v>
      </c>
      <c r="T15" s="99">
        <v>2000</v>
      </c>
      <c r="U15" s="98">
        <v>4</v>
      </c>
      <c r="V15" s="45">
        <v>2600</v>
      </c>
      <c r="W15" s="101">
        <f t="shared" si="2"/>
        <v>2816666.6666666665</v>
      </c>
      <c r="X15" s="179">
        <f t="shared" si="3"/>
        <v>22750000</v>
      </c>
      <c r="Y15" s="55">
        <f t="shared" si="4"/>
        <v>21666666.666666664</v>
      </c>
    </row>
    <row r="16" spans="1:26" x14ac:dyDescent="0.2">
      <c r="A16" s="272" t="s">
        <v>62</v>
      </c>
      <c r="B16" s="16" t="s">
        <v>38</v>
      </c>
      <c r="C16" s="16">
        <v>1</v>
      </c>
      <c r="D16" s="16" t="s">
        <v>0</v>
      </c>
      <c r="E16" s="16">
        <v>14</v>
      </c>
      <c r="F16" s="139">
        <f>'Оптимизация рейсов'!K18</f>
        <v>130.46617915904935</v>
      </c>
      <c r="G16" s="140">
        <v>35000</v>
      </c>
      <c r="H16" s="141">
        <f t="shared" si="0"/>
        <v>39244.422349999993</v>
      </c>
      <c r="I16" s="142">
        <v>80000</v>
      </c>
      <c r="J16" s="180">
        <f t="shared" ref="J16:J34" si="5">I16*mult_19_21</f>
        <v>89701.536799999987</v>
      </c>
      <c r="K16" s="16">
        <v>220</v>
      </c>
      <c r="L16" s="16">
        <v>26</v>
      </c>
      <c r="M16" s="144">
        <f>'Оптимизация рейсов'!I18</f>
        <v>0.9</v>
      </c>
      <c r="N16" s="144">
        <f>'Оптимизация рейсов'!J18</f>
        <v>0.8</v>
      </c>
      <c r="O16" s="148">
        <v>3500000</v>
      </c>
      <c r="P16" s="147">
        <f t="shared" si="1"/>
        <v>1260696576.6236928</v>
      </c>
      <c r="Q16" s="148">
        <v>55000</v>
      </c>
      <c r="R16" s="146">
        <v>8000</v>
      </c>
      <c r="S16" s="181">
        <v>2</v>
      </c>
      <c r="T16" s="146">
        <v>2500</v>
      </c>
      <c r="U16" s="181">
        <v>8</v>
      </c>
      <c r="V16" s="38">
        <v>4800</v>
      </c>
      <c r="W16" s="149">
        <f t="shared" si="2"/>
        <v>8767327.2394881174</v>
      </c>
      <c r="X16" s="150">
        <f t="shared" si="3"/>
        <v>7175639.8537477143</v>
      </c>
      <c r="Y16" s="50">
        <f t="shared" ref="Y16:Y34" si="6">F16*(S16*R16+T16*U16)*E16</f>
        <v>65754954.296160877</v>
      </c>
    </row>
    <row r="17" spans="1:25" x14ac:dyDescent="0.2">
      <c r="A17" s="273"/>
      <c r="B17" s="20" t="s">
        <v>39</v>
      </c>
      <c r="C17" s="20">
        <v>1</v>
      </c>
      <c r="D17" s="20" t="s">
        <v>0</v>
      </c>
      <c r="E17" s="20">
        <v>12</v>
      </c>
      <c r="F17" s="151">
        <f>'Оптимизация рейсов'!K20</f>
        <v>111.11517367458866</v>
      </c>
      <c r="G17" s="152">
        <v>40000</v>
      </c>
      <c r="H17" s="73">
        <f t="shared" si="0"/>
        <v>44850.768399999994</v>
      </c>
      <c r="I17" s="72">
        <v>90000</v>
      </c>
      <c r="J17" s="72">
        <f t="shared" si="5"/>
        <v>100914.22889999999</v>
      </c>
      <c r="K17" s="20">
        <v>220</v>
      </c>
      <c r="L17" s="20">
        <v>26</v>
      </c>
      <c r="M17" s="153">
        <f>'Оптимизация рейсов'!I20</f>
        <v>0.9</v>
      </c>
      <c r="N17" s="153">
        <f>'Оптимизация рейсов'!J20</f>
        <v>0.8</v>
      </c>
      <c r="O17" s="155">
        <v>3000000</v>
      </c>
      <c r="P17" s="182">
        <f t="shared" si="1"/>
        <v>1222985505.2661235</v>
      </c>
      <c r="Q17" s="155">
        <v>55000</v>
      </c>
      <c r="R17" s="94">
        <v>8000</v>
      </c>
      <c r="S17" s="183">
        <v>2</v>
      </c>
      <c r="T17" s="94">
        <v>2500</v>
      </c>
      <c r="U17" s="183">
        <v>8</v>
      </c>
      <c r="V17" s="19">
        <v>4800</v>
      </c>
      <c r="W17" s="91">
        <f t="shared" si="2"/>
        <v>6400234.0036563072</v>
      </c>
      <c r="X17" s="156">
        <f t="shared" si="3"/>
        <v>6111334.5521023767</v>
      </c>
      <c r="Y17" s="52">
        <f t="shared" si="6"/>
        <v>48001755.027422301</v>
      </c>
    </row>
    <row r="18" spans="1:25" x14ac:dyDescent="0.2">
      <c r="A18" s="273"/>
      <c r="B18" s="20" t="s">
        <v>40</v>
      </c>
      <c r="C18" s="20">
        <v>1</v>
      </c>
      <c r="D18" s="20" t="s">
        <v>0</v>
      </c>
      <c r="E18" s="20">
        <v>14</v>
      </c>
      <c r="F18" s="151">
        <f>'Оптимизация рейсов'!K22</f>
        <v>83.135283363802557</v>
      </c>
      <c r="G18" s="152">
        <v>35000</v>
      </c>
      <c r="H18" s="73">
        <f t="shared" si="0"/>
        <v>39244.422349999993</v>
      </c>
      <c r="I18" s="72">
        <v>85000</v>
      </c>
      <c r="J18" s="72">
        <f t="shared" si="5"/>
        <v>95307.882849999995</v>
      </c>
      <c r="K18" s="20">
        <v>220</v>
      </c>
      <c r="L18" s="20">
        <v>26</v>
      </c>
      <c r="M18" s="153">
        <f>'Оптимизация рейсов'!I22</f>
        <v>0.9</v>
      </c>
      <c r="N18" s="153">
        <f>'Оптимизация рейсов'!J22</f>
        <v>0.8</v>
      </c>
      <c r="O18" s="155">
        <v>2500000</v>
      </c>
      <c r="P18" s="182">
        <f t="shared" si="1"/>
        <v>813301757.38697529</v>
      </c>
      <c r="Q18" s="155">
        <v>55000</v>
      </c>
      <c r="R18" s="94">
        <v>8000</v>
      </c>
      <c r="S18" s="183">
        <v>2</v>
      </c>
      <c r="T18" s="94">
        <v>2500</v>
      </c>
      <c r="U18" s="183">
        <v>8</v>
      </c>
      <c r="V18" s="19">
        <v>4800</v>
      </c>
      <c r="W18" s="91">
        <f t="shared" si="2"/>
        <v>5586691.0420475313</v>
      </c>
      <c r="X18" s="156">
        <f t="shared" si="3"/>
        <v>4572440.5850091409</v>
      </c>
      <c r="Y18" s="52">
        <f t="shared" si="6"/>
        <v>41900182.815356486</v>
      </c>
    </row>
    <row r="19" spans="1:25" x14ac:dyDescent="0.2">
      <c r="A19" s="273"/>
      <c r="B19" s="20" t="s">
        <v>41</v>
      </c>
      <c r="C19" s="20">
        <v>2</v>
      </c>
      <c r="D19" s="20" t="s">
        <v>0</v>
      </c>
      <c r="E19" s="20">
        <v>9</v>
      </c>
      <c r="F19" s="151">
        <f>'Оптимизация рейсов'!K24</f>
        <v>131.3528336380256</v>
      </c>
      <c r="G19" s="152">
        <v>40000</v>
      </c>
      <c r="H19" s="73">
        <f t="shared" si="0"/>
        <v>44850.768399999994</v>
      </c>
      <c r="I19" s="72">
        <v>110000</v>
      </c>
      <c r="J19" s="72">
        <f t="shared" si="5"/>
        <v>123339.61309999999</v>
      </c>
      <c r="K19" s="20">
        <v>220</v>
      </c>
      <c r="L19" s="20">
        <v>26</v>
      </c>
      <c r="M19" s="153">
        <f>'Оптимизация рейсов'!I24</f>
        <v>0.9</v>
      </c>
      <c r="N19" s="153">
        <f>'Оптимизация рейсов'!J24</f>
        <v>0.8</v>
      </c>
      <c r="O19" s="155">
        <v>3750000</v>
      </c>
      <c r="P19" s="182">
        <f t="shared" si="1"/>
        <v>1507203512.7506545</v>
      </c>
      <c r="Q19" s="155">
        <v>55000</v>
      </c>
      <c r="R19" s="94">
        <v>8000</v>
      </c>
      <c r="S19" s="183">
        <v>2</v>
      </c>
      <c r="T19" s="94">
        <v>2500</v>
      </c>
      <c r="U19" s="183">
        <v>8</v>
      </c>
      <c r="V19" s="19">
        <v>4800</v>
      </c>
      <c r="W19" s="91">
        <f t="shared" si="2"/>
        <v>5674442.4131627055</v>
      </c>
      <c r="X19" s="156">
        <f t="shared" si="3"/>
        <v>7224405.850091408</v>
      </c>
      <c r="Y19" s="52">
        <f t="shared" si="6"/>
        <v>42558318.098720297</v>
      </c>
    </row>
    <row r="20" spans="1:25" x14ac:dyDescent="0.2">
      <c r="A20" s="273"/>
      <c r="B20" s="20" t="s">
        <v>42</v>
      </c>
      <c r="C20" s="20">
        <v>2</v>
      </c>
      <c r="D20" s="20" t="s">
        <v>0</v>
      </c>
      <c r="E20" s="20">
        <v>14</v>
      </c>
      <c r="F20" s="151">
        <f>'Оптимизация рейсов'!K26</f>
        <v>121.76416819012796</v>
      </c>
      <c r="G20" s="152">
        <v>35000</v>
      </c>
      <c r="H20" s="73">
        <f t="shared" si="0"/>
        <v>39244.422349999993</v>
      </c>
      <c r="I20" s="72">
        <v>90000</v>
      </c>
      <c r="J20" s="72">
        <f t="shared" si="5"/>
        <v>100914.22889999999</v>
      </c>
      <c r="K20" s="20">
        <v>220</v>
      </c>
      <c r="L20" s="20">
        <v>26</v>
      </c>
      <c r="M20" s="153">
        <f>'Оптимизация рейсов'!I26</f>
        <v>0.9</v>
      </c>
      <c r="N20" s="153">
        <f>'Оптимизация рейсов'!J26</f>
        <v>0.8</v>
      </c>
      <c r="O20" s="155">
        <v>3500000</v>
      </c>
      <c r="P20" s="182">
        <f t="shared" si="1"/>
        <v>1205240692.3464422</v>
      </c>
      <c r="Q20" s="155">
        <v>55000</v>
      </c>
      <c r="R20" s="94">
        <v>8000</v>
      </c>
      <c r="S20" s="183">
        <v>2</v>
      </c>
      <c r="T20" s="94">
        <v>2500</v>
      </c>
      <c r="U20" s="183">
        <v>8</v>
      </c>
      <c r="V20" s="19">
        <v>4800</v>
      </c>
      <c r="W20" s="91">
        <f t="shared" si="2"/>
        <v>8182552.1023765989</v>
      </c>
      <c r="X20" s="156">
        <f t="shared" si="3"/>
        <v>6697029.2504570382</v>
      </c>
      <c r="Y20" s="52">
        <f t="shared" si="6"/>
        <v>61369140.767824493</v>
      </c>
    </row>
    <row r="21" spans="1:25" x14ac:dyDescent="0.2">
      <c r="A21" s="273"/>
      <c r="B21" s="20" t="s">
        <v>43</v>
      </c>
      <c r="C21" s="20">
        <v>2</v>
      </c>
      <c r="D21" s="20" t="s">
        <v>0</v>
      </c>
      <c r="E21" s="20">
        <v>5</v>
      </c>
      <c r="F21" s="151">
        <f>'Оптимизация рейсов'!K28</f>
        <v>150.48951048951048</v>
      </c>
      <c r="G21" s="152">
        <v>30000</v>
      </c>
      <c r="H21" s="73">
        <f t="shared" si="0"/>
        <v>33638.076300000001</v>
      </c>
      <c r="I21" s="72">
        <v>100000</v>
      </c>
      <c r="J21" s="72">
        <f t="shared" si="5"/>
        <v>112126.92099999999</v>
      </c>
      <c r="K21" s="20">
        <v>240</v>
      </c>
      <c r="L21" s="20">
        <v>16</v>
      </c>
      <c r="M21" s="153">
        <f>'Оптимизация рейсов'!I28</f>
        <v>0.9</v>
      </c>
      <c r="N21" s="153">
        <f>'Оптимизация рейсов'!J28</f>
        <v>0.8</v>
      </c>
      <c r="O21" s="155">
        <v>4000000</v>
      </c>
      <c r="P21" s="182">
        <f t="shared" si="1"/>
        <v>1313416615.2293148</v>
      </c>
      <c r="Q21" s="155">
        <v>55000</v>
      </c>
      <c r="R21" s="94">
        <v>8000</v>
      </c>
      <c r="S21" s="183">
        <v>2</v>
      </c>
      <c r="T21" s="94">
        <v>2500</v>
      </c>
      <c r="U21" s="183">
        <v>8</v>
      </c>
      <c r="V21" s="19">
        <v>4800</v>
      </c>
      <c r="W21" s="91">
        <f t="shared" si="2"/>
        <v>3611748.2517482517</v>
      </c>
      <c r="X21" s="156">
        <f t="shared" si="3"/>
        <v>8276923.0769230761</v>
      </c>
      <c r="Y21" s="52">
        <f t="shared" si="6"/>
        <v>27088111.888111886</v>
      </c>
    </row>
    <row r="22" spans="1:25" x14ac:dyDescent="0.2">
      <c r="A22" s="273"/>
      <c r="B22" s="20" t="s">
        <v>44</v>
      </c>
      <c r="C22" s="20">
        <v>3</v>
      </c>
      <c r="D22" s="20" t="s">
        <v>5</v>
      </c>
      <c r="E22" s="20">
        <v>6</v>
      </c>
      <c r="F22" s="151">
        <f>'Оптимизация рейсов'!K30</f>
        <v>74.68531468531468</v>
      </c>
      <c r="G22" s="152">
        <v>45000</v>
      </c>
      <c r="H22" s="73">
        <f t="shared" si="0"/>
        <v>50457.114449999994</v>
      </c>
      <c r="I22" s="72">
        <v>120000</v>
      </c>
      <c r="J22" s="72">
        <f t="shared" si="5"/>
        <v>134552.3052</v>
      </c>
      <c r="K22" s="20">
        <v>240</v>
      </c>
      <c r="L22" s="20">
        <v>16</v>
      </c>
      <c r="M22" s="153">
        <f>'Оптимизация рейсов'!I30</f>
        <v>0.9</v>
      </c>
      <c r="N22" s="153">
        <f>'Оптимизация рейсов'!J30</f>
        <v>0.8</v>
      </c>
      <c r="O22" s="155">
        <v>2000000</v>
      </c>
      <c r="P22" s="182">
        <f t="shared" si="1"/>
        <v>944603821.76557183</v>
      </c>
      <c r="Q22" s="155">
        <v>55000</v>
      </c>
      <c r="R22" s="94">
        <v>8000</v>
      </c>
      <c r="S22" s="183">
        <v>2</v>
      </c>
      <c r="T22" s="94">
        <v>2500</v>
      </c>
      <c r="U22" s="183">
        <v>8</v>
      </c>
      <c r="V22" s="19">
        <v>5600</v>
      </c>
      <c r="W22" s="91">
        <f t="shared" si="2"/>
        <v>2509426.5734265735</v>
      </c>
      <c r="X22" s="156">
        <f t="shared" si="3"/>
        <v>4107692.3076923075</v>
      </c>
      <c r="Y22" s="52">
        <f t="shared" si="6"/>
        <v>16132027.972027969</v>
      </c>
    </row>
    <row r="23" spans="1:25" x14ac:dyDescent="0.2">
      <c r="A23" s="273"/>
      <c r="B23" s="20" t="s">
        <v>45</v>
      </c>
      <c r="C23" s="20">
        <v>3</v>
      </c>
      <c r="D23" s="20" t="s">
        <v>5</v>
      </c>
      <c r="E23" s="20">
        <v>10</v>
      </c>
      <c r="F23" s="151">
        <f>'Оптимизация рейсов'!K32</f>
        <v>83.56643356643356</v>
      </c>
      <c r="G23" s="152">
        <v>35000</v>
      </c>
      <c r="H23" s="73">
        <f t="shared" si="0"/>
        <v>39244.422349999993</v>
      </c>
      <c r="I23" s="72">
        <v>75000</v>
      </c>
      <c r="J23" s="72">
        <f t="shared" si="5"/>
        <v>84095.190749999994</v>
      </c>
      <c r="K23" s="20">
        <v>240</v>
      </c>
      <c r="L23" s="20">
        <v>16</v>
      </c>
      <c r="M23" s="153">
        <f>'Оптимизация рейсов'!I32</f>
        <v>0.9</v>
      </c>
      <c r="N23" s="153">
        <f>'Оптимизация рейсов'!J32</f>
        <v>0.8</v>
      </c>
      <c r="O23" s="155">
        <v>2500000</v>
      </c>
      <c r="P23" s="182">
        <f t="shared" si="1"/>
        <v>800827995.43314672</v>
      </c>
      <c r="Q23" s="155">
        <v>55000</v>
      </c>
      <c r="R23" s="94">
        <v>8000</v>
      </c>
      <c r="S23" s="183">
        <v>2</v>
      </c>
      <c r="T23" s="94">
        <v>2500</v>
      </c>
      <c r="U23" s="183">
        <v>8</v>
      </c>
      <c r="V23" s="19">
        <v>5600</v>
      </c>
      <c r="W23" s="91">
        <f t="shared" si="2"/>
        <v>4679720.2797202794</v>
      </c>
      <c r="X23" s="156">
        <f t="shared" si="3"/>
        <v>4596153.846153846</v>
      </c>
      <c r="Y23" s="52">
        <f t="shared" si="6"/>
        <v>30083916.083916083</v>
      </c>
    </row>
    <row r="24" spans="1:25" x14ac:dyDescent="0.2">
      <c r="A24" s="273"/>
      <c r="B24" s="20" t="s">
        <v>46</v>
      </c>
      <c r="C24" s="20">
        <v>3</v>
      </c>
      <c r="D24" s="20" t="s">
        <v>5</v>
      </c>
      <c r="E24" s="20">
        <v>9</v>
      </c>
      <c r="F24" s="151">
        <f>'Оптимизация рейсов'!K34</f>
        <v>149.37062937062936</v>
      </c>
      <c r="G24" s="152">
        <v>30000</v>
      </c>
      <c r="H24" s="73">
        <f t="shared" si="0"/>
        <v>33638.076300000001</v>
      </c>
      <c r="I24" s="72">
        <v>80000</v>
      </c>
      <c r="J24" s="72">
        <f t="shared" si="5"/>
        <v>89701.536799999987</v>
      </c>
      <c r="K24" s="20">
        <v>240</v>
      </c>
      <c r="L24" s="20">
        <v>16</v>
      </c>
      <c r="M24" s="153">
        <f>'Оптимизация рейсов'!I34</f>
        <v>0.9</v>
      </c>
      <c r="N24" s="153">
        <f>'Оптимизация рейсов'!J34</f>
        <v>0.8</v>
      </c>
      <c r="O24" s="155">
        <v>4000000</v>
      </c>
      <c r="P24" s="182">
        <f t="shared" si="1"/>
        <v>1260805095.6874292</v>
      </c>
      <c r="Q24" s="155">
        <v>55000</v>
      </c>
      <c r="R24" s="94">
        <v>8000</v>
      </c>
      <c r="S24" s="183">
        <v>2</v>
      </c>
      <c r="T24" s="94">
        <v>2500</v>
      </c>
      <c r="U24" s="183">
        <v>8</v>
      </c>
      <c r="V24" s="19">
        <v>5600</v>
      </c>
      <c r="W24" s="91">
        <f t="shared" si="2"/>
        <v>7528279.7202797197</v>
      </c>
      <c r="X24" s="156">
        <f t="shared" si="3"/>
        <v>8215384.615384615</v>
      </c>
      <c r="Y24" s="52">
        <f t="shared" si="6"/>
        <v>48396083.91608391</v>
      </c>
    </row>
    <row r="25" spans="1:25" x14ac:dyDescent="0.2">
      <c r="A25" s="273"/>
      <c r="B25" s="20" t="s">
        <v>47</v>
      </c>
      <c r="C25" s="20">
        <v>3</v>
      </c>
      <c r="D25" s="20" t="s">
        <v>5</v>
      </c>
      <c r="E25" s="20">
        <v>9</v>
      </c>
      <c r="F25" s="151">
        <f>'Оптимизация рейсов'!K36</f>
        <v>148.8111888111888</v>
      </c>
      <c r="G25" s="152">
        <v>25000</v>
      </c>
      <c r="H25" s="73">
        <f t="shared" si="0"/>
        <v>28031.730249999997</v>
      </c>
      <c r="I25" s="72">
        <v>70000</v>
      </c>
      <c r="J25" s="72">
        <f t="shared" si="5"/>
        <v>78488.844699999987</v>
      </c>
      <c r="K25" s="20">
        <v>240</v>
      </c>
      <c r="L25" s="20">
        <v>16</v>
      </c>
      <c r="M25" s="153">
        <f>'Оптимизация рейсов'!I36</f>
        <v>0.9</v>
      </c>
      <c r="N25" s="153">
        <f>'Оптимизация рейсов'!J36</f>
        <v>0.8</v>
      </c>
      <c r="O25" s="155">
        <v>4000000</v>
      </c>
      <c r="P25" s="182">
        <f t="shared" si="1"/>
        <v>1054534216.3236697</v>
      </c>
      <c r="Q25" s="155">
        <v>55000</v>
      </c>
      <c r="R25" s="94">
        <v>8000</v>
      </c>
      <c r="S25" s="183">
        <v>2</v>
      </c>
      <c r="T25" s="94">
        <v>2500</v>
      </c>
      <c r="U25" s="183">
        <v>8</v>
      </c>
      <c r="V25" s="19">
        <v>5600</v>
      </c>
      <c r="W25" s="91">
        <f t="shared" si="2"/>
        <v>7500083.9160839161</v>
      </c>
      <c r="X25" s="156">
        <f t="shared" si="3"/>
        <v>8184615.384615384</v>
      </c>
      <c r="Y25" s="52">
        <f t="shared" si="6"/>
        <v>48214825.174825169</v>
      </c>
    </row>
    <row r="26" spans="1:25" x14ac:dyDescent="0.2">
      <c r="A26" s="273"/>
      <c r="B26" s="20" t="s">
        <v>48</v>
      </c>
      <c r="C26" s="20">
        <v>4</v>
      </c>
      <c r="D26" s="20" t="s">
        <v>5</v>
      </c>
      <c r="E26" s="20">
        <v>4.5</v>
      </c>
      <c r="F26" s="151">
        <f>'Оптимизация рейсов'!K38</f>
        <v>132.16783216783216</v>
      </c>
      <c r="G26" s="152">
        <v>15000</v>
      </c>
      <c r="H26" s="73">
        <f t="shared" si="0"/>
        <v>16819.03815</v>
      </c>
      <c r="I26" s="72">
        <v>75000</v>
      </c>
      <c r="J26" s="72">
        <f t="shared" si="5"/>
        <v>84095.190749999994</v>
      </c>
      <c r="K26" s="20">
        <v>240</v>
      </c>
      <c r="L26" s="20">
        <v>16</v>
      </c>
      <c r="M26" s="153">
        <f>'Оптимизация рейсов'!I38</f>
        <v>0.9</v>
      </c>
      <c r="N26" s="153">
        <f>'Оптимизация рейсов'!J38</f>
        <v>0.8</v>
      </c>
      <c r="O26" s="155">
        <v>3750000</v>
      </c>
      <c r="P26" s="182">
        <f t="shared" si="1"/>
        <v>626172027.20139861</v>
      </c>
      <c r="Q26" s="155">
        <v>55000</v>
      </c>
      <c r="R26" s="94">
        <v>8000</v>
      </c>
      <c r="S26" s="183">
        <v>2</v>
      </c>
      <c r="T26" s="94">
        <v>2500</v>
      </c>
      <c r="U26" s="183">
        <v>8</v>
      </c>
      <c r="V26" s="19">
        <v>5600</v>
      </c>
      <c r="W26" s="91">
        <f t="shared" si="2"/>
        <v>3330629.3706293702</v>
      </c>
      <c r="X26" s="156">
        <f t="shared" si="3"/>
        <v>7269230.769230769</v>
      </c>
      <c r="Y26" s="52">
        <f t="shared" si="6"/>
        <v>21411188.81118881</v>
      </c>
    </row>
    <row r="27" spans="1:25" x14ac:dyDescent="0.2">
      <c r="A27" s="273"/>
      <c r="B27" s="20" t="s">
        <v>49</v>
      </c>
      <c r="C27" s="20">
        <v>4</v>
      </c>
      <c r="D27" s="20" t="s">
        <v>5</v>
      </c>
      <c r="E27" s="20">
        <v>4.5</v>
      </c>
      <c r="F27" s="151">
        <f>'Оптимизация рейсов'!K40</f>
        <v>130.69930069930069</v>
      </c>
      <c r="G27" s="152">
        <v>15000</v>
      </c>
      <c r="H27" s="73">
        <f t="shared" si="0"/>
        <v>16819.03815</v>
      </c>
      <c r="I27" s="72">
        <v>75000</v>
      </c>
      <c r="J27" s="72">
        <f t="shared" si="5"/>
        <v>84095.190749999994</v>
      </c>
      <c r="K27" s="20">
        <v>240</v>
      </c>
      <c r="L27" s="20">
        <v>16</v>
      </c>
      <c r="M27" s="153">
        <f>'Оптимизация рейсов'!I40</f>
        <v>0.9</v>
      </c>
      <c r="N27" s="153">
        <f>'Оптимизация рейсов'!J40</f>
        <v>0.8</v>
      </c>
      <c r="O27" s="155">
        <v>3500000</v>
      </c>
      <c r="P27" s="182">
        <f t="shared" si="1"/>
        <v>619006226.89916086</v>
      </c>
      <c r="Q27" s="155">
        <v>55000</v>
      </c>
      <c r="R27" s="94">
        <v>8000</v>
      </c>
      <c r="S27" s="183">
        <v>2</v>
      </c>
      <c r="T27" s="94">
        <v>2500</v>
      </c>
      <c r="U27" s="183">
        <v>8</v>
      </c>
      <c r="V27" s="19">
        <v>5600</v>
      </c>
      <c r="W27" s="91">
        <f t="shared" si="2"/>
        <v>3293622.3776223776</v>
      </c>
      <c r="X27" s="156">
        <f t="shared" si="3"/>
        <v>7188461.538461538</v>
      </c>
      <c r="Y27" s="52">
        <f t="shared" si="6"/>
        <v>21173286.713286713</v>
      </c>
    </row>
    <row r="28" spans="1:25" x14ac:dyDescent="0.2">
      <c r="A28" s="273"/>
      <c r="B28" s="20" t="s">
        <v>50</v>
      </c>
      <c r="C28" s="20">
        <v>4</v>
      </c>
      <c r="D28" s="20" t="s">
        <v>5</v>
      </c>
      <c r="E28" s="20">
        <v>5</v>
      </c>
      <c r="F28" s="151">
        <f>'Оптимизация рейсов'!K42</f>
        <v>120.45454545454545</v>
      </c>
      <c r="G28" s="152">
        <v>15000</v>
      </c>
      <c r="H28" s="73">
        <f t="shared" si="0"/>
        <v>16819.03815</v>
      </c>
      <c r="I28" s="72">
        <v>70000</v>
      </c>
      <c r="J28" s="72">
        <f t="shared" si="5"/>
        <v>78488.844699999987</v>
      </c>
      <c r="K28" s="20">
        <v>240</v>
      </c>
      <c r="L28" s="20">
        <v>16</v>
      </c>
      <c r="M28" s="153">
        <f>'Оптимизация рейсов'!I42</f>
        <v>0.9</v>
      </c>
      <c r="N28" s="153">
        <f>'Оптимизация рейсов'!J42</f>
        <v>0.8</v>
      </c>
      <c r="O28" s="155">
        <v>3250000</v>
      </c>
      <c r="P28" s="182">
        <f t="shared" si="1"/>
        <v>561866320.42200005</v>
      </c>
      <c r="Q28" s="155">
        <v>55000</v>
      </c>
      <c r="R28" s="94">
        <v>8000</v>
      </c>
      <c r="S28" s="183">
        <v>2</v>
      </c>
      <c r="T28" s="94">
        <v>2500</v>
      </c>
      <c r="U28" s="183">
        <v>8</v>
      </c>
      <c r="V28" s="19">
        <v>5600</v>
      </c>
      <c r="W28" s="91">
        <f t="shared" si="2"/>
        <v>3372727.2727272729</v>
      </c>
      <c r="X28" s="156">
        <f t="shared" si="3"/>
        <v>6625000</v>
      </c>
      <c r="Y28" s="52">
        <f t="shared" si="6"/>
        <v>21681818.181818184</v>
      </c>
    </row>
    <row r="29" spans="1:25" x14ac:dyDescent="0.2">
      <c r="A29" s="273"/>
      <c r="B29" s="20" t="s">
        <v>51</v>
      </c>
      <c r="C29" s="20">
        <v>4</v>
      </c>
      <c r="D29" s="20" t="s">
        <v>5</v>
      </c>
      <c r="E29" s="20">
        <v>5</v>
      </c>
      <c r="F29" s="151">
        <f>'Оптимизация рейсов'!K44</f>
        <v>114.09090909090908</v>
      </c>
      <c r="G29" s="152">
        <v>15000</v>
      </c>
      <c r="H29" s="73">
        <f t="shared" si="0"/>
        <v>16819.03815</v>
      </c>
      <c r="I29" s="72">
        <v>70000</v>
      </c>
      <c r="J29" s="72">
        <f t="shared" si="5"/>
        <v>78488.844699999987</v>
      </c>
      <c r="K29" s="20">
        <v>240</v>
      </c>
      <c r="L29" s="20">
        <v>16</v>
      </c>
      <c r="M29" s="153">
        <f>'Оптимизация рейсов'!I44</f>
        <v>0.9</v>
      </c>
      <c r="N29" s="153">
        <f>'Оптимизация рейсов'!J44</f>
        <v>0.8</v>
      </c>
      <c r="O29" s="155">
        <v>3250000</v>
      </c>
      <c r="P29" s="182">
        <f t="shared" si="1"/>
        <v>532354514.81479996</v>
      </c>
      <c r="Q29" s="155">
        <v>55000</v>
      </c>
      <c r="R29" s="94">
        <v>8000</v>
      </c>
      <c r="S29" s="183">
        <v>2</v>
      </c>
      <c r="T29" s="94">
        <v>2500</v>
      </c>
      <c r="U29" s="183">
        <v>8</v>
      </c>
      <c r="V29" s="19">
        <v>5600</v>
      </c>
      <c r="W29" s="91">
        <f t="shared" si="2"/>
        <v>3194545.4545454541</v>
      </c>
      <c r="X29" s="156">
        <f t="shared" si="3"/>
        <v>6274999.9999999991</v>
      </c>
      <c r="Y29" s="52">
        <f t="shared" si="6"/>
        <v>20536363.636363637</v>
      </c>
    </row>
    <row r="30" spans="1:25" x14ac:dyDescent="0.2">
      <c r="A30" s="273"/>
      <c r="B30" s="20" t="s">
        <v>52</v>
      </c>
      <c r="C30" s="20">
        <v>4</v>
      </c>
      <c r="D30" s="20" t="s">
        <v>5</v>
      </c>
      <c r="E30" s="20">
        <v>5</v>
      </c>
      <c r="F30" s="151">
        <f>'Оптимизация рейсов'!K46</f>
        <v>114.09090909090908</v>
      </c>
      <c r="G30" s="152">
        <v>15000</v>
      </c>
      <c r="H30" s="73">
        <f t="shared" si="0"/>
        <v>16819.03815</v>
      </c>
      <c r="I30" s="72">
        <v>70000</v>
      </c>
      <c r="J30" s="72">
        <f t="shared" si="5"/>
        <v>78488.844699999987</v>
      </c>
      <c r="K30" s="20">
        <v>240</v>
      </c>
      <c r="L30" s="20">
        <v>16</v>
      </c>
      <c r="M30" s="153">
        <f>'Оптимизация рейсов'!I46</f>
        <v>0.9</v>
      </c>
      <c r="N30" s="153">
        <f>'Оптимизация рейсов'!J46</f>
        <v>0.8</v>
      </c>
      <c r="O30" s="155">
        <v>3250000</v>
      </c>
      <c r="P30" s="182">
        <f t="shared" si="1"/>
        <v>532354514.81479996</v>
      </c>
      <c r="Q30" s="155">
        <v>55000</v>
      </c>
      <c r="R30" s="94">
        <v>8000</v>
      </c>
      <c r="S30" s="183">
        <v>2</v>
      </c>
      <c r="T30" s="94">
        <v>2500</v>
      </c>
      <c r="U30" s="183">
        <v>8</v>
      </c>
      <c r="V30" s="19">
        <v>5600</v>
      </c>
      <c r="W30" s="91">
        <f t="shared" si="2"/>
        <v>3194545.4545454541</v>
      </c>
      <c r="X30" s="156">
        <f t="shared" si="3"/>
        <v>6274999.9999999991</v>
      </c>
      <c r="Y30" s="52">
        <f t="shared" si="6"/>
        <v>20536363.636363637</v>
      </c>
    </row>
    <row r="31" spans="1:25" ht="19" thickBot="1" x14ac:dyDescent="0.25">
      <c r="A31" s="274"/>
      <c r="B31" s="98" t="s">
        <v>53</v>
      </c>
      <c r="C31" s="98">
        <v>4</v>
      </c>
      <c r="D31" s="98" t="s">
        <v>5</v>
      </c>
      <c r="E31" s="98">
        <v>8</v>
      </c>
      <c r="F31" s="184">
        <f>'Оптимизация рейсов'!K48</f>
        <v>66.293706293706293</v>
      </c>
      <c r="G31" s="185">
        <v>20000</v>
      </c>
      <c r="H31" s="171">
        <f t="shared" si="0"/>
        <v>22425.384199999997</v>
      </c>
      <c r="I31" s="171">
        <v>110000</v>
      </c>
      <c r="J31" s="171">
        <f t="shared" si="5"/>
        <v>123339.61309999999</v>
      </c>
      <c r="K31" s="98">
        <v>240</v>
      </c>
      <c r="L31" s="98">
        <v>16</v>
      </c>
      <c r="M31" s="186">
        <f>'Оптимизация рейсов'!I48</f>
        <v>0.9</v>
      </c>
      <c r="N31" s="186">
        <f>'Оптимизация рейсов'!J48</f>
        <v>0.8</v>
      </c>
      <c r="O31" s="178">
        <v>2000000</v>
      </c>
      <c r="P31" s="187">
        <f t="shared" si="1"/>
        <v>427779949.16547126</v>
      </c>
      <c r="Q31" s="178">
        <v>55000</v>
      </c>
      <c r="R31" s="99">
        <v>8000</v>
      </c>
      <c r="S31" s="188">
        <v>2</v>
      </c>
      <c r="T31" s="99">
        <v>2500</v>
      </c>
      <c r="U31" s="188">
        <v>8</v>
      </c>
      <c r="V31" s="45">
        <v>5600</v>
      </c>
      <c r="W31" s="101">
        <f t="shared" si="2"/>
        <v>2969958.041958042</v>
      </c>
      <c r="X31" s="179">
        <f t="shared" si="3"/>
        <v>3646153.846153846</v>
      </c>
      <c r="Y31" s="55">
        <f t="shared" si="6"/>
        <v>19092587.412587412</v>
      </c>
    </row>
    <row r="32" spans="1:25" x14ac:dyDescent="0.2">
      <c r="A32" s="275" t="s">
        <v>141</v>
      </c>
      <c r="B32" s="189" t="s">
        <v>100</v>
      </c>
      <c r="C32" s="190">
        <v>4</v>
      </c>
      <c r="D32" s="189" t="s">
        <v>139</v>
      </c>
      <c r="E32" s="190">
        <v>4</v>
      </c>
      <c r="F32" s="190">
        <v>420</v>
      </c>
      <c r="G32" s="191">
        <v>13000</v>
      </c>
      <c r="H32" s="141">
        <f t="shared" si="0"/>
        <v>14576.49973</v>
      </c>
      <c r="I32" s="192">
        <v>60000</v>
      </c>
      <c r="J32" s="180">
        <f t="shared" si="5"/>
        <v>67276.152600000001</v>
      </c>
      <c r="K32" s="190">
        <v>220</v>
      </c>
      <c r="L32" s="190">
        <v>26</v>
      </c>
      <c r="M32" s="193">
        <v>1</v>
      </c>
      <c r="N32" s="193">
        <v>0.8</v>
      </c>
      <c r="O32" s="194">
        <v>3250000</v>
      </c>
      <c r="P32" s="195">
        <f t="shared" si="1"/>
        <v>1937843044.1656001</v>
      </c>
      <c r="Q32" s="148">
        <v>55000</v>
      </c>
      <c r="R32" s="146">
        <v>8000</v>
      </c>
      <c r="S32" s="181">
        <v>2</v>
      </c>
      <c r="T32" s="146">
        <v>2500</v>
      </c>
      <c r="U32" s="181">
        <v>8</v>
      </c>
      <c r="V32" s="38">
        <v>4800</v>
      </c>
      <c r="W32" s="38">
        <f t="shared" si="2"/>
        <v>8064000</v>
      </c>
      <c r="X32" s="150">
        <f t="shared" si="3"/>
        <v>23100000</v>
      </c>
      <c r="Y32" s="50">
        <f t="shared" si="6"/>
        <v>60480000</v>
      </c>
    </row>
    <row r="33" spans="1:25" x14ac:dyDescent="0.2">
      <c r="A33" s="276"/>
      <c r="B33" s="196" t="s">
        <v>140</v>
      </c>
      <c r="C33" s="197">
        <v>3</v>
      </c>
      <c r="D33" s="196" t="s">
        <v>139</v>
      </c>
      <c r="E33" s="197">
        <v>9</v>
      </c>
      <c r="F33" s="197">
        <v>150</v>
      </c>
      <c r="G33" s="198">
        <v>26500</v>
      </c>
      <c r="H33" s="73">
        <f t="shared" si="0"/>
        <v>29713.634064999998</v>
      </c>
      <c r="I33" s="199">
        <v>70000</v>
      </c>
      <c r="J33" s="72">
        <f t="shared" si="5"/>
        <v>78488.844699999987</v>
      </c>
      <c r="K33" s="197">
        <v>220</v>
      </c>
      <c r="L33" s="197">
        <v>26</v>
      </c>
      <c r="M33" s="200">
        <v>1</v>
      </c>
      <c r="N33" s="200">
        <v>0.8</v>
      </c>
      <c r="O33" s="201">
        <v>4000000</v>
      </c>
      <c r="P33" s="182">
        <f t="shared" si="1"/>
        <v>1229435119.609</v>
      </c>
      <c r="Q33" s="155">
        <v>55000</v>
      </c>
      <c r="R33" s="94">
        <v>8000</v>
      </c>
      <c r="S33" s="183">
        <v>2</v>
      </c>
      <c r="T33" s="94">
        <v>2500</v>
      </c>
      <c r="U33" s="183">
        <v>8</v>
      </c>
      <c r="V33" s="19">
        <v>4800</v>
      </c>
      <c r="W33" s="19">
        <f t="shared" si="2"/>
        <v>6480000</v>
      </c>
      <c r="X33" s="156">
        <f t="shared" si="3"/>
        <v>8250000</v>
      </c>
      <c r="Y33" s="52">
        <f t="shared" si="6"/>
        <v>48600000</v>
      </c>
    </row>
    <row r="34" spans="1:25" ht="19" thickBot="1" x14ac:dyDescent="0.25">
      <c r="A34" s="277"/>
      <c r="B34" s="202" t="s">
        <v>98</v>
      </c>
      <c r="C34" s="203">
        <v>3</v>
      </c>
      <c r="D34" s="202" t="s">
        <v>139</v>
      </c>
      <c r="E34" s="203">
        <v>9</v>
      </c>
      <c r="F34" s="203">
        <v>150</v>
      </c>
      <c r="G34" s="204">
        <v>22000</v>
      </c>
      <c r="H34" s="171">
        <f t="shared" si="0"/>
        <v>24667.922619999998</v>
      </c>
      <c r="I34" s="205">
        <v>60000</v>
      </c>
      <c r="J34" s="206">
        <f t="shared" si="5"/>
        <v>67276.152600000001</v>
      </c>
      <c r="K34" s="203">
        <v>220</v>
      </c>
      <c r="L34" s="203">
        <v>26</v>
      </c>
      <c r="M34" s="207">
        <v>1</v>
      </c>
      <c r="N34" s="207">
        <v>0.8</v>
      </c>
      <c r="O34" s="208">
        <v>4000000</v>
      </c>
      <c r="P34" s="187">
        <f t="shared" si="1"/>
        <v>1027943042.5719999</v>
      </c>
      <c r="Q34" s="178">
        <v>55000</v>
      </c>
      <c r="R34" s="99">
        <v>8000</v>
      </c>
      <c r="S34" s="188">
        <v>2</v>
      </c>
      <c r="T34" s="99">
        <v>2500</v>
      </c>
      <c r="U34" s="188">
        <v>8</v>
      </c>
      <c r="V34" s="45">
        <v>4800</v>
      </c>
      <c r="W34" s="45">
        <f t="shared" si="2"/>
        <v>6480000</v>
      </c>
      <c r="X34" s="179">
        <f t="shared" si="3"/>
        <v>8250000</v>
      </c>
      <c r="Y34" s="55">
        <f t="shared" si="6"/>
        <v>48600000</v>
      </c>
    </row>
    <row r="35" spans="1:25" x14ac:dyDescent="0.2">
      <c r="P35" s="35"/>
    </row>
    <row r="36" spans="1:25" ht="19" thickBot="1" x14ac:dyDescent="0.25"/>
    <row r="37" spans="1:25" s="7" customFormat="1" ht="38" x14ac:dyDescent="0.2">
      <c r="A37" s="1"/>
      <c r="B37" s="130" t="s">
        <v>169</v>
      </c>
      <c r="C37" s="130" t="s">
        <v>159</v>
      </c>
      <c r="D37" s="130" t="s">
        <v>160</v>
      </c>
      <c r="E37" s="131" t="s">
        <v>142</v>
      </c>
    </row>
    <row r="38" spans="1:25" ht="39" customHeight="1" x14ac:dyDescent="0.2">
      <c r="A38" s="4" t="s">
        <v>64</v>
      </c>
      <c r="B38" s="69">
        <f>SUM(P2:P15)</f>
        <v>10586127232.963686</v>
      </c>
      <c r="C38" s="69">
        <f>SUM(W2:W15)</f>
        <v>70889370.69813177</v>
      </c>
      <c r="D38" s="69">
        <f>SUM(Y2:Y15)</f>
        <v>545302851.52409029</v>
      </c>
      <c r="E38" s="108">
        <f>SUM(X2:X15)</f>
        <v>397520914.45427728</v>
      </c>
    </row>
    <row r="39" spans="1:25" ht="32" customHeight="1" x14ac:dyDescent="0.2">
      <c r="A39" s="4" t="s">
        <v>88</v>
      </c>
      <c r="B39" s="69">
        <f>SUM(P16:P31)</f>
        <v>14683149342.130653</v>
      </c>
      <c r="C39" s="69">
        <f>SUM(W16:W31)</f>
        <v>79796533.514017969</v>
      </c>
      <c r="D39" s="69">
        <f>SUM(Y16:Y31)</f>
        <v>553930924.43205786</v>
      </c>
      <c r="E39" s="108">
        <f>SUM(X16:X31)</f>
        <v>102440465.47602306</v>
      </c>
    </row>
    <row r="40" spans="1:25" ht="19" thickBot="1" x14ac:dyDescent="0.25">
      <c r="A40" s="13" t="s">
        <v>141</v>
      </c>
      <c r="B40" s="109">
        <f>SUM(P32:P34)</f>
        <v>4195221206.3466001</v>
      </c>
      <c r="C40" s="109">
        <f>SUM(W32:W34)</f>
        <v>21024000</v>
      </c>
      <c r="D40" s="109">
        <f>SUM(Y32:Y34)</f>
        <v>157680000</v>
      </c>
      <c r="E40" s="110">
        <f>SUM(X32:X34)</f>
        <v>39600000</v>
      </c>
    </row>
  </sheetData>
  <mergeCells count="3">
    <mergeCell ref="A16:A31"/>
    <mergeCell ref="A32:A34"/>
    <mergeCell ref="A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B27E-44FE-654F-90D6-DFF932441E54}">
  <dimension ref="A1:K48"/>
  <sheetViews>
    <sheetView showGridLines="0" zoomScale="63" workbookViewId="0">
      <selection sqref="A1:XFD1"/>
    </sheetView>
  </sheetViews>
  <sheetFormatPr baseColWidth="10" defaultColWidth="8.83203125" defaultRowHeight="18" x14ac:dyDescent="0.2"/>
  <cols>
    <col min="1" max="1" width="28.6640625" style="3" customWidth="1"/>
    <col min="2" max="2" width="28.5" style="3" customWidth="1"/>
    <col min="3" max="3" width="19.5" style="3" customWidth="1"/>
    <col min="4" max="4" width="18.5" style="3" customWidth="1"/>
    <col min="5" max="5" width="15.1640625" style="3" customWidth="1"/>
    <col min="6" max="6" width="12.33203125" style="3" customWidth="1"/>
    <col min="7" max="7" width="28.83203125" style="3" customWidth="1"/>
    <col min="8" max="8" width="26.6640625" style="3" customWidth="1"/>
    <col min="9" max="10" width="28" style="3" customWidth="1"/>
    <col min="11" max="11" width="32.33203125" style="3" customWidth="1"/>
    <col min="12" max="16384" width="8.83203125" style="3"/>
  </cols>
  <sheetData>
    <row r="1" spans="1:11" s="7" customFormat="1" ht="51" customHeight="1" x14ac:dyDescent="0.2">
      <c r="A1" s="210" t="s">
        <v>67</v>
      </c>
      <c r="B1" s="210" t="s">
        <v>68</v>
      </c>
      <c r="C1" s="210" t="s">
        <v>69</v>
      </c>
      <c r="D1" s="210" t="s">
        <v>70</v>
      </c>
      <c r="E1" s="210" t="s">
        <v>71</v>
      </c>
      <c r="F1" s="210" t="s">
        <v>72</v>
      </c>
      <c r="G1" s="210" t="s">
        <v>73</v>
      </c>
      <c r="H1" s="210" t="s">
        <v>74</v>
      </c>
      <c r="I1" s="210" t="s">
        <v>75</v>
      </c>
      <c r="J1" s="210" t="s">
        <v>76</v>
      </c>
      <c r="K1" s="210" t="s">
        <v>77</v>
      </c>
    </row>
    <row r="2" spans="1:11" x14ac:dyDescent="0.2">
      <c r="A2" s="24" t="s">
        <v>78</v>
      </c>
      <c r="B2" s="24">
        <v>1140</v>
      </c>
      <c r="C2" s="24">
        <v>164</v>
      </c>
      <c r="D2" s="24">
        <v>0</v>
      </c>
      <c r="E2" s="24">
        <v>2000</v>
      </c>
      <c r="F2" s="24"/>
      <c r="G2" s="209">
        <v>0.8</v>
      </c>
      <c r="H2" s="209"/>
      <c r="I2" s="209">
        <v>0.9</v>
      </c>
      <c r="J2" s="209"/>
      <c r="K2" s="42">
        <f xml:space="preserve"> (B2 * G2) / I2</f>
        <v>1013.3333333333333</v>
      </c>
    </row>
    <row r="3" spans="1:11" x14ac:dyDescent="0.2">
      <c r="A3" s="24" t="s">
        <v>79</v>
      </c>
      <c r="B3" s="24">
        <v>600</v>
      </c>
      <c r="C3" s="24">
        <v>164</v>
      </c>
      <c r="D3" s="24">
        <v>0</v>
      </c>
      <c r="E3" s="24">
        <v>4000</v>
      </c>
      <c r="F3" s="24"/>
      <c r="G3" s="209">
        <v>0.85</v>
      </c>
      <c r="H3" s="209"/>
      <c r="I3" s="209">
        <v>0.9</v>
      </c>
      <c r="J3" s="209"/>
      <c r="K3" s="42">
        <f xml:space="preserve"> (B3 * G3) / I3</f>
        <v>566.66666666666663</v>
      </c>
    </row>
    <row r="4" spans="1:11" x14ac:dyDescent="0.2">
      <c r="A4" s="24" t="s">
        <v>80</v>
      </c>
      <c r="B4" s="24">
        <v>600</v>
      </c>
      <c r="C4" s="24">
        <v>164</v>
      </c>
      <c r="D4" s="24">
        <v>0</v>
      </c>
      <c r="E4" s="24">
        <v>4500</v>
      </c>
      <c r="F4" s="24"/>
      <c r="G4" s="209">
        <v>0.85</v>
      </c>
      <c r="H4" s="209"/>
      <c r="I4" s="209">
        <v>0.9</v>
      </c>
      <c r="J4" s="209"/>
      <c r="K4" s="42">
        <f xml:space="preserve"> (B4 * G4) / I4</f>
        <v>566.66666666666663</v>
      </c>
    </row>
    <row r="5" spans="1:11" x14ac:dyDescent="0.2">
      <c r="A5" s="24" t="s">
        <v>81</v>
      </c>
      <c r="B5" s="24">
        <v>650</v>
      </c>
      <c r="C5" s="24">
        <v>164</v>
      </c>
      <c r="D5" s="24">
        <v>0</v>
      </c>
      <c r="E5" s="24">
        <v>5000</v>
      </c>
      <c r="F5" s="24"/>
      <c r="G5" s="209">
        <v>0.8</v>
      </c>
      <c r="H5" s="209"/>
      <c r="I5" s="209">
        <v>0.9</v>
      </c>
      <c r="J5" s="209"/>
      <c r="K5" s="42">
        <f xml:space="preserve"> (B5 * G5) / I5</f>
        <v>577.77777777777771</v>
      </c>
    </row>
    <row r="6" spans="1:11" x14ac:dyDescent="0.2">
      <c r="A6" s="24" t="s">
        <v>82</v>
      </c>
      <c r="B6" s="24">
        <v>1050</v>
      </c>
      <c r="C6" s="24">
        <v>140</v>
      </c>
      <c r="D6" s="24">
        <v>12</v>
      </c>
      <c r="E6" s="24">
        <v>11000</v>
      </c>
      <c r="F6" s="24">
        <v>70000</v>
      </c>
      <c r="G6" s="209">
        <v>0.85</v>
      </c>
      <c r="H6" s="209">
        <v>0.6</v>
      </c>
      <c r="I6" s="209">
        <v>0.9</v>
      </c>
      <c r="J6" s="209">
        <v>0.8</v>
      </c>
      <c r="K6" s="42">
        <f xml:space="preserve"> B6 * (C6 * G6 + D6 * H6) / (C6 * I6 + D6 * J6)</f>
        <v>977.21238938053102</v>
      </c>
    </row>
    <row r="7" spans="1:11" x14ac:dyDescent="0.2">
      <c r="A7" s="24" t="s">
        <v>83</v>
      </c>
      <c r="B7" s="24">
        <v>960</v>
      </c>
      <c r="C7" s="24">
        <v>140</v>
      </c>
      <c r="D7" s="24">
        <v>12</v>
      </c>
      <c r="E7" s="24">
        <v>7500</v>
      </c>
      <c r="F7" s="24">
        <v>45000</v>
      </c>
      <c r="G7" s="209">
        <v>0.85</v>
      </c>
      <c r="H7" s="209">
        <v>0.4</v>
      </c>
      <c r="I7" s="209">
        <v>0.9</v>
      </c>
      <c r="J7" s="209">
        <v>0.8</v>
      </c>
      <c r="K7" s="42">
        <f xml:space="preserve"> B7 * (C7 * G7 + D7 * H7) / (C7 * I7 + D7 * J7)</f>
        <v>876.46017699115043</v>
      </c>
    </row>
    <row r="8" spans="1:11" x14ac:dyDescent="0.2">
      <c r="A8" s="24" t="s">
        <v>84</v>
      </c>
      <c r="B8" s="24">
        <v>760</v>
      </c>
      <c r="C8" s="24">
        <v>164</v>
      </c>
      <c r="D8" s="24">
        <v>0</v>
      </c>
      <c r="E8" s="24">
        <v>5500</v>
      </c>
      <c r="F8" s="24"/>
      <c r="G8" s="209">
        <v>0.75</v>
      </c>
      <c r="H8" s="209"/>
      <c r="I8" s="209">
        <v>0.9</v>
      </c>
      <c r="J8" s="209"/>
      <c r="K8" s="42">
        <f xml:space="preserve"> (B8 * G8) / I8</f>
        <v>633.33333333333337</v>
      </c>
    </row>
    <row r="9" spans="1:11" x14ac:dyDescent="0.2">
      <c r="A9" s="24" t="s">
        <v>85</v>
      </c>
      <c r="B9" s="24">
        <v>860</v>
      </c>
      <c r="C9" s="24">
        <v>164</v>
      </c>
      <c r="D9" s="24">
        <v>0</v>
      </c>
      <c r="E9" s="24">
        <v>4000</v>
      </c>
      <c r="F9" s="24"/>
      <c r="G9" s="209">
        <v>0.85</v>
      </c>
      <c r="H9" s="209"/>
      <c r="I9" s="209">
        <v>0.9</v>
      </c>
      <c r="J9" s="209"/>
      <c r="K9" s="42">
        <f xml:space="preserve"> (B9 * G9) / I9</f>
        <v>812.22222222222217</v>
      </c>
    </row>
    <row r="10" spans="1:11" x14ac:dyDescent="0.2">
      <c r="A10" s="24" t="s">
        <v>86</v>
      </c>
      <c r="B10" s="24">
        <v>760</v>
      </c>
      <c r="C10" s="24">
        <v>164</v>
      </c>
      <c r="D10" s="24">
        <v>0</v>
      </c>
      <c r="E10" s="24">
        <v>4500</v>
      </c>
      <c r="F10" s="24"/>
      <c r="G10" s="209">
        <v>0.7</v>
      </c>
      <c r="H10" s="209"/>
      <c r="I10" s="209">
        <v>0.9</v>
      </c>
      <c r="J10" s="209"/>
      <c r="K10" s="42">
        <f xml:space="preserve"> (B10 * G10) / I10</f>
        <v>591.11111111111109</v>
      </c>
    </row>
    <row r="11" spans="1:11" x14ac:dyDescent="0.2">
      <c r="A11" s="24" t="s">
        <v>87</v>
      </c>
      <c r="B11" s="24">
        <v>750</v>
      </c>
      <c r="C11" s="24">
        <v>164</v>
      </c>
      <c r="D11" s="24">
        <v>0</v>
      </c>
      <c r="E11" s="24">
        <v>5000</v>
      </c>
      <c r="F11" s="24"/>
      <c r="G11" s="209">
        <v>0.65</v>
      </c>
      <c r="H11" s="209"/>
      <c r="I11" s="209">
        <v>0.9</v>
      </c>
      <c r="J11" s="209"/>
      <c r="K11" s="42">
        <f xml:space="preserve"> (B11 * G11) / I11</f>
        <v>541.66666666666663</v>
      </c>
    </row>
    <row r="15" spans="1:11" x14ac:dyDescent="0.2">
      <c r="A15" s="278" t="s">
        <v>88</v>
      </c>
      <c r="B15" s="278"/>
      <c r="C15" s="278"/>
      <c r="D15" s="278"/>
      <c r="E15" s="278"/>
      <c r="F15" s="278"/>
      <c r="G15" s="278"/>
      <c r="H15" s="278"/>
      <c r="I15" s="278"/>
      <c r="J15" s="278"/>
      <c r="K15" s="278"/>
    </row>
    <row r="16" spans="1:11" s="7" customFormat="1" ht="57" customHeight="1" x14ac:dyDescent="0.2">
      <c r="A16" s="87" t="s">
        <v>67</v>
      </c>
      <c r="B16" s="87" t="s">
        <v>68</v>
      </c>
      <c r="C16" s="87" t="s">
        <v>69</v>
      </c>
      <c r="D16" s="87" t="s">
        <v>70</v>
      </c>
      <c r="E16" s="87" t="s">
        <v>71</v>
      </c>
      <c r="F16" s="87" t="s">
        <v>72</v>
      </c>
      <c r="G16" s="87" t="s">
        <v>73</v>
      </c>
      <c r="H16" s="87" t="s">
        <v>74</v>
      </c>
      <c r="I16" s="87" t="s">
        <v>75</v>
      </c>
      <c r="J16" s="87" t="s">
        <v>76</v>
      </c>
      <c r="K16" s="87" t="s">
        <v>77</v>
      </c>
    </row>
    <row r="17" spans="1:1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 x14ac:dyDescent="0.2">
      <c r="A18" s="24" t="s">
        <v>89</v>
      </c>
      <c r="B18" s="24">
        <v>140</v>
      </c>
      <c r="C18" s="24">
        <v>220</v>
      </c>
      <c r="D18" s="24">
        <v>26</v>
      </c>
      <c r="E18" s="24">
        <v>35000</v>
      </c>
      <c r="F18" s="24">
        <v>80000</v>
      </c>
      <c r="G18" s="24">
        <v>0.85</v>
      </c>
      <c r="H18" s="24">
        <v>0.65</v>
      </c>
      <c r="I18" s="24">
        <v>0.9</v>
      </c>
      <c r="J18" s="24">
        <v>0.8</v>
      </c>
      <c r="K18" s="42">
        <f xml:space="preserve"> B18 * (C18 * G18 + D18 *H18) / (C18 * I18 + D18 * J18)</f>
        <v>130.46617915904935</v>
      </c>
    </row>
    <row r="19" spans="1:1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42"/>
    </row>
    <row r="20" spans="1:11" x14ac:dyDescent="0.2">
      <c r="A20" s="24" t="s">
        <v>90</v>
      </c>
      <c r="B20" s="24">
        <v>120</v>
      </c>
      <c r="C20" s="24">
        <v>220</v>
      </c>
      <c r="D20" s="24">
        <v>26</v>
      </c>
      <c r="E20" s="24">
        <v>40000</v>
      </c>
      <c r="F20" s="24">
        <v>90000</v>
      </c>
      <c r="G20" s="24">
        <v>0.85</v>
      </c>
      <c r="H20" s="24">
        <v>0.6</v>
      </c>
      <c r="I20" s="24">
        <v>0.9</v>
      </c>
      <c r="J20" s="24">
        <v>0.8</v>
      </c>
      <c r="K20" s="42">
        <f t="shared" ref="K20:K48" si="0" xml:space="preserve"> B20 * (C20 * G20 + D20 *H20) / (C20 * I20 + D20 * J20)</f>
        <v>111.11517367458866</v>
      </c>
    </row>
    <row r="21" spans="1:11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42"/>
    </row>
    <row r="22" spans="1:11" x14ac:dyDescent="0.2">
      <c r="A22" s="24" t="s">
        <v>91</v>
      </c>
      <c r="B22" s="24">
        <v>100</v>
      </c>
      <c r="C22" s="24">
        <v>220</v>
      </c>
      <c r="D22" s="24">
        <v>26</v>
      </c>
      <c r="E22" s="24">
        <v>35000</v>
      </c>
      <c r="F22" s="24">
        <v>85000</v>
      </c>
      <c r="G22" s="24">
        <v>0.75</v>
      </c>
      <c r="H22" s="24">
        <v>0.65</v>
      </c>
      <c r="I22" s="24">
        <v>0.9</v>
      </c>
      <c r="J22" s="24">
        <v>0.8</v>
      </c>
      <c r="K22" s="42">
        <f t="shared" si="0"/>
        <v>83.135283363802557</v>
      </c>
    </row>
    <row r="23" spans="1:1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42"/>
    </row>
    <row r="24" spans="1:11" x14ac:dyDescent="0.2">
      <c r="A24" s="24" t="s">
        <v>92</v>
      </c>
      <c r="B24" s="24">
        <v>150</v>
      </c>
      <c r="C24" s="24">
        <v>220</v>
      </c>
      <c r="D24" s="24">
        <v>26</v>
      </c>
      <c r="E24" s="24">
        <v>40000</v>
      </c>
      <c r="F24" s="24">
        <v>110000</v>
      </c>
      <c r="G24" s="24">
        <v>0.8</v>
      </c>
      <c r="H24" s="24">
        <v>0.6</v>
      </c>
      <c r="I24" s="24">
        <v>0.9</v>
      </c>
      <c r="J24" s="24">
        <v>0.8</v>
      </c>
      <c r="K24" s="42">
        <f t="shared" si="0"/>
        <v>131.3528336380256</v>
      </c>
    </row>
    <row r="25" spans="1:1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42"/>
    </row>
    <row r="26" spans="1:11" x14ac:dyDescent="0.2">
      <c r="A26" s="24" t="s">
        <v>93</v>
      </c>
      <c r="B26" s="24">
        <v>140</v>
      </c>
      <c r="C26" s="24">
        <v>220</v>
      </c>
      <c r="D26" s="24">
        <v>26</v>
      </c>
      <c r="E26" s="24">
        <v>35000</v>
      </c>
      <c r="F26" s="24">
        <v>90000</v>
      </c>
      <c r="G26" s="24">
        <v>0.8</v>
      </c>
      <c r="H26" s="24">
        <v>0.55000000000000004</v>
      </c>
      <c r="I26" s="24">
        <v>0.9</v>
      </c>
      <c r="J26" s="24">
        <v>0.8</v>
      </c>
      <c r="K26" s="42">
        <f t="shared" si="0"/>
        <v>121.76416819012796</v>
      </c>
    </row>
    <row r="27" spans="1:1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42"/>
    </row>
    <row r="28" spans="1:11" x14ac:dyDescent="0.2">
      <c r="A28" s="24" t="s">
        <v>94</v>
      </c>
      <c r="B28" s="24">
        <v>160</v>
      </c>
      <c r="C28" s="24">
        <v>240</v>
      </c>
      <c r="D28" s="24">
        <v>16</v>
      </c>
      <c r="E28" s="24">
        <v>30000</v>
      </c>
      <c r="F28" s="24">
        <v>100000</v>
      </c>
      <c r="G28" s="24">
        <v>0.85</v>
      </c>
      <c r="H28" s="24">
        <v>0.7</v>
      </c>
      <c r="I28" s="24">
        <v>0.9</v>
      </c>
      <c r="J28" s="24">
        <v>0.8</v>
      </c>
      <c r="K28" s="42">
        <f t="shared" si="0"/>
        <v>150.48951048951048</v>
      </c>
    </row>
    <row r="29" spans="1:1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42"/>
    </row>
    <row r="30" spans="1:11" x14ac:dyDescent="0.2">
      <c r="A30" s="24" t="s">
        <v>95</v>
      </c>
      <c r="B30" s="24">
        <v>80</v>
      </c>
      <c r="C30" s="24">
        <v>240</v>
      </c>
      <c r="D30" s="24">
        <v>16</v>
      </c>
      <c r="E30" s="24">
        <v>45000</v>
      </c>
      <c r="F30" s="24">
        <v>120000</v>
      </c>
      <c r="G30" s="24">
        <v>0.85</v>
      </c>
      <c r="H30" s="24">
        <v>0.6</v>
      </c>
      <c r="I30" s="24">
        <v>0.9</v>
      </c>
      <c r="J30" s="24">
        <v>0.8</v>
      </c>
      <c r="K30" s="42">
        <f t="shared" si="0"/>
        <v>74.68531468531468</v>
      </c>
    </row>
    <row r="31" spans="1:11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42"/>
    </row>
    <row r="32" spans="1:11" x14ac:dyDescent="0.2">
      <c r="A32" s="24" t="s">
        <v>96</v>
      </c>
      <c r="B32" s="24">
        <v>100</v>
      </c>
      <c r="C32" s="24">
        <v>240</v>
      </c>
      <c r="D32" s="24">
        <v>16</v>
      </c>
      <c r="E32" s="24">
        <v>35000</v>
      </c>
      <c r="F32" s="24">
        <v>75000</v>
      </c>
      <c r="G32" s="24">
        <v>0.75</v>
      </c>
      <c r="H32" s="24">
        <v>0.7</v>
      </c>
      <c r="I32" s="24">
        <v>0.9</v>
      </c>
      <c r="J32" s="24">
        <v>0.8</v>
      </c>
      <c r="K32" s="42">
        <f t="shared" si="0"/>
        <v>83.56643356643356</v>
      </c>
    </row>
    <row r="33" spans="1:11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42"/>
    </row>
    <row r="34" spans="1:11" x14ac:dyDescent="0.2">
      <c r="A34" s="24" t="s">
        <v>97</v>
      </c>
      <c r="B34" s="24">
        <v>160</v>
      </c>
      <c r="C34" s="24">
        <v>240</v>
      </c>
      <c r="D34" s="24">
        <v>16</v>
      </c>
      <c r="E34" s="24">
        <v>30000</v>
      </c>
      <c r="F34" s="24">
        <v>80000</v>
      </c>
      <c r="G34" s="24">
        <v>0.85</v>
      </c>
      <c r="H34" s="24">
        <v>0.6</v>
      </c>
      <c r="I34" s="24">
        <v>0.9</v>
      </c>
      <c r="J34" s="24">
        <v>0.8</v>
      </c>
      <c r="K34" s="42">
        <f t="shared" si="0"/>
        <v>149.37062937062936</v>
      </c>
    </row>
    <row r="35" spans="1:1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42"/>
    </row>
    <row r="36" spans="1:11" x14ac:dyDescent="0.2">
      <c r="A36" s="24" t="s">
        <v>98</v>
      </c>
      <c r="B36" s="24">
        <v>160</v>
      </c>
      <c r="C36" s="24">
        <v>240</v>
      </c>
      <c r="D36" s="24">
        <v>16</v>
      </c>
      <c r="E36" s="24">
        <v>25000</v>
      </c>
      <c r="F36" s="24">
        <v>70000</v>
      </c>
      <c r="G36" s="24">
        <v>0.85</v>
      </c>
      <c r="H36" s="24">
        <v>0.55000000000000004</v>
      </c>
      <c r="I36" s="24">
        <v>0.9</v>
      </c>
      <c r="J36" s="24">
        <v>0.8</v>
      </c>
      <c r="K36" s="42">
        <f t="shared" si="0"/>
        <v>148.8111888111888</v>
      </c>
    </row>
    <row r="37" spans="1:11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42"/>
    </row>
    <row r="38" spans="1:11" x14ac:dyDescent="0.2">
      <c r="A38" s="24" t="s">
        <v>99</v>
      </c>
      <c r="B38" s="24">
        <v>150</v>
      </c>
      <c r="C38" s="24">
        <v>240</v>
      </c>
      <c r="D38" s="24">
        <v>16</v>
      </c>
      <c r="E38" s="24">
        <v>15000</v>
      </c>
      <c r="F38" s="24">
        <v>75000</v>
      </c>
      <c r="G38" s="24">
        <v>0.8</v>
      </c>
      <c r="H38" s="24">
        <v>0.6</v>
      </c>
      <c r="I38" s="24">
        <v>0.9</v>
      </c>
      <c r="J38" s="24">
        <v>0.8</v>
      </c>
      <c r="K38" s="42">
        <f t="shared" si="0"/>
        <v>132.16783216783216</v>
      </c>
    </row>
    <row r="39" spans="1:11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42"/>
    </row>
    <row r="40" spans="1:11" x14ac:dyDescent="0.2">
      <c r="A40" s="24" t="s">
        <v>99</v>
      </c>
      <c r="B40" s="24">
        <v>140</v>
      </c>
      <c r="C40" s="24">
        <v>240</v>
      </c>
      <c r="D40" s="24">
        <v>16</v>
      </c>
      <c r="E40" s="24">
        <v>15000</v>
      </c>
      <c r="F40" s="24">
        <v>75000</v>
      </c>
      <c r="G40" s="24">
        <v>0.85</v>
      </c>
      <c r="H40" s="24">
        <v>0.6</v>
      </c>
      <c r="I40" s="24">
        <v>0.9</v>
      </c>
      <c r="J40" s="24">
        <v>0.8</v>
      </c>
      <c r="K40" s="42">
        <f t="shared" si="0"/>
        <v>130.69930069930069</v>
      </c>
    </row>
    <row r="41" spans="1:11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42"/>
    </row>
    <row r="42" spans="1:11" x14ac:dyDescent="0.2">
      <c r="A42" s="24" t="s">
        <v>100</v>
      </c>
      <c r="B42" s="24">
        <v>130</v>
      </c>
      <c r="C42" s="24">
        <v>240</v>
      </c>
      <c r="D42" s="24">
        <v>16</v>
      </c>
      <c r="E42" s="24">
        <v>15000</v>
      </c>
      <c r="F42" s="24">
        <v>70000</v>
      </c>
      <c r="G42" s="24">
        <v>0.85</v>
      </c>
      <c r="H42" s="24">
        <v>0.5</v>
      </c>
      <c r="I42" s="24">
        <v>0.9</v>
      </c>
      <c r="J42" s="24">
        <v>0.8</v>
      </c>
      <c r="K42" s="42">
        <f t="shared" si="0"/>
        <v>120.45454545454545</v>
      </c>
    </row>
    <row r="43" spans="1:11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42"/>
    </row>
    <row r="44" spans="1:11" x14ac:dyDescent="0.2">
      <c r="A44" s="24" t="s">
        <v>101</v>
      </c>
      <c r="B44" s="24">
        <v>130</v>
      </c>
      <c r="C44" s="24">
        <v>240</v>
      </c>
      <c r="D44" s="24">
        <v>16</v>
      </c>
      <c r="E44" s="24">
        <v>15000</v>
      </c>
      <c r="F44" s="24">
        <v>70000</v>
      </c>
      <c r="G44" s="24">
        <v>0.8</v>
      </c>
      <c r="H44" s="24">
        <v>0.55000000000000004</v>
      </c>
      <c r="I44" s="24">
        <v>0.9</v>
      </c>
      <c r="J44" s="24">
        <v>0.8</v>
      </c>
      <c r="K44" s="42">
        <f t="shared" si="0"/>
        <v>114.09090909090908</v>
      </c>
    </row>
    <row r="45" spans="1:11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42"/>
    </row>
    <row r="46" spans="1:11" x14ac:dyDescent="0.2">
      <c r="A46" s="24" t="s">
        <v>102</v>
      </c>
      <c r="B46" s="24">
        <v>130</v>
      </c>
      <c r="C46" s="24">
        <v>240</v>
      </c>
      <c r="D46" s="24">
        <v>16</v>
      </c>
      <c r="E46" s="24">
        <v>15000</v>
      </c>
      <c r="F46" s="24">
        <v>70000</v>
      </c>
      <c r="G46" s="24">
        <v>0.8</v>
      </c>
      <c r="H46" s="24">
        <v>0.55000000000000004</v>
      </c>
      <c r="I46" s="24">
        <v>0.9</v>
      </c>
      <c r="J46" s="24">
        <v>0.8</v>
      </c>
      <c r="K46" s="42">
        <f t="shared" si="0"/>
        <v>114.09090909090908</v>
      </c>
    </row>
    <row r="47" spans="1:11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42"/>
    </row>
    <row r="48" spans="1:11" x14ac:dyDescent="0.2">
      <c r="A48" s="24" t="s">
        <v>103</v>
      </c>
      <c r="B48" s="24">
        <v>80</v>
      </c>
      <c r="C48" s="24">
        <v>240</v>
      </c>
      <c r="D48" s="24">
        <v>16</v>
      </c>
      <c r="E48" s="24">
        <v>20000</v>
      </c>
      <c r="F48" s="24">
        <v>110000</v>
      </c>
      <c r="G48" s="24">
        <v>0.75</v>
      </c>
      <c r="H48" s="24">
        <v>0.6</v>
      </c>
      <c r="I48" s="24">
        <v>0.9</v>
      </c>
      <c r="J48" s="24">
        <v>0.8</v>
      </c>
      <c r="K48" s="42">
        <f t="shared" si="0"/>
        <v>66.293706293706293</v>
      </c>
    </row>
  </sheetData>
  <mergeCells count="1">
    <mergeCell ref="A15:K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3016-D5EA-3A47-9E9A-53917B73ADB1}">
  <sheetPr>
    <outlinePr summaryBelow="0" summaryRight="0"/>
  </sheetPr>
  <dimension ref="A1:K32"/>
  <sheetViews>
    <sheetView showGridLines="0" zoomScale="65" workbookViewId="0">
      <selection activeCell="A16" sqref="A16:XFD16"/>
    </sheetView>
  </sheetViews>
  <sheetFormatPr baseColWidth="10" defaultColWidth="12.6640625" defaultRowHeight="15.75" customHeight="1" x14ac:dyDescent="0.2"/>
  <cols>
    <col min="1" max="1" width="26.83203125" style="216" customWidth="1"/>
    <col min="2" max="2" width="28.6640625" style="216" customWidth="1"/>
    <col min="3" max="3" width="21.6640625" style="216" customWidth="1"/>
    <col min="4" max="4" width="19.6640625" style="216" customWidth="1"/>
    <col min="5" max="5" width="14.1640625" style="216" customWidth="1"/>
    <col min="6" max="6" width="12.6640625" style="216"/>
    <col min="7" max="7" width="34.5" style="216" customWidth="1"/>
    <col min="8" max="8" width="28.33203125" style="216" customWidth="1"/>
    <col min="9" max="9" width="29.6640625" style="216" customWidth="1"/>
    <col min="10" max="10" width="26.6640625" style="216" customWidth="1"/>
    <col min="11" max="11" width="13.83203125" style="216" customWidth="1"/>
    <col min="12" max="16384" width="12.6640625" style="216"/>
  </cols>
  <sheetData>
    <row r="1" spans="1:11" s="212" customFormat="1" ht="88" customHeight="1" x14ac:dyDescent="0.2">
      <c r="A1" s="211" t="s">
        <v>67</v>
      </c>
      <c r="B1" s="211" t="s">
        <v>68</v>
      </c>
      <c r="C1" s="211" t="s">
        <v>69</v>
      </c>
      <c r="D1" s="211" t="s">
        <v>70</v>
      </c>
      <c r="E1" s="211" t="s">
        <v>71</v>
      </c>
      <c r="F1" s="211" t="s">
        <v>72</v>
      </c>
      <c r="G1" s="211" t="s">
        <v>73</v>
      </c>
      <c r="H1" s="211" t="s">
        <v>74</v>
      </c>
      <c r="I1" s="211" t="s">
        <v>75</v>
      </c>
      <c r="J1" s="211" t="s">
        <v>76</v>
      </c>
      <c r="K1" s="211" t="s">
        <v>77</v>
      </c>
    </row>
    <row r="2" spans="1:11" ht="18" x14ac:dyDescent="0.2">
      <c r="A2" s="213" t="s">
        <v>78</v>
      </c>
      <c r="B2" s="214">
        <v>1140</v>
      </c>
      <c r="C2" s="214">
        <v>164</v>
      </c>
      <c r="D2" s="214">
        <v>0</v>
      </c>
      <c r="E2" s="214">
        <v>2000</v>
      </c>
      <c r="F2" s="157"/>
      <c r="G2" s="214">
        <v>0.8</v>
      </c>
      <c r="H2" s="214"/>
      <c r="I2" s="214">
        <v>0.9</v>
      </c>
      <c r="J2" s="214"/>
      <c r="K2" s="215">
        <f>(B2 * G2) / I2</f>
        <v>1013.3333333333333</v>
      </c>
    </row>
    <row r="3" spans="1:11" ht="18" x14ac:dyDescent="0.2">
      <c r="A3" s="217" t="s">
        <v>79</v>
      </c>
      <c r="B3" s="214">
        <v>600</v>
      </c>
      <c r="C3" s="214">
        <v>164</v>
      </c>
      <c r="D3" s="214">
        <v>0</v>
      </c>
      <c r="E3" s="214">
        <v>4000</v>
      </c>
      <c r="F3" s="157"/>
      <c r="G3" s="214">
        <v>0.85</v>
      </c>
      <c r="H3" s="214"/>
      <c r="I3" s="214">
        <v>0.9</v>
      </c>
      <c r="J3" s="214"/>
      <c r="K3" s="215">
        <f>(B3 * G3) / I3</f>
        <v>566.66666666666663</v>
      </c>
    </row>
    <row r="4" spans="1:11" ht="18" x14ac:dyDescent="0.2">
      <c r="A4" s="218" t="s">
        <v>80</v>
      </c>
      <c r="B4" s="214">
        <v>600</v>
      </c>
      <c r="C4" s="214">
        <v>164</v>
      </c>
      <c r="D4" s="214">
        <v>0</v>
      </c>
      <c r="E4" s="214">
        <v>4500</v>
      </c>
      <c r="F4" s="157"/>
      <c r="G4" s="214">
        <v>0.85</v>
      </c>
      <c r="H4" s="214"/>
      <c r="I4" s="214">
        <v>0.9</v>
      </c>
      <c r="J4" s="214"/>
      <c r="K4" s="215">
        <f>(B4 * G4) / I4</f>
        <v>566.66666666666663</v>
      </c>
    </row>
    <row r="5" spans="1:11" ht="18" x14ac:dyDescent="0.2">
      <c r="A5" s="157" t="s">
        <v>81</v>
      </c>
      <c r="B5" s="214">
        <v>650</v>
      </c>
      <c r="C5" s="214">
        <v>164</v>
      </c>
      <c r="D5" s="214">
        <v>0</v>
      </c>
      <c r="E5" s="214">
        <v>5000</v>
      </c>
      <c r="F5" s="157"/>
      <c r="G5" s="214">
        <v>0.8</v>
      </c>
      <c r="H5" s="214"/>
      <c r="I5" s="214">
        <v>0.9</v>
      </c>
      <c r="J5" s="214"/>
      <c r="K5" s="215">
        <f>(B5 * G5) / I5</f>
        <v>577.77777777777771</v>
      </c>
    </row>
    <row r="6" spans="1:11" ht="18" x14ac:dyDescent="0.2">
      <c r="A6" s="219" t="s">
        <v>82</v>
      </c>
      <c r="B6" s="214">
        <v>1050</v>
      </c>
      <c r="C6" s="214">
        <v>140</v>
      </c>
      <c r="D6" s="214">
        <v>12</v>
      </c>
      <c r="E6" s="214">
        <v>11000</v>
      </c>
      <c r="F6" s="214">
        <v>70000</v>
      </c>
      <c r="G6" s="214">
        <v>0.85</v>
      </c>
      <c r="H6" s="214">
        <v>0.6</v>
      </c>
      <c r="I6" s="214">
        <v>0.9</v>
      </c>
      <c r="J6" s="214">
        <v>0.8</v>
      </c>
      <c r="K6" s="215">
        <f>B6 * (C6 * G6 + D6 * H6) / (C6 * I6 + D6 * J6)</f>
        <v>977.21238938053102</v>
      </c>
    </row>
    <row r="7" spans="1:11" ht="18" x14ac:dyDescent="0.2">
      <c r="A7" s="219" t="s">
        <v>83</v>
      </c>
      <c r="B7" s="214">
        <v>960</v>
      </c>
      <c r="C7" s="214">
        <v>140</v>
      </c>
      <c r="D7" s="214">
        <v>12</v>
      </c>
      <c r="E7" s="214">
        <v>7500</v>
      </c>
      <c r="F7" s="214">
        <v>45000</v>
      </c>
      <c r="G7" s="214">
        <v>0.85</v>
      </c>
      <c r="H7" s="214">
        <v>0.4</v>
      </c>
      <c r="I7" s="214">
        <v>0.9</v>
      </c>
      <c r="J7" s="214">
        <v>0.8</v>
      </c>
      <c r="K7" s="215">
        <f>B7 * (C7 * G7 + D7 * H7) / (C7 * I7 + D7 * J7)</f>
        <v>876.46017699115043</v>
      </c>
    </row>
    <row r="8" spans="1:11" ht="18" x14ac:dyDescent="0.2">
      <c r="A8" s="157" t="s">
        <v>84</v>
      </c>
      <c r="B8" s="214">
        <v>760</v>
      </c>
      <c r="C8" s="214">
        <v>164</v>
      </c>
      <c r="D8" s="214">
        <v>0</v>
      </c>
      <c r="E8" s="214">
        <v>5500</v>
      </c>
      <c r="F8" s="157"/>
      <c r="G8" s="214">
        <v>0.75</v>
      </c>
      <c r="H8" s="214"/>
      <c r="I8" s="214">
        <v>0.9</v>
      </c>
      <c r="J8" s="214"/>
      <c r="K8" s="215">
        <f>(B8 * G8) / I8</f>
        <v>633.33333333333337</v>
      </c>
    </row>
    <row r="9" spans="1:11" ht="18" x14ac:dyDescent="0.2">
      <c r="A9" s="217" t="s">
        <v>85</v>
      </c>
      <c r="B9" s="214">
        <v>860</v>
      </c>
      <c r="C9" s="214">
        <v>164</v>
      </c>
      <c r="D9" s="214">
        <v>0</v>
      </c>
      <c r="E9" s="214">
        <v>4000</v>
      </c>
      <c r="F9" s="157"/>
      <c r="G9" s="214">
        <v>0.85</v>
      </c>
      <c r="H9" s="214"/>
      <c r="I9" s="214">
        <v>0.9</v>
      </c>
      <c r="J9" s="214"/>
      <c r="K9" s="215">
        <f>(B9 * G9) / I9</f>
        <v>812.22222222222217</v>
      </c>
    </row>
    <row r="10" spans="1:11" ht="18" x14ac:dyDescent="0.2">
      <c r="A10" s="157" t="s">
        <v>86</v>
      </c>
      <c r="B10" s="214">
        <v>760</v>
      </c>
      <c r="C10" s="214">
        <v>164</v>
      </c>
      <c r="D10" s="214">
        <v>0</v>
      </c>
      <c r="E10" s="214">
        <v>4500</v>
      </c>
      <c r="F10" s="157"/>
      <c r="G10" s="214">
        <v>0.7</v>
      </c>
      <c r="H10" s="214"/>
      <c r="I10" s="214">
        <v>0.9</v>
      </c>
      <c r="J10" s="214"/>
      <c r="K10" s="215">
        <f>(B10 * G10) / I10</f>
        <v>591.11111111111109</v>
      </c>
    </row>
    <row r="11" spans="1:11" ht="18" x14ac:dyDescent="0.2">
      <c r="A11" s="220" t="s">
        <v>87</v>
      </c>
      <c r="B11" s="214">
        <v>750</v>
      </c>
      <c r="C11" s="214">
        <v>164</v>
      </c>
      <c r="D11" s="214">
        <v>0</v>
      </c>
      <c r="E11" s="214">
        <v>5000</v>
      </c>
      <c r="F11" s="157"/>
      <c r="G11" s="214">
        <v>0.65</v>
      </c>
      <c r="H11" s="214"/>
      <c r="I11" s="214">
        <v>0.9</v>
      </c>
      <c r="J11" s="214"/>
      <c r="K11" s="215">
        <f>(B11 * G11) / I11</f>
        <v>541.66666666666663</v>
      </c>
    </row>
    <row r="12" spans="1:11" ht="18" x14ac:dyDescent="0.2">
      <c r="A12" s="221"/>
      <c r="B12" s="221"/>
      <c r="C12" s="221"/>
      <c r="D12" s="221"/>
      <c r="E12" s="221"/>
      <c r="F12" s="221"/>
      <c r="G12" s="221"/>
      <c r="H12" s="221"/>
      <c r="I12" s="221"/>
      <c r="J12" s="221"/>
      <c r="K12" s="221"/>
    </row>
    <row r="13" spans="1:11" ht="18" x14ac:dyDescent="0.2">
      <c r="A13" s="221"/>
      <c r="B13" s="221"/>
      <c r="C13" s="221"/>
      <c r="D13" s="221"/>
      <c r="E13" s="221"/>
      <c r="F13" s="221"/>
      <c r="G13" s="221"/>
      <c r="H13" s="221"/>
      <c r="I13" s="221"/>
      <c r="J13" s="221"/>
      <c r="K13" s="221"/>
    </row>
    <row r="14" spans="1:11" ht="18" x14ac:dyDescent="0.2">
      <c r="A14" s="221"/>
      <c r="B14" s="221"/>
      <c r="C14" s="221"/>
      <c r="D14" s="221"/>
      <c r="E14" s="221"/>
      <c r="F14" s="221"/>
      <c r="G14" s="221"/>
      <c r="H14" s="221"/>
      <c r="I14" s="221"/>
      <c r="J14" s="221"/>
      <c r="K14" s="221"/>
    </row>
    <row r="15" spans="1:11" ht="18" x14ac:dyDescent="0.2">
      <c r="A15" s="279" t="s">
        <v>88</v>
      </c>
      <c r="B15" s="279"/>
      <c r="C15" s="279"/>
      <c r="D15" s="279"/>
      <c r="E15" s="279"/>
      <c r="F15" s="279"/>
      <c r="G15" s="279"/>
      <c r="H15" s="279"/>
      <c r="I15" s="279"/>
      <c r="J15" s="279"/>
      <c r="K15" s="279"/>
    </row>
    <row r="16" spans="1:11" s="212" customFormat="1" ht="75" customHeight="1" x14ac:dyDescent="0.2">
      <c r="A16" s="211" t="s">
        <v>67</v>
      </c>
      <c r="B16" s="211" t="s">
        <v>68</v>
      </c>
      <c r="C16" s="211" t="s">
        <v>69</v>
      </c>
      <c r="D16" s="211" t="s">
        <v>70</v>
      </c>
      <c r="E16" s="211" t="s">
        <v>71</v>
      </c>
      <c r="F16" s="211" t="s">
        <v>72</v>
      </c>
      <c r="G16" s="211" t="s">
        <v>73</v>
      </c>
      <c r="H16" s="211" t="s">
        <v>74</v>
      </c>
      <c r="I16" s="211" t="s">
        <v>75</v>
      </c>
      <c r="J16" s="211" t="s">
        <v>76</v>
      </c>
      <c r="K16" s="211" t="s">
        <v>77</v>
      </c>
    </row>
    <row r="17" spans="1:11" ht="18" x14ac:dyDescent="0.2">
      <c r="A17" s="157" t="s">
        <v>89</v>
      </c>
      <c r="B17" s="214">
        <v>140</v>
      </c>
      <c r="C17" s="214">
        <v>220</v>
      </c>
      <c r="D17" s="214">
        <v>26</v>
      </c>
      <c r="E17" s="214">
        <v>35000</v>
      </c>
      <c r="F17" s="214">
        <v>80000</v>
      </c>
      <c r="G17" s="214">
        <v>0.85</v>
      </c>
      <c r="H17" s="214">
        <v>0.65</v>
      </c>
      <c r="I17" s="214">
        <v>0.9</v>
      </c>
      <c r="J17" s="214">
        <v>0.8</v>
      </c>
      <c r="K17" s="215">
        <f t="shared" ref="K17:K32" si="0">B17 * (C17 * G17 + D17 *H17) / (C17 * I17 + D17 * J17)</f>
        <v>130.46617915904935</v>
      </c>
    </row>
    <row r="18" spans="1:11" ht="18" x14ac:dyDescent="0.2">
      <c r="A18" s="157" t="s">
        <v>90</v>
      </c>
      <c r="B18" s="214">
        <v>120</v>
      </c>
      <c r="C18" s="214">
        <v>220</v>
      </c>
      <c r="D18" s="214">
        <v>26</v>
      </c>
      <c r="E18" s="214">
        <v>40000</v>
      </c>
      <c r="F18" s="214">
        <v>90000</v>
      </c>
      <c r="G18" s="214">
        <v>0.85</v>
      </c>
      <c r="H18" s="214">
        <v>0.6</v>
      </c>
      <c r="I18" s="214">
        <v>0.9</v>
      </c>
      <c r="J18" s="214">
        <v>0.8</v>
      </c>
      <c r="K18" s="215">
        <f t="shared" si="0"/>
        <v>111.11517367458866</v>
      </c>
    </row>
    <row r="19" spans="1:11" ht="18" x14ac:dyDescent="0.2">
      <c r="A19" s="157" t="s">
        <v>91</v>
      </c>
      <c r="B19" s="214">
        <v>100</v>
      </c>
      <c r="C19" s="214">
        <v>220</v>
      </c>
      <c r="D19" s="214">
        <v>26</v>
      </c>
      <c r="E19" s="214">
        <v>35000</v>
      </c>
      <c r="F19" s="214">
        <v>85000</v>
      </c>
      <c r="G19" s="214">
        <v>0.75</v>
      </c>
      <c r="H19" s="214">
        <v>0.65</v>
      </c>
      <c r="I19" s="214">
        <v>0.9</v>
      </c>
      <c r="J19" s="214">
        <v>0.8</v>
      </c>
      <c r="K19" s="215">
        <f t="shared" si="0"/>
        <v>83.135283363802557</v>
      </c>
    </row>
    <row r="20" spans="1:11" ht="18" x14ac:dyDescent="0.2">
      <c r="A20" s="157" t="s">
        <v>92</v>
      </c>
      <c r="B20" s="214">
        <v>150</v>
      </c>
      <c r="C20" s="214">
        <v>220</v>
      </c>
      <c r="D20" s="214">
        <v>26</v>
      </c>
      <c r="E20" s="214">
        <v>40000</v>
      </c>
      <c r="F20" s="214">
        <v>110000</v>
      </c>
      <c r="G20" s="214">
        <v>0.8</v>
      </c>
      <c r="H20" s="214">
        <v>0.6</v>
      </c>
      <c r="I20" s="214">
        <v>0.9</v>
      </c>
      <c r="J20" s="214">
        <v>0.8</v>
      </c>
      <c r="K20" s="215">
        <f t="shared" si="0"/>
        <v>131.3528336380256</v>
      </c>
    </row>
    <row r="21" spans="1:11" ht="18" x14ac:dyDescent="0.2">
      <c r="A21" s="157" t="s">
        <v>93</v>
      </c>
      <c r="B21" s="214">
        <v>140</v>
      </c>
      <c r="C21" s="214">
        <v>220</v>
      </c>
      <c r="D21" s="214">
        <v>26</v>
      </c>
      <c r="E21" s="214">
        <v>35000</v>
      </c>
      <c r="F21" s="214">
        <v>90000</v>
      </c>
      <c r="G21" s="214">
        <v>0.8</v>
      </c>
      <c r="H21" s="214">
        <v>0.55000000000000004</v>
      </c>
      <c r="I21" s="214">
        <v>0.9</v>
      </c>
      <c r="J21" s="214">
        <v>0.8</v>
      </c>
      <c r="K21" s="215">
        <f t="shared" si="0"/>
        <v>121.76416819012796</v>
      </c>
    </row>
    <row r="22" spans="1:11" ht="18" x14ac:dyDescent="0.2">
      <c r="A22" s="157" t="s">
        <v>94</v>
      </c>
      <c r="B22" s="214">
        <v>160</v>
      </c>
      <c r="C22" s="214">
        <v>240</v>
      </c>
      <c r="D22" s="214">
        <v>16</v>
      </c>
      <c r="E22" s="214">
        <v>30000</v>
      </c>
      <c r="F22" s="214">
        <v>100000</v>
      </c>
      <c r="G22" s="214">
        <v>0.85</v>
      </c>
      <c r="H22" s="214">
        <v>0.7</v>
      </c>
      <c r="I22" s="214">
        <v>0.9</v>
      </c>
      <c r="J22" s="214">
        <v>0.8</v>
      </c>
      <c r="K22" s="215">
        <f t="shared" si="0"/>
        <v>150.48951048951048</v>
      </c>
    </row>
    <row r="23" spans="1:11" ht="18" x14ac:dyDescent="0.2">
      <c r="A23" s="157" t="s">
        <v>95</v>
      </c>
      <c r="B23" s="214">
        <v>80</v>
      </c>
      <c r="C23" s="214">
        <v>240</v>
      </c>
      <c r="D23" s="214">
        <v>16</v>
      </c>
      <c r="E23" s="214">
        <v>45000</v>
      </c>
      <c r="F23" s="214">
        <v>120000</v>
      </c>
      <c r="G23" s="214">
        <v>0.85</v>
      </c>
      <c r="H23" s="214">
        <v>0.6</v>
      </c>
      <c r="I23" s="214">
        <v>0.9</v>
      </c>
      <c r="J23" s="214">
        <v>0.8</v>
      </c>
      <c r="K23" s="215">
        <f t="shared" si="0"/>
        <v>74.68531468531468</v>
      </c>
    </row>
    <row r="24" spans="1:11" ht="18" x14ac:dyDescent="0.2">
      <c r="A24" s="157" t="s">
        <v>96</v>
      </c>
      <c r="B24" s="214">
        <v>100</v>
      </c>
      <c r="C24" s="214">
        <v>240</v>
      </c>
      <c r="D24" s="214">
        <v>16</v>
      </c>
      <c r="E24" s="214">
        <v>35000</v>
      </c>
      <c r="F24" s="214">
        <v>75000</v>
      </c>
      <c r="G24" s="214">
        <v>0.75</v>
      </c>
      <c r="H24" s="214">
        <v>0.7</v>
      </c>
      <c r="I24" s="214">
        <v>0.9</v>
      </c>
      <c r="J24" s="214">
        <v>0.8</v>
      </c>
      <c r="K24" s="215">
        <f t="shared" si="0"/>
        <v>83.56643356643356</v>
      </c>
    </row>
    <row r="25" spans="1:11" ht="18" x14ac:dyDescent="0.2">
      <c r="A25" s="157" t="s">
        <v>97</v>
      </c>
      <c r="B25" s="214">
        <v>160</v>
      </c>
      <c r="C25" s="214">
        <v>240</v>
      </c>
      <c r="D25" s="214">
        <v>16</v>
      </c>
      <c r="E25" s="214">
        <v>30000</v>
      </c>
      <c r="F25" s="214">
        <v>80000</v>
      </c>
      <c r="G25" s="214">
        <v>0.85</v>
      </c>
      <c r="H25" s="214">
        <v>0.6</v>
      </c>
      <c r="I25" s="214">
        <v>0.9</v>
      </c>
      <c r="J25" s="214">
        <v>0.8</v>
      </c>
      <c r="K25" s="215">
        <f t="shared" si="0"/>
        <v>149.37062937062936</v>
      </c>
    </row>
    <row r="26" spans="1:11" ht="18" x14ac:dyDescent="0.2">
      <c r="A26" s="157" t="s">
        <v>98</v>
      </c>
      <c r="B26" s="214">
        <v>160</v>
      </c>
      <c r="C26" s="214">
        <v>240</v>
      </c>
      <c r="D26" s="214">
        <v>16</v>
      </c>
      <c r="E26" s="214">
        <v>25000</v>
      </c>
      <c r="F26" s="214">
        <v>70000</v>
      </c>
      <c r="G26" s="214">
        <v>0.85</v>
      </c>
      <c r="H26" s="214">
        <v>0.55000000000000004</v>
      </c>
      <c r="I26" s="214">
        <v>0.9</v>
      </c>
      <c r="J26" s="214">
        <v>0.8</v>
      </c>
      <c r="K26" s="215">
        <f t="shared" si="0"/>
        <v>148.8111888111888</v>
      </c>
    </row>
    <row r="27" spans="1:11" ht="18" x14ac:dyDescent="0.2">
      <c r="A27" s="157" t="s">
        <v>99</v>
      </c>
      <c r="B27" s="214">
        <v>150</v>
      </c>
      <c r="C27" s="214">
        <v>240</v>
      </c>
      <c r="D27" s="214">
        <v>16</v>
      </c>
      <c r="E27" s="214">
        <v>15000</v>
      </c>
      <c r="F27" s="214">
        <v>75000</v>
      </c>
      <c r="G27" s="214">
        <v>0.8</v>
      </c>
      <c r="H27" s="214">
        <v>0.6</v>
      </c>
      <c r="I27" s="214">
        <v>0.9</v>
      </c>
      <c r="J27" s="214">
        <v>0.8</v>
      </c>
      <c r="K27" s="215">
        <f t="shared" si="0"/>
        <v>132.16783216783216</v>
      </c>
    </row>
    <row r="28" spans="1:11" ht="18" x14ac:dyDescent="0.2">
      <c r="A28" s="157" t="s">
        <v>99</v>
      </c>
      <c r="B28" s="214">
        <v>140</v>
      </c>
      <c r="C28" s="214">
        <v>240</v>
      </c>
      <c r="D28" s="214">
        <v>16</v>
      </c>
      <c r="E28" s="214">
        <v>15000</v>
      </c>
      <c r="F28" s="214">
        <v>75000</v>
      </c>
      <c r="G28" s="214">
        <v>0.85</v>
      </c>
      <c r="H28" s="214">
        <v>0.6</v>
      </c>
      <c r="I28" s="214">
        <v>0.9</v>
      </c>
      <c r="J28" s="214">
        <v>0.8</v>
      </c>
      <c r="K28" s="215">
        <f t="shared" si="0"/>
        <v>130.69930069930069</v>
      </c>
    </row>
    <row r="29" spans="1:11" ht="18" x14ac:dyDescent="0.2">
      <c r="A29" s="157" t="s">
        <v>100</v>
      </c>
      <c r="B29" s="214">
        <v>130</v>
      </c>
      <c r="C29" s="214">
        <v>240</v>
      </c>
      <c r="D29" s="214">
        <v>16</v>
      </c>
      <c r="E29" s="214">
        <v>15000</v>
      </c>
      <c r="F29" s="214">
        <v>70000</v>
      </c>
      <c r="G29" s="214">
        <v>0.85</v>
      </c>
      <c r="H29" s="214">
        <v>0.5</v>
      </c>
      <c r="I29" s="214">
        <v>0.9</v>
      </c>
      <c r="J29" s="214">
        <v>0.8</v>
      </c>
      <c r="K29" s="215">
        <f t="shared" si="0"/>
        <v>120.45454545454545</v>
      </c>
    </row>
    <row r="30" spans="1:11" ht="18" x14ac:dyDescent="0.2">
      <c r="A30" s="157" t="s">
        <v>101</v>
      </c>
      <c r="B30" s="214">
        <v>130</v>
      </c>
      <c r="C30" s="214">
        <v>240</v>
      </c>
      <c r="D30" s="214">
        <v>16</v>
      </c>
      <c r="E30" s="214">
        <v>15000</v>
      </c>
      <c r="F30" s="214">
        <v>70000</v>
      </c>
      <c r="G30" s="214">
        <v>0.8</v>
      </c>
      <c r="H30" s="214">
        <v>0.55000000000000004</v>
      </c>
      <c r="I30" s="214">
        <v>0.9</v>
      </c>
      <c r="J30" s="214">
        <v>0.8</v>
      </c>
      <c r="K30" s="215">
        <f t="shared" si="0"/>
        <v>114.09090909090908</v>
      </c>
    </row>
    <row r="31" spans="1:11" ht="18" x14ac:dyDescent="0.2">
      <c r="A31" s="157" t="s">
        <v>102</v>
      </c>
      <c r="B31" s="214">
        <v>130</v>
      </c>
      <c r="C31" s="214">
        <v>240</v>
      </c>
      <c r="D31" s="214">
        <v>16</v>
      </c>
      <c r="E31" s="214">
        <v>15000</v>
      </c>
      <c r="F31" s="214">
        <v>70000</v>
      </c>
      <c r="G31" s="214">
        <v>0.8</v>
      </c>
      <c r="H31" s="214">
        <v>0.55000000000000004</v>
      </c>
      <c r="I31" s="214">
        <v>0.9</v>
      </c>
      <c r="J31" s="214">
        <v>0.8</v>
      </c>
      <c r="K31" s="215">
        <f t="shared" si="0"/>
        <v>114.09090909090908</v>
      </c>
    </row>
    <row r="32" spans="1:11" ht="18" x14ac:dyDescent="0.2">
      <c r="A32" s="157" t="s">
        <v>103</v>
      </c>
      <c r="B32" s="214">
        <v>80</v>
      </c>
      <c r="C32" s="214">
        <v>240</v>
      </c>
      <c r="D32" s="214">
        <v>16</v>
      </c>
      <c r="E32" s="214">
        <v>20000</v>
      </c>
      <c r="F32" s="214">
        <v>110000</v>
      </c>
      <c r="G32" s="214">
        <v>0.75</v>
      </c>
      <c r="H32" s="214">
        <v>0.6</v>
      </c>
      <c r="I32" s="214">
        <v>0.9</v>
      </c>
      <c r="J32" s="214">
        <v>0.8</v>
      </c>
      <c r="K32" s="215">
        <f t="shared" si="0"/>
        <v>66.293706293706293</v>
      </c>
    </row>
  </sheetData>
  <mergeCells count="1">
    <mergeCell ref="A15:K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1AE4-A00C-DD4C-B05A-2C5791D488D4}">
  <sheetPr>
    <outlinePr summaryBelow="0" summaryRight="0"/>
  </sheetPr>
  <dimension ref="A1:G6"/>
  <sheetViews>
    <sheetView showGridLines="0" workbookViewId="0">
      <selection sqref="A1:XFD1"/>
    </sheetView>
  </sheetViews>
  <sheetFormatPr baseColWidth="10" defaultColWidth="12.6640625" defaultRowHeight="15.75" customHeight="1" x14ac:dyDescent="0.2"/>
  <cols>
    <col min="1" max="1" width="45.1640625" style="216" customWidth="1"/>
    <col min="2" max="2" width="22.83203125" style="216" customWidth="1"/>
    <col min="3" max="3" width="12.6640625" style="216"/>
    <col min="4" max="4" width="24.1640625" style="216" customWidth="1"/>
    <col min="5" max="5" width="12.6640625" style="216"/>
    <col min="6" max="6" width="38" style="216" customWidth="1"/>
    <col min="7" max="16384" width="12.6640625" style="216"/>
  </cols>
  <sheetData>
    <row r="1" spans="1:7" s="212" customFormat="1" ht="35" customHeight="1" x14ac:dyDescent="0.2">
      <c r="A1" s="211" t="s">
        <v>67</v>
      </c>
      <c r="B1" s="211" t="s">
        <v>156</v>
      </c>
      <c r="C1" s="211" t="s">
        <v>155</v>
      </c>
      <c r="D1" s="211" t="s">
        <v>154</v>
      </c>
      <c r="E1" s="211" t="s">
        <v>153</v>
      </c>
      <c r="F1" s="211" t="s">
        <v>152</v>
      </c>
      <c r="G1" s="211" t="s">
        <v>151</v>
      </c>
    </row>
    <row r="2" spans="1:7" ht="18" x14ac:dyDescent="0.2">
      <c r="A2" s="157" t="s">
        <v>150</v>
      </c>
      <c r="B2" s="157" t="str">
        <f>'Initial data'!A2</f>
        <v>Москва - Санкт-Петербург</v>
      </c>
      <c r="C2" s="214">
        <f>'Initial data'!B2</f>
        <v>1140</v>
      </c>
      <c r="D2" s="157" t="str">
        <f>'Initial data'!A4</f>
        <v>Москва - Сочи</v>
      </c>
      <c r="E2" s="157">
        <f>'Initial data'!B4</f>
        <v>600</v>
      </c>
      <c r="F2" s="157" t="s">
        <v>149</v>
      </c>
      <c r="G2" s="157">
        <f>MIN(C2,E2)</f>
        <v>600</v>
      </c>
    </row>
    <row r="3" spans="1:7" ht="18" x14ac:dyDescent="0.2">
      <c r="A3" s="157" t="s">
        <v>148</v>
      </c>
      <c r="B3" s="157" t="str">
        <f>'Initial data'!A11</f>
        <v>Москва - Калиниград</v>
      </c>
      <c r="C3" s="157">
        <f>'Initial data'!B11</f>
        <v>750</v>
      </c>
      <c r="D3" s="157" t="str">
        <f>'Initial data'!A2</f>
        <v>Москва - Санкт-Петербург</v>
      </c>
      <c r="E3" s="157">
        <f>'Initial data'!B2</f>
        <v>1140</v>
      </c>
      <c r="F3" s="157" t="s">
        <v>147</v>
      </c>
      <c r="G3" s="157">
        <f>MIN(C3,E3,C2-G2)</f>
        <v>540</v>
      </c>
    </row>
    <row r="4" spans="1:7" ht="18" x14ac:dyDescent="0.2">
      <c r="A4" s="157" t="s">
        <v>146</v>
      </c>
      <c r="B4" s="157" t="str">
        <f>'Initial data'!A6</f>
        <v>Москва - Новосибирск</v>
      </c>
      <c r="C4" s="157">
        <f>'Initial data'!B6</f>
        <v>1050</v>
      </c>
      <c r="D4" s="157" t="str">
        <f>'Initial data'!A7</f>
        <v>Москва - Красноярск</v>
      </c>
      <c r="E4" s="157">
        <f>'Initial data'!B7</f>
        <v>960</v>
      </c>
      <c r="F4" s="157" t="s">
        <v>145</v>
      </c>
      <c r="G4" s="157">
        <f>MIN(C4,E4)</f>
        <v>960</v>
      </c>
    </row>
    <row r="5" spans="1:7" ht="18" x14ac:dyDescent="0.2">
      <c r="A5" s="157" t="s">
        <v>144</v>
      </c>
      <c r="B5" s="157" t="str">
        <f>'Initial data'!A3</f>
        <v>Москва- Минеральные воды</v>
      </c>
      <c r="C5" s="157">
        <f>'Initial data'!B3</f>
        <v>600</v>
      </c>
      <c r="D5" s="157" t="str">
        <f>'Initial data'!A9</f>
        <v>Москва - Екатеринбург</v>
      </c>
      <c r="E5" s="157">
        <f>'Initial data'!B9</f>
        <v>860</v>
      </c>
      <c r="F5" s="157" t="s">
        <v>143</v>
      </c>
      <c r="G5" s="157">
        <f>MIN(C5,E5)</f>
        <v>600</v>
      </c>
    </row>
    <row r="6" spans="1:7" ht="15.75" customHeight="1" x14ac:dyDescent="0.2">
      <c r="A6" s="2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58C8-E798-C44A-8060-1CB4551276D9}">
  <sheetPr>
    <outlinePr summaryBelow="0" summaryRight="0"/>
  </sheetPr>
  <dimension ref="A1:H28"/>
  <sheetViews>
    <sheetView showGridLines="0" zoomScale="86" workbookViewId="0">
      <selection activeCell="H27" sqref="H27"/>
    </sheetView>
  </sheetViews>
  <sheetFormatPr baseColWidth="10" defaultColWidth="12.6640625" defaultRowHeight="15.75" customHeight="1" x14ac:dyDescent="0.2"/>
  <cols>
    <col min="1" max="1" width="26.1640625" style="216" customWidth="1"/>
    <col min="2" max="2" width="25.1640625" style="216" customWidth="1"/>
    <col min="3" max="3" width="19.6640625" style="216" customWidth="1"/>
    <col min="4" max="4" width="20.1640625" style="216" customWidth="1"/>
    <col min="5" max="5" width="17.1640625" style="216" customWidth="1"/>
    <col min="6" max="6" width="14.6640625" style="216" customWidth="1"/>
    <col min="7" max="7" width="24.33203125" style="216" customWidth="1"/>
    <col min="8" max="8" width="22.33203125" style="216" customWidth="1"/>
    <col min="9" max="16384" width="12.6640625" style="216"/>
  </cols>
  <sheetData>
    <row r="1" spans="1:8" s="212" customFormat="1" ht="57" x14ac:dyDescent="0.2">
      <c r="A1" s="248" t="s">
        <v>67</v>
      </c>
      <c r="B1" s="249" t="s">
        <v>68</v>
      </c>
      <c r="C1" s="249" t="s">
        <v>69</v>
      </c>
      <c r="D1" s="249" t="s">
        <v>70</v>
      </c>
      <c r="E1" s="249" t="s">
        <v>71</v>
      </c>
      <c r="F1" s="249" t="s">
        <v>72</v>
      </c>
      <c r="G1" s="249" t="s">
        <v>75</v>
      </c>
      <c r="H1" s="250" t="s">
        <v>76</v>
      </c>
    </row>
    <row r="2" spans="1:8" ht="18" x14ac:dyDescent="0.2">
      <c r="A2" s="225" t="s">
        <v>78</v>
      </c>
      <c r="B2" s="214">
        <f>'Cycles added'!G2</f>
        <v>600</v>
      </c>
      <c r="C2" s="214">
        <v>164</v>
      </c>
      <c r="D2" s="214">
        <v>0</v>
      </c>
      <c r="E2" s="214">
        <v>2000</v>
      </c>
      <c r="F2" s="157"/>
      <c r="G2" s="214">
        <v>0.9</v>
      </c>
      <c r="H2" s="226"/>
    </row>
    <row r="3" spans="1:8" ht="18" x14ac:dyDescent="0.2">
      <c r="A3" s="227" t="s">
        <v>79</v>
      </c>
      <c r="B3" s="214">
        <f>'Cycles added'!G5</f>
        <v>600</v>
      </c>
      <c r="C3" s="214">
        <v>164</v>
      </c>
      <c r="D3" s="214">
        <v>0</v>
      </c>
      <c r="E3" s="214">
        <v>4000</v>
      </c>
      <c r="F3" s="157"/>
      <c r="G3" s="214">
        <v>0.9</v>
      </c>
      <c r="H3" s="226"/>
    </row>
    <row r="4" spans="1:8" ht="18" x14ac:dyDescent="0.2">
      <c r="A4" s="225" t="s">
        <v>80</v>
      </c>
      <c r="B4" s="214">
        <f>'Initial data'!B4</f>
        <v>600</v>
      </c>
      <c r="C4" s="214">
        <v>164</v>
      </c>
      <c r="D4" s="214">
        <v>0</v>
      </c>
      <c r="E4" s="214">
        <v>4500</v>
      </c>
      <c r="F4" s="157"/>
      <c r="G4" s="214">
        <v>0.9</v>
      </c>
      <c r="H4" s="226"/>
    </row>
    <row r="5" spans="1:8" ht="18" x14ac:dyDescent="0.2">
      <c r="A5" s="228" t="s">
        <v>81</v>
      </c>
      <c r="B5" s="214">
        <v>650</v>
      </c>
      <c r="C5" s="214">
        <v>164</v>
      </c>
      <c r="D5" s="214">
        <v>0</v>
      </c>
      <c r="E5" s="214">
        <v>5000</v>
      </c>
      <c r="F5" s="157"/>
      <c r="G5" s="214">
        <v>0.9</v>
      </c>
      <c r="H5" s="226"/>
    </row>
    <row r="6" spans="1:8" ht="18" x14ac:dyDescent="0.2">
      <c r="A6" s="229" t="s">
        <v>82</v>
      </c>
      <c r="B6" s="214">
        <f>'Cycles added'!G4</f>
        <v>960</v>
      </c>
      <c r="C6" s="214">
        <v>140</v>
      </c>
      <c r="D6" s="214">
        <v>12</v>
      </c>
      <c r="E6" s="214">
        <v>11000</v>
      </c>
      <c r="F6" s="214">
        <v>70000</v>
      </c>
      <c r="G6" s="214">
        <v>0.9</v>
      </c>
      <c r="H6" s="226">
        <v>0.8</v>
      </c>
    </row>
    <row r="7" spans="1:8" ht="18" x14ac:dyDescent="0.2">
      <c r="A7" s="229" t="s">
        <v>83</v>
      </c>
      <c r="B7" s="214">
        <f>B6</f>
        <v>960</v>
      </c>
      <c r="C7" s="214">
        <v>140</v>
      </c>
      <c r="D7" s="214">
        <v>12</v>
      </c>
      <c r="E7" s="214">
        <v>7500</v>
      </c>
      <c r="F7" s="214">
        <v>45000</v>
      </c>
      <c r="G7" s="214">
        <v>0.9</v>
      </c>
      <c r="H7" s="226">
        <v>0.8</v>
      </c>
    </row>
    <row r="8" spans="1:8" ht="18" x14ac:dyDescent="0.2">
      <c r="A8" s="228" t="s">
        <v>84</v>
      </c>
      <c r="B8" s="214">
        <v>760</v>
      </c>
      <c r="C8" s="214">
        <v>164</v>
      </c>
      <c r="D8" s="214">
        <v>0</v>
      </c>
      <c r="E8" s="214">
        <v>5500</v>
      </c>
      <c r="F8" s="157"/>
      <c r="G8" s="214">
        <v>0.9</v>
      </c>
      <c r="H8" s="226"/>
    </row>
    <row r="9" spans="1:8" ht="18" x14ac:dyDescent="0.2">
      <c r="A9" s="227" t="s">
        <v>85</v>
      </c>
      <c r="B9" s="214">
        <f>B3</f>
        <v>600</v>
      </c>
      <c r="C9" s="214">
        <v>164</v>
      </c>
      <c r="D9" s="214">
        <v>0</v>
      </c>
      <c r="E9" s="214">
        <v>4000</v>
      </c>
      <c r="F9" s="157"/>
      <c r="G9" s="214">
        <v>0.9</v>
      </c>
      <c r="H9" s="226"/>
    </row>
    <row r="10" spans="1:8" ht="18" x14ac:dyDescent="0.2">
      <c r="A10" s="228" t="s">
        <v>86</v>
      </c>
      <c r="B10" s="214">
        <v>760</v>
      </c>
      <c r="C10" s="214">
        <v>164</v>
      </c>
      <c r="D10" s="214">
        <v>0</v>
      </c>
      <c r="E10" s="214">
        <v>4500</v>
      </c>
      <c r="F10" s="157"/>
      <c r="G10" s="214">
        <v>0.9</v>
      </c>
      <c r="H10" s="226"/>
    </row>
    <row r="11" spans="1:8" ht="18" x14ac:dyDescent="0.2">
      <c r="A11" s="230" t="s">
        <v>87</v>
      </c>
      <c r="B11" s="214">
        <f>'Cycles added'!G3</f>
        <v>540</v>
      </c>
      <c r="C11" s="214">
        <v>164</v>
      </c>
      <c r="D11" s="214">
        <v>0</v>
      </c>
      <c r="E11" s="214">
        <v>5000</v>
      </c>
      <c r="F11" s="157"/>
      <c r="G11" s="214">
        <v>0.9</v>
      </c>
      <c r="H11" s="226"/>
    </row>
    <row r="12" spans="1:8" ht="19" thickBot="1" x14ac:dyDescent="0.25">
      <c r="A12" s="231" t="s">
        <v>78</v>
      </c>
      <c r="B12" s="232">
        <f>B11</f>
        <v>540</v>
      </c>
      <c r="C12" s="232">
        <v>164</v>
      </c>
      <c r="D12" s="232">
        <v>0</v>
      </c>
      <c r="E12" s="232">
        <v>2000</v>
      </c>
      <c r="F12" s="166"/>
      <c r="G12" s="232">
        <v>0.9</v>
      </c>
      <c r="H12" s="233"/>
    </row>
    <row r="13" spans="1:8" ht="18" x14ac:dyDescent="0.2">
      <c r="A13" s="222" t="s">
        <v>147</v>
      </c>
      <c r="B13" s="223">
        <f>B11</f>
        <v>540</v>
      </c>
      <c r="C13" s="223">
        <v>164</v>
      </c>
      <c r="D13" s="223">
        <v>0</v>
      </c>
      <c r="E13" s="234">
        <v>9572</v>
      </c>
      <c r="F13" s="223"/>
      <c r="G13" s="223"/>
      <c r="H13" s="224"/>
    </row>
    <row r="14" spans="1:8" ht="18" x14ac:dyDescent="0.2">
      <c r="A14" s="228" t="s">
        <v>145</v>
      </c>
      <c r="B14" s="157">
        <f>B6</f>
        <v>960</v>
      </c>
      <c r="C14" s="157">
        <v>164</v>
      </c>
      <c r="D14" s="214">
        <v>12</v>
      </c>
      <c r="E14" s="235">
        <v>5760</v>
      </c>
      <c r="F14" s="157"/>
      <c r="G14" s="157"/>
      <c r="H14" s="236"/>
    </row>
    <row r="15" spans="1:8" ht="18" x14ac:dyDescent="0.2">
      <c r="A15" s="228" t="s">
        <v>143</v>
      </c>
      <c r="B15" s="157">
        <f>B3</f>
        <v>600</v>
      </c>
      <c r="C15" s="157">
        <v>164</v>
      </c>
      <c r="D15" s="157">
        <v>0</v>
      </c>
      <c r="E15" s="235">
        <v>6332</v>
      </c>
      <c r="F15" s="157"/>
      <c r="G15" s="157"/>
      <c r="H15" s="236"/>
    </row>
    <row r="16" spans="1:8" ht="19" thickBot="1" x14ac:dyDescent="0.25">
      <c r="A16" s="237" t="s">
        <v>149</v>
      </c>
      <c r="B16" s="166">
        <f>B2</f>
        <v>600</v>
      </c>
      <c r="C16" s="166">
        <v>164</v>
      </c>
      <c r="D16" s="166">
        <v>0</v>
      </c>
      <c r="E16" s="238">
        <v>12990</v>
      </c>
      <c r="F16" s="166"/>
      <c r="G16" s="166"/>
      <c r="H16" s="239"/>
    </row>
    <row r="17" spans="1:8" ht="18" x14ac:dyDescent="0.2">
      <c r="A17" s="222" t="s">
        <v>78</v>
      </c>
      <c r="B17" s="240">
        <f>'Initial data'!B2-B2-B12</f>
        <v>0</v>
      </c>
      <c r="C17" s="240">
        <v>164</v>
      </c>
      <c r="D17" s="240">
        <v>0</v>
      </c>
      <c r="E17" s="240">
        <v>2000</v>
      </c>
      <c r="F17" s="223"/>
      <c r="G17" s="240">
        <v>0.9</v>
      </c>
      <c r="H17" s="241"/>
    </row>
    <row r="18" spans="1:8" ht="18" x14ac:dyDescent="0.2">
      <c r="A18" s="228" t="s">
        <v>79</v>
      </c>
      <c r="B18" s="214">
        <f>'Initial data'!B3-B3</f>
        <v>0</v>
      </c>
      <c r="C18" s="214">
        <v>164</v>
      </c>
      <c r="D18" s="214">
        <v>0</v>
      </c>
      <c r="E18" s="214">
        <v>4000</v>
      </c>
      <c r="F18" s="157"/>
      <c r="G18" s="214">
        <v>0.9</v>
      </c>
      <c r="H18" s="226"/>
    </row>
    <row r="19" spans="1:8" ht="18" x14ac:dyDescent="0.2">
      <c r="A19" s="228" t="s">
        <v>80</v>
      </c>
      <c r="B19" s="214">
        <f>'Initial data'!B4-B4</f>
        <v>0</v>
      </c>
      <c r="C19" s="214">
        <v>164</v>
      </c>
      <c r="D19" s="214">
        <v>0</v>
      </c>
      <c r="E19" s="214">
        <v>4500</v>
      </c>
      <c r="F19" s="157"/>
      <c r="G19" s="214">
        <v>0.9</v>
      </c>
      <c r="H19" s="226"/>
    </row>
    <row r="20" spans="1:8" ht="18" x14ac:dyDescent="0.2">
      <c r="A20" s="228" t="s">
        <v>82</v>
      </c>
      <c r="B20" s="214">
        <f>'Initial data'!B6-B6</f>
        <v>90</v>
      </c>
      <c r="C20" s="214">
        <v>140</v>
      </c>
      <c r="D20" s="214">
        <v>12</v>
      </c>
      <c r="E20" s="214">
        <v>11000</v>
      </c>
      <c r="F20" s="214">
        <v>70000</v>
      </c>
      <c r="G20" s="214">
        <v>0.9</v>
      </c>
      <c r="H20" s="226">
        <v>0.8</v>
      </c>
    </row>
    <row r="21" spans="1:8" ht="18" x14ac:dyDescent="0.2">
      <c r="A21" s="228" t="s">
        <v>83</v>
      </c>
      <c r="B21" s="214">
        <f>'Initial data'!B7-B7</f>
        <v>0</v>
      </c>
      <c r="C21" s="214">
        <v>140</v>
      </c>
      <c r="D21" s="214">
        <v>12</v>
      </c>
      <c r="E21" s="214">
        <v>7500</v>
      </c>
      <c r="F21" s="214">
        <v>45000</v>
      </c>
      <c r="G21" s="214">
        <v>0.9</v>
      </c>
      <c r="H21" s="226">
        <v>0.8</v>
      </c>
    </row>
    <row r="22" spans="1:8" ht="18" x14ac:dyDescent="0.2">
      <c r="A22" s="228" t="s">
        <v>85</v>
      </c>
      <c r="B22" s="214">
        <f>'Initial data'!B9-B9</f>
        <v>260</v>
      </c>
      <c r="C22" s="214">
        <v>164</v>
      </c>
      <c r="D22" s="214">
        <v>0</v>
      </c>
      <c r="E22" s="214">
        <v>4000</v>
      </c>
      <c r="F22" s="157"/>
      <c r="G22" s="214">
        <v>0.9</v>
      </c>
      <c r="H22" s="226"/>
    </row>
    <row r="23" spans="1:8" ht="19" thickBot="1" x14ac:dyDescent="0.25">
      <c r="A23" s="237" t="s">
        <v>87</v>
      </c>
      <c r="B23" s="232">
        <f>'Initial data'!B11-B11</f>
        <v>210</v>
      </c>
      <c r="C23" s="232">
        <v>164</v>
      </c>
      <c r="D23" s="232">
        <v>0</v>
      </c>
      <c r="E23" s="232">
        <v>5000</v>
      </c>
      <c r="F23" s="166"/>
      <c r="G23" s="232">
        <v>0.9</v>
      </c>
      <c r="H23" s="233"/>
    </row>
    <row r="24" spans="1:8" ht="18" x14ac:dyDescent="0.2">
      <c r="A24" s="242"/>
      <c r="B24" s="243"/>
      <c r="C24" s="243"/>
      <c r="D24" s="243"/>
      <c r="E24" s="243"/>
      <c r="F24" s="242"/>
      <c r="G24" s="243"/>
      <c r="H24" s="243"/>
    </row>
    <row r="25" spans="1:8" ht="18" x14ac:dyDescent="0.2">
      <c r="A25" s="242"/>
      <c r="B25" s="243"/>
      <c r="C25" s="243"/>
      <c r="D25" s="243"/>
      <c r="E25" s="243"/>
      <c r="F25" s="242"/>
      <c r="G25" s="243"/>
      <c r="H25" s="243"/>
    </row>
    <row r="26" spans="1:8" ht="15.75" customHeight="1" x14ac:dyDescent="0.2">
      <c r="A26" s="244"/>
      <c r="B26" s="221" t="s">
        <v>158</v>
      </c>
    </row>
    <row r="28" spans="1:8" ht="15.75" customHeight="1" x14ac:dyDescent="0.2">
      <c r="A28" s="245"/>
      <c r="B28" s="246"/>
      <c r="C28" s="247"/>
      <c r="D28" s="2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17</vt:i4>
      </vt:variant>
    </vt:vector>
  </HeadingPairs>
  <TitlesOfParts>
    <vt:vector size="25" baseType="lpstr">
      <vt:lpstr>Sheet1</vt:lpstr>
      <vt:lpstr>Анализ результатов</vt:lpstr>
      <vt:lpstr>Данные по авиапарку</vt:lpstr>
      <vt:lpstr>Рейсы</vt:lpstr>
      <vt:lpstr>Оптимизация рейсов</vt:lpstr>
      <vt:lpstr>Initial data</vt:lpstr>
      <vt:lpstr>Cycles added</vt:lpstr>
      <vt:lpstr>New data</vt:lpstr>
      <vt:lpstr>depreciation_rate</vt:lpstr>
      <vt:lpstr>fuel_pric</vt:lpstr>
      <vt:lpstr>fuel_price</vt:lpstr>
      <vt:lpstr>fuel_price2</vt:lpstr>
      <vt:lpstr>inf_usa</vt:lpstr>
      <vt:lpstr>Lising_pay</vt:lpstr>
      <vt:lpstr>maintanance_hour320</vt:lpstr>
      <vt:lpstr>maintanance_hour330</vt:lpstr>
      <vt:lpstr>maintanance_hour330neo</vt:lpstr>
      <vt:lpstr>mult_19_21</vt:lpstr>
      <vt:lpstr>mult_1921</vt:lpstr>
      <vt:lpstr>usd</vt:lpstr>
      <vt:lpstr>usd_dynamics</vt:lpstr>
      <vt:lpstr>внутр_рейсы</vt:lpstr>
      <vt:lpstr>международ_рейсы</vt:lpstr>
      <vt:lpstr>новые_рейсы</vt:lpstr>
      <vt:lpstr>цена_топлива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Kudryashov</dc:creator>
  <cp:lastModifiedBy>Alexander Kudryashov</cp:lastModifiedBy>
  <dcterms:created xsi:type="dcterms:W3CDTF">2022-11-21T14:17:28Z</dcterms:created>
  <dcterms:modified xsi:type="dcterms:W3CDTF">2022-11-24T18:21:03Z</dcterms:modified>
</cp:coreProperties>
</file>