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14bs\Downloads\"/>
    </mc:Choice>
  </mc:AlternateContent>
  <xr:revisionPtr revIDLastSave="0" documentId="13_ncr:1_{7E92D7CB-7782-467A-A691-A803EA7207EB}" xr6:coauthVersionLast="47" xr6:coauthVersionMax="47" xr10:uidLastSave="{00000000-0000-0000-0000-000000000000}"/>
  <bookViews>
    <workbookView visibility="hidden" xWindow="-120" yWindow="-120" windowWidth="20730" windowHeight="11160" firstSheet="7" activeTab="7" xr2:uid="{5FEBB7C5-3F51-46DF-9D24-A4BD716ECE49}"/>
    <workbookView visibility="hidden" xWindow="-120" yWindow="-120" windowWidth="20730" windowHeight="11160" firstSheet="7" activeTab="7" xr2:uid="{6BB26B55-D4DB-451D-B389-92A66EEECCC6}"/>
    <workbookView xWindow="-120" yWindow="-120" windowWidth="20730" windowHeight="11160" xr2:uid="{4C80B118-3B1D-483E-BE24-C22B75B74BBB}"/>
  </bookViews>
  <sheets>
    <sheet name="Datos" sheetId="4" r:id="rId1"/>
    <sheet name="Plan de Inversiones" sheetId="18" r:id="rId2"/>
    <sheet name="Cuadro de amortización" sheetId="9" r:id="rId3"/>
    <sheet name="Plan de financiación" sheetId="10" r:id="rId4"/>
    <sheet name="Cálculo de punto muerto" sheetId="1" r:id="rId5"/>
    <sheet name="Cuenta de resultados" sheetId="2" r:id="rId6"/>
    <sheet name="Punto de equilibrio (AÑO 1)" sheetId="6" r:id="rId7"/>
    <sheet name="Balance de situación" sheetId="7" r:id="rId8"/>
    <sheet name="Ratios económicos-financieros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8" l="1"/>
  <c r="I24" i="8"/>
  <c r="I9" i="8"/>
  <c r="I26" i="8"/>
  <c r="I22" i="8"/>
  <c r="I20" i="8"/>
  <c r="I15" i="8"/>
  <c r="F6" i="7"/>
  <c r="F11" i="7"/>
  <c r="F17" i="7"/>
  <c r="E11" i="2"/>
  <c r="E10" i="2"/>
  <c r="E9" i="2"/>
  <c r="E15" i="2"/>
  <c r="E14" i="2"/>
  <c r="E4" i="2"/>
  <c r="E6" i="2"/>
  <c r="E13" i="2" s="1"/>
  <c r="E16" i="2" s="1"/>
  <c r="S35" i="4"/>
  <c r="B7" i="18"/>
  <c r="B13" i="18"/>
  <c r="B12" i="18" s="1"/>
  <c r="B17" i="18"/>
  <c r="B5" i="9" s="1"/>
  <c r="B5" i="18"/>
  <c r="B2" i="18" s="1"/>
  <c r="B11" i="18"/>
  <c r="B3" i="9" s="1"/>
  <c r="S28" i="4"/>
  <c r="S29" i="4"/>
  <c r="S34" i="4"/>
  <c r="S38" i="4"/>
  <c r="S39" i="4" s="1"/>
  <c r="S40" i="4" s="1"/>
  <c r="S43" i="4"/>
  <c r="S44" i="4" s="1"/>
  <c r="S45" i="4" s="1"/>
  <c r="S4" i="4"/>
  <c r="S7" i="4"/>
  <c r="S11" i="4"/>
  <c r="S12" i="4"/>
  <c r="S13" i="4"/>
  <c r="S14" i="4"/>
  <c r="O2" i="4"/>
  <c r="O7" i="4"/>
  <c r="O11" i="4"/>
  <c r="O14" i="4" a="1"/>
  <c r="O14" i="4" s="1"/>
  <c r="J19" i="4"/>
  <c r="J24" i="4"/>
  <c r="S18" i="4" s="1"/>
  <c r="J33" i="4"/>
  <c r="J32" i="4" s="1"/>
  <c r="L3" i="4"/>
  <c r="L4" i="4"/>
  <c r="L5" i="4"/>
  <c r="L6" i="4"/>
  <c r="L7" i="4"/>
  <c r="M9" i="4"/>
  <c r="L8" i="4"/>
  <c r="L9" i="4"/>
  <c r="L10" i="4"/>
  <c r="L11" i="4"/>
  <c r="L12" i="4"/>
  <c r="M15" i="4"/>
  <c r="L13" i="4"/>
  <c r="L14" i="4"/>
  <c r="L15" i="4"/>
  <c r="E6" i="1"/>
  <c r="F20" i="1"/>
  <c r="F19" i="1"/>
  <c r="F18" i="1"/>
  <c r="F16" i="1"/>
  <c r="F15" i="1"/>
  <c r="F13" i="1"/>
  <c r="F12" i="1"/>
  <c r="F11" i="1"/>
  <c r="F9" i="1"/>
  <c r="F8" i="1"/>
  <c r="F7" i="1"/>
  <c r="F6" i="1"/>
  <c r="E20" i="1"/>
  <c r="G20" i="1" s="1"/>
  <c r="H20" i="1" s="1"/>
  <c r="E19" i="1"/>
  <c r="G19" i="1" s="1"/>
  <c r="H19" i="1" s="1"/>
  <c r="E18" i="1"/>
  <c r="G18" i="1" s="1"/>
  <c r="H18" i="1" s="1"/>
  <c r="E16" i="1"/>
  <c r="G16" i="1" s="1"/>
  <c r="H16" i="1" s="1"/>
  <c r="E15" i="1"/>
  <c r="G15" i="1" s="1"/>
  <c r="H15" i="1" s="1"/>
  <c r="E13" i="1"/>
  <c r="G13" i="1" s="1"/>
  <c r="H13" i="1" s="1"/>
  <c r="E12" i="1"/>
  <c r="G12" i="1" s="1"/>
  <c r="H12" i="1" s="1"/>
  <c r="E11" i="1"/>
  <c r="G11" i="1" s="1"/>
  <c r="H11" i="1" s="1"/>
  <c r="E9" i="1"/>
  <c r="G9" i="1" s="1"/>
  <c r="H9" i="1" s="1"/>
  <c r="E8" i="1"/>
  <c r="G8" i="1" s="1"/>
  <c r="H8" i="1" s="1"/>
  <c r="E7" i="1"/>
  <c r="G7" i="1" s="1"/>
  <c r="H7" i="1" s="1"/>
  <c r="G6" i="6"/>
  <c r="B7" i="2"/>
  <c r="B5" i="2"/>
  <c r="G8" i="10"/>
  <c r="G9" i="10" s="1"/>
  <c r="B5" i="10" s="1"/>
  <c r="E41" i="4"/>
  <c r="E28" i="4"/>
  <c r="E15" i="4"/>
  <c r="B10" i="7"/>
  <c r="B16" i="7"/>
  <c r="B21" i="7"/>
  <c r="B17" i="2"/>
  <c r="B16" i="2"/>
  <c r="B15" i="2"/>
  <c r="B14" i="2"/>
  <c r="B13" i="2"/>
  <c r="B12" i="2"/>
  <c r="B11" i="2"/>
  <c r="B10" i="2"/>
  <c r="B9" i="2"/>
  <c r="B8" i="2"/>
  <c r="B6" i="2"/>
  <c r="B4" i="2"/>
  <c r="I11" i="8" l="1"/>
  <c r="E17" i="2"/>
  <c r="I13" i="8"/>
  <c r="E18" i="2"/>
  <c r="B19" i="18"/>
  <c r="S30" i="4"/>
  <c r="F21" i="1"/>
  <c r="S46" i="4"/>
  <c r="O18" i="4"/>
  <c r="G7" i="6" s="1"/>
  <c r="G8" i="6" s="1"/>
  <c r="S6" i="4"/>
  <c r="S3" i="4" s="1"/>
  <c r="G6" i="1"/>
  <c r="H6" i="1" s="1"/>
  <c r="J40" i="4"/>
  <c r="B4" i="9"/>
  <c r="B6" i="9" s="1"/>
  <c r="E21" i="1"/>
  <c r="E19" i="2" l="1"/>
  <c r="I18" i="8"/>
  <c r="G9" i="6"/>
  <c r="S20" i="4"/>
  <c r="S22" i="4" s="1"/>
  <c r="G21" i="1"/>
  <c r="H21" i="1" s="1"/>
  <c r="G10" i="6" l="1"/>
  <c r="G11" i="6" s="1"/>
</calcChain>
</file>

<file path=xl/sharedStrings.xml><?xml version="1.0" encoding="utf-8"?>
<sst xmlns="http://schemas.openxmlformats.org/spreadsheetml/2006/main" count="326" uniqueCount="217">
  <si>
    <t>Plan de Ventas 3 años (Tabla 1)</t>
  </si>
  <si>
    <t>Previsión de ventas para el primer año (tabla 2)</t>
  </si>
  <si>
    <t>Gastos realización de proyectos (Tabla 4)</t>
  </si>
  <si>
    <t>COSTES FIJOS (Tabla 8)</t>
  </si>
  <si>
    <t>SECTOR</t>
  </si>
  <si>
    <t>ÁREA</t>
  </si>
  <si>
    <t>PRODUCTO</t>
  </si>
  <si>
    <t>VENTAS</t>
  </si>
  <si>
    <t xml:space="preserve">VENTAS          </t>
  </si>
  <si>
    <t>%</t>
  </si>
  <si>
    <t>Consultoría Sector Privado</t>
  </si>
  <si>
    <t>CONCEPTO</t>
  </si>
  <si>
    <t>AÑO 1</t>
  </si>
  <si>
    <t>PRIMER AÑO</t>
  </si>
  <si>
    <t>Privado (24.000€)</t>
  </si>
  <si>
    <t>Consultoria</t>
  </si>
  <si>
    <t>Análisis económico financiero</t>
  </si>
  <si>
    <t xml:space="preserve">Privado </t>
  </si>
  <si>
    <t>Consultoría</t>
  </si>
  <si>
    <t xml:space="preserve">SERV. EXTERIORES </t>
  </si>
  <si>
    <t>Diagnósticos operativos</t>
  </si>
  <si>
    <t>Diagnóticos operativos</t>
  </si>
  <si>
    <t>Alquileres</t>
  </si>
  <si>
    <t>Evaluación e identificación de procesos</t>
  </si>
  <si>
    <t>Reparaciones</t>
  </si>
  <si>
    <t>Definición e implantación de Planes Estratégicos</t>
  </si>
  <si>
    <t>Formación</t>
  </si>
  <si>
    <t xml:space="preserve">Serv. Profesionales ind. </t>
  </si>
  <si>
    <t>Curso destinado a la mejora de las habilidades de directivos</t>
  </si>
  <si>
    <t>Formación sector privado</t>
  </si>
  <si>
    <t>Pub., prom. y RR.PP.</t>
  </si>
  <si>
    <t>Curso de método y sistemas de trabajo en equipo</t>
  </si>
  <si>
    <t xml:space="preserve">Dietas y gastos de viajes </t>
  </si>
  <si>
    <r>
      <rPr>
        <sz val="9.5"/>
        <rFont val="Calibri"/>
        <family val="2"/>
        <scheme val="minor"/>
      </rPr>
      <t>Curso para la</t>
    </r>
    <r>
      <rPr>
        <i/>
        <sz val="9.5"/>
        <rFont val="Calibri"/>
        <family val="2"/>
        <scheme val="minor"/>
      </rPr>
      <t xml:space="preserve"> </t>
    </r>
    <r>
      <rPr>
        <sz val="9.5"/>
        <rFont val="Calibri"/>
        <family val="2"/>
        <scheme val="minor"/>
      </rPr>
      <t>definición e implantación de un Plan Estratégico</t>
    </r>
  </si>
  <si>
    <t>Seguros</t>
  </si>
  <si>
    <r>
      <t>Público (160.000</t>
    </r>
    <r>
      <rPr>
        <sz val="9.5"/>
        <rFont val="Calibri"/>
        <family val="2"/>
      </rPr>
      <t>€</t>
    </r>
    <r>
      <rPr>
        <sz val="9.5"/>
        <rFont val="Calibri"/>
        <family val="2"/>
        <scheme val="minor"/>
      </rPr>
      <t>)</t>
    </r>
  </si>
  <si>
    <t>Definición de funciones y responsobilidades por puesto</t>
  </si>
  <si>
    <t>Público</t>
  </si>
  <si>
    <t>Curso para la definición e implantación de un Plan Estratégico</t>
  </si>
  <si>
    <t>Serv. Bancarios y similar</t>
  </si>
  <si>
    <t>Desarrollo de organigramas funcionales</t>
  </si>
  <si>
    <t>Consultoría secto publico</t>
  </si>
  <si>
    <t>Material de oficina</t>
  </si>
  <si>
    <t>Definición de funciones y respon_x0002_sabilidades por puesto</t>
  </si>
  <si>
    <t>Agua</t>
  </si>
  <si>
    <t>Luz</t>
  </si>
  <si>
    <t>Formación sector público</t>
  </si>
  <si>
    <t>Teléfono</t>
  </si>
  <si>
    <t>TOTAL</t>
  </si>
  <si>
    <t xml:space="preserve">Sus. e coutas prof. </t>
  </si>
  <si>
    <t>SEGUNDO AÑO</t>
  </si>
  <si>
    <t>Privado (450.000€)</t>
  </si>
  <si>
    <t>Curso de método y sistemas de tra_x0002_bajo en equipo</t>
  </si>
  <si>
    <t xml:space="preserve">Correo y mensajeria </t>
  </si>
  <si>
    <t>Gastos 1er año (Tabla 3)</t>
  </si>
  <si>
    <t>Curso para la definición e implantación de un Plan Estratratégico</t>
  </si>
  <si>
    <t xml:space="preserve">Otros suministros </t>
  </si>
  <si>
    <t>Conceptos</t>
  </si>
  <si>
    <t>Importe</t>
  </si>
  <si>
    <t>PERSONAL</t>
  </si>
  <si>
    <t>Inversiones</t>
  </si>
  <si>
    <t xml:space="preserve">GTOS. FINANCIEROS </t>
  </si>
  <si>
    <t>Vehículos</t>
  </si>
  <si>
    <t xml:space="preserve">AMORTIZACIONES </t>
  </si>
  <si>
    <t>Equipos informáticos</t>
  </si>
  <si>
    <t xml:space="preserve">OTROS G. XESTIÓN </t>
  </si>
  <si>
    <t>Software informático</t>
  </si>
  <si>
    <t xml:space="preserve">TOTAL </t>
  </si>
  <si>
    <t>Público (300.000€)</t>
  </si>
  <si>
    <t>Mobiliario de oficina</t>
  </si>
  <si>
    <t>Sueldos y Salarios</t>
  </si>
  <si>
    <t>DESGLOSE GASTOS PERSONAL (Tabla 9)</t>
  </si>
  <si>
    <t>Director</t>
  </si>
  <si>
    <t>Seguridad Social Autónomo Director</t>
  </si>
  <si>
    <t>Categoría 1:</t>
  </si>
  <si>
    <t>Responsable de Proyectos</t>
  </si>
  <si>
    <t xml:space="preserve">N° personas </t>
  </si>
  <si>
    <t>Responsable de Administración</t>
  </si>
  <si>
    <t>Salario base</t>
  </si>
  <si>
    <t>TERCER AÑO</t>
  </si>
  <si>
    <t>Privado (600.000€)</t>
  </si>
  <si>
    <t>Consultor Económico-fianaciero</t>
  </si>
  <si>
    <t>S. Social (Autónoma)</t>
  </si>
  <si>
    <t>Consultor Procesos</t>
  </si>
  <si>
    <t>Total coste categoría 1</t>
  </si>
  <si>
    <t>Administrativo</t>
  </si>
  <si>
    <t>Categoría 2:</t>
  </si>
  <si>
    <t>Responsables</t>
  </si>
  <si>
    <t>Otros Gastos</t>
  </si>
  <si>
    <t>Servicio de Asesoría y Gestoría</t>
  </si>
  <si>
    <t>S.S. (33% s/sal. base)</t>
  </si>
  <si>
    <t>Consumo de agua</t>
  </si>
  <si>
    <t>Total coste categoría 2</t>
  </si>
  <si>
    <t>Público (400.000€)</t>
  </si>
  <si>
    <t>Consumo de electricidad</t>
  </si>
  <si>
    <t>Categoría 3:</t>
  </si>
  <si>
    <t>Consultores</t>
  </si>
  <si>
    <t>Publicida</t>
  </si>
  <si>
    <t>Alquiler oficina</t>
  </si>
  <si>
    <t>Consumo de teléfono</t>
  </si>
  <si>
    <t>Total coste categoría 3</t>
  </si>
  <si>
    <t>Categoría 4:</t>
  </si>
  <si>
    <t>Total coste categoría 4</t>
  </si>
  <si>
    <t>TOTAL PERSONAL</t>
  </si>
  <si>
    <t>Plan de Inversiones (Tabla 5)</t>
  </si>
  <si>
    <t>INMOVILIZADO INTANGIBLE</t>
  </si>
  <si>
    <t>Gastos de I+D</t>
  </si>
  <si>
    <t>Patentes industriales</t>
  </si>
  <si>
    <t>Aplicaciones informáticas</t>
  </si>
  <si>
    <t>TERRENOS</t>
  </si>
  <si>
    <t>CONSTRUCCIONES</t>
  </si>
  <si>
    <t>Compra locales, naves, etc.</t>
  </si>
  <si>
    <t>Acondicionamiento de locales</t>
  </si>
  <si>
    <t>Instalaciones eléctricas, fontanería, etc.</t>
  </si>
  <si>
    <t>ELEMENTOS DE TRANSPORTE</t>
  </si>
  <si>
    <t>MOBILIARIO Y ENSERES:</t>
  </si>
  <si>
    <t>Mesas, sillas e otros muebles</t>
  </si>
  <si>
    <t>Armarios y estanterías</t>
  </si>
  <si>
    <t>Elementos decorativos</t>
  </si>
  <si>
    <t>MAQUINARIA Y EQUIPOS:</t>
  </si>
  <si>
    <t>EQUIPOS INFORMÁTICOS</t>
  </si>
  <si>
    <t>OTROS INMOVILIZADOS</t>
  </si>
  <si>
    <t>CUADRO DE AMORTIZACIÓN (Tabla 6)</t>
  </si>
  <si>
    <t>Elementos de transporte</t>
  </si>
  <si>
    <t>Total</t>
  </si>
  <si>
    <t>PLAN DE FINANCIACIÓN (Tabla 7)</t>
  </si>
  <si>
    <t>N-periodos</t>
  </si>
  <si>
    <t xml:space="preserve">Saldo inicial </t>
  </si>
  <si>
    <t>Cuota Fija</t>
  </si>
  <si>
    <t>Interes</t>
  </si>
  <si>
    <t>Abono a capital</t>
  </si>
  <si>
    <t>Saldo final</t>
  </si>
  <si>
    <t>APORTACIÓN DE CAPITAL</t>
  </si>
  <si>
    <t>PRÉSTAMOS LARGO PLAZO Importe</t>
  </si>
  <si>
    <t>Coste financiación a largo plazo (%)</t>
  </si>
  <si>
    <t>Años amortización préstamo</t>
  </si>
  <si>
    <t>Años carencia préstamo</t>
  </si>
  <si>
    <t>Suma</t>
  </si>
  <si>
    <t>Porcentaje</t>
  </si>
  <si>
    <t>TABLA 10. CÁLCULO DEL PUNTO MUERTO</t>
  </si>
  <si>
    <t>CONCEPTOS</t>
  </si>
  <si>
    <t>COSTE</t>
  </si>
  <si>
    <t>COSTE/VENTAS</t>
  </si>
  <si>
    <t>1-COSTE/ VENTAS</t>
  </si>
  <si>
    <t>CONSULTORÍA SECTOR PRIVADO</t>
  </si>
  <si>
    <t>Definición e implantación de Planes estratégicos</t>
  </si>
  <si>
    <t>FORMACIÓN SECTOR PRIVADO</t>
  </si>
  <si>
    <t>CONSULTORÍA SECTOR PÚBLICO</t>
  </si>
  <si>
    <t>Definición de funciones y responsabilidades por puesto</t>
  </si>
  <si>
    <t>FORMACIÓN SECTOR PÚBLICO</t>
  </si>
  <si>
    <t>TOTALES</t>
  </si>
  <si>
    <t>CUENTA DE RESULTADOS(Tabla 11)</t>
  </si>
  <si>
    <t>AÑO</t>
  </si>
  <si>
    <t>UNO</t>
  </si>
  <si>
    <t>RESULTADO DEL EJERCICIO</t>
  </si>
  <si>
    <t>CASH - FLOW</t>
  </si>
  <si>
    <t>PUNTO DE EQUILIBRIO (Tabla 12)</t>
  </si>
  <si>
    <t>Ventas</t>
  </si>
  <si>
    <t>Costes variables</t>
  </si>
  <si>
    <t>Margen de contribución (€)</t>
  </si>
  <si>
    <t>Margen de contribución (%)</t>
  </si>
  <si>
    <t>Costes fijos</t>
  </si>
  <si>
    <t>Punto de equilibrio (€)</t>
  </si>
  <si>
    <t>BALANCE DE SITUACIÓN PROVISIONAL (ACTIVO) (Tabla 13)</t>
  </si>
  <si>
    <t>ACTIVO</t>
  </si>
  <si>
    <t>1° AÑO</t>
  </si>
  <si>
    <t>INMOVILIZADO</t>
  </si>
  <si>
    <t>I+D, Prop. Ind., aplicaciones informáticas</t>
  </si>
  <si>
    <t>Derechos por leasing</t>
  </si>
  <si>
    <t>INM. MATERIAL</t>
  </si>
  <si>
    <t>Terrenos y obra civil</t>
  </si>
  <si>
    <t>Mobil. y equipos informáticos</t>
  </si>
  <si>
    <t>Otro inmovilizado</t>
  </si>
  <si>
    <t>INM. FINANCIERO</t>
  </si>
  <si>
    <t>CORRIENTE</t>
  </si>
  <si>
    <t>EXISTENCIAS</t>
  </si>
  <si>
    <t>CLIENTES</t>
  </si>
  <si>
    <t>H.P. deudora</t>
  </si>
  <si>
    <t>DISPONIBLE</t>
  </si>
  <si>
    <t>TOTAL ACTIVO</t>
  </si>
  <si>
    <t>BALANCE DE SITUACIÓN PROVISIONAL (PASIVO)(Tabla 14)</t>
  </si>
  <si>
    <t>PASIVO</t>
  </si>
  <si>
    <t>F. PROPIOS</t>
  </si>
  <si>
    <t>Capital</t>
  </si>
  <si>
    <t>Reservas</t>
  </si>
  <si>
    <t>Resultado</t>
  </si>
  <si>
    <t>EXIGIBLE A L. P.</t>
  </si>
  <si>
    <t>EXIGIBLE A C. P.</t>
  </si>
  <si>
    <t>Financiación C. P.</t>
  </si>
  <si>
    <t>Acreedores</t>
  </si>
  <si>
    <t>H.P. acreedora</t>
  </si>
  <si>
    <t>Proveedores</t>
  </si>
  <si>
    <t>TOTAL PASIVO</t>
  </si>
  <si>
    <t>RATIOS ECONÓMICO-FINANCIERAS(TABLA 14)</t>
  </si>
  <si>
    <t>DE GESTIÓN ECONÓMICA</t>
  </si>
  <si>
    <t>Capital corriente</t>
  </si>
  <si>
    <t xml:space="preserve">(Existencias + cuentas para cobrar + tesorería) - exigible a corto </t>
  </si>
  <si>
    <t>Rentabilidad económica</t>
  </si>
  <si>
    <t>Resultado antes impuestos + gastos financieros</t>
  </si>
  <si>
    <t>Activo total</t>
  </si>
  <si>
    <t>Margen sobre las ventas</t>
  </si>
  <si>
    <t>Ingresos por ventas</t>
  </si>
  <si>
    <t>Rotación del activo</t>
  </si>
  <si>
    <t>DE ESTRUCTURA FINANCIERA</t>
  </si>
  <si>
    <t>Rentabilidad financiera</t>
  </si>
  <si>
    <t>Resultado de ejercicio</t>
  </si>
  <si>
    <t>Fondos propios</t>
  </si>
  <si>
    <t>Endeudamiento</t>
  </si>
  <si>
    <t>(Exigible a largo + exigible a corto)</t>
  </si>
  <si>
    <t>Coste medio de la deuda</t>
  </si>
  <si>
    <t>Gastos financieros</t>
  </si>
  <si>
    <t>Exigible a largo + préstamos a corto</t>
  </si>
  <si>
    <t>Liquidez</t>
  </si>
  <si>
    <t>Cuentas para cobrar + tesorería</t>
  </si>
  <si>
    <t>Exigible a corto</t>
  </si>
  <si>
    <t>Solvencia</t>
  </si>
  <si>
    <t>Activo corriente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</si>
</sst>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$&quot;* #,##0.00_-;\-&quot;$&quot;* #,##0.00_-;_-&quot;$&quot;* &quot;-&quot;??_-;_-@_-"/>
    <numFmt numFmtId="165" formatCode="0.000"/>
    <numFmt numFmtId="166" formatCode="_-* #,##0.00\ [$€-C0A]_-;\-* #,##0.00\ [$€-C0A]_-;_-* &quot;-&quot;??\ [$€-C0A]_-;_-@_-"/>
    <numFmt numFmtId="167" formatCode="_-* #,##0\ [$€-C0A]_-;\-* #,##0\ [$€-C0A]_-;_-* &quot;-&quot;???\ [$€-C0A]_-;_-@_-"/>
    <numFmt numFmtId="168" formatCode="_-* #,##0\ [$€-C0A]_-;\-* #,##0\ [$€-C0A]_-;_-* &quot;-&quot;??\ [$€-C0A]_-;_-@_-"/>
    <numFmt numFmtId="169" formatCode="0.000%"/>
    <numFmt numFmtId="170" formatCode="0.0%"/>
    <numFmt numFmtId="171" formatCode="_-&quot;$&quot;* #,##0.0_-;\-&quot;$&quot;* #,##0.0_-;_-&quot;$&quot;* &quot;-&quot;??_-;_-@_-"/>
  </numFmts>
  <fonts count="27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 Black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b/>
      <sz val="9.5"/>
      <name val="Calibri"/>
      <family val="2"/>
      <scheme val="minor"/>
    </font>
    <font>
      <sz val="10.5"/>
      <name val="Calibri"/>
      <family val="2"/>
      <scheme val="minor"/>
    </font>
    <font>
      <sz val="9.5"/>
      <name val="Calibri"/>
      <family val="2"/>
      <scheme val="minor"/>
    </font>
    <font>
      <i/>
      <sz val="9.5"/>
      <name val="Calibri"/>
      <family val="2"/>
      <scheme val="minor"/>
    </font>
    <font>
      <sz val="11"/>
      <name val="Calibri"/>
      <family val="2"/>
      <scheme val="minor"/>
    </font>
    <font>
      <sz val="9.5"/>
      <name val="Calibri"/>
      <family val="2"/>
    </font>
    <font>
      <sz val="10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5"/>
      <color rgb="FF00000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1"/>
      <name val="Calibri"/>
      <family val="2"/>
      <scheme val="minor"/>
    </font>
    <font>
      <b/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0" borderId="0"/>
  </cellStyleXfs>
  <cellXfs count="406">
    <xf numFmtId="0" fontId="0" fillId="0" borderId="0" xfId="0"/>
    <xf numFmtId="0" fontId="10" fillId="0" borderId="0" xfId="3" applyAlignment="1">
      <alignment horizontal="left" vertical="top"/>
    </xf>
    <xf numFmtId="167" fontId="10" fillId="0" borderId="0" xfId="3" applyNumberFormat="1" applyAlignment="1">
      <alignment horizontal="left" vertical="top"/>
    </xf>
    <xf numFmtId="168" fontId="10" fillId="0" borderId="0" xfId="3" applyNumberFormat="1" applyAlignment="1">
      <alignment horizontal="left" vertical="top"/>
    </xf>
    <xf numFmtId="168" fontId="0" fillId="0" borderId="0" xfId="0" applyNumberFormat="1"/>
    <xf numFmtId="0" fontId="4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1" fontId="21" fillId="0" borderId="0" xfId="0" applyNumberFormat="1" applyFont="1" applyAlignment="1">
      <alignment vertical="center"/>
    </xf>
    <xf numFmtId="1" fontId="22" fillId="0" borderId="0" xfId="0" applyNumberFormat="1" applyFont="1" applyAlignment="1">
      <alignment vertical="center"/>
    </xf>
    <xf numFmtId="165" fontId="22" fillId="0" borderId="0" xfId="0" applyNumberFormat="1" applyFont="1" applyAlignment="1">
      <alignment vertical="center"/>
    </xf>
    <xf numFmtId="0" fontId="22" fillId="0" borderId="0" xfId="0" applyFont="1" applyAlignment="1">
      <alignment vertical="center"/>
    </xf>
    <xf numFmtId="165" fontId="21" fillId="2" borderId="0" xfId="0" applyNumberFormat="1" applyFont="1" applyFill="1" applyAlignment="1">
      <alignment vertical="center"/>
    </xf>
    <xf numFmtId="168" fontId="21" fillId="0" borderId="0" xfId="0" applyNumberFormat="1" applyFont="1" applyAlignment="1">
      <alignment vertical="center"/>
    </xf>
    <xf numFmtId="168" fontId="22" fillId="0" borderId="0" xfId="0" applyNumberFormat="1" applyFont="1" applyAlignment="1">
      <alignment vertical="center"/>
    </xf>
    <xf numFmtId="168" fontId="21" fillId="0" borderId="9" xfId="0" applyNumberFormat="1" applyFont="1" applyBorder="1" applyAlignment="1">
      <alignment vertical="center"/>
    </xf>
    <xf numFmtId="168" fontId="22" fillId="0" borderId="32" xfId="0" applyNumberFormat="1" applyFont="1" applyBorder="1" applyAlignment="1">
      <alignment vertical="center"/>
    </xf>
    <xf numFmtId="168" fontId="21" fillId="0" borderId="32" xfId="0" applyNumberFormat="1" applyFont="1" applyBorder="1" applyAlignment="1">
      <alignment vertical="center"/>
    </xf>
    <xf numFmtId="168" fontId="22" fillId="0" borderId="4" xfId="0" applyNumberFormat="1" applyFont="1" applyBorder="1" applyAlignment="1">
      <alignment vertical="center"/>
    </xf>
    <xf numFmtId="168" fontId="21" fillId="2" borderId="37" xfId="0" applyNumberFormat="1" applyFont="1" applyFill="1" applyBorder="1" applyAlignment="1">
      <alignment vertical="center"/>
    </xf>
    <xf numFmtId="1" fontId="0" fillId="0" borderId="0" xfId="0" applyNumberFormat="1"/>
    <xf numFmtId="164" fontId="0" fillId="0" borderId="0" xfId="0" applyNumberFormat="1"/>
    <xf numFmtId="0" fontId="14" fillId="2" borderId="1" xfId="3" applyFont="1" applyFill="1" applyBorder="1" applyAlignment="1">
      <alignment horizontal="left" vertical="top" wrapText="1"/>
    </xf>
    <xf numFmtId="0" fontId="12" fillId="2" borderId="3" xfId="3" applyFont="1" applyFill="1" applyBorder="1" applyAlignment="1">
      <alignment horizontal="left" vertical="top" wrapText="1"/>
    </xf>
    <xf numFmtId="167" fontId="10" fillId="2" borderId="32" xfId="3" applyNumberFormat="1" applyFill="1" applyBorder="1" applyAlignment="1">
      <alignment vertical="top"/>
    </xf>
    <xf numFmtId="167" fontId="26" fillId="2" borderId="4" xfId="3" applyNumberFormat="1" applyFont="1" applyFill="1" applyBorder="1" applyAlignment="1">
      <alignment vertical="top"/>
    </xf>
    <xf numFmtId="0" fontId="14" fillId="2" borderId="5" xfId="3" applyFont="1" applyFill="1" applyBorder="1" applyAlignment="1">
      <alignment horizontal="left" vertical="top" wrapText="1"/>
    </xf>
    <xf numFmtId="167" fontId="10" fillId="2" borderId="31" xfId="3" applyNumberFormat="1" applyFill="1" applyBorder="1" applyAlignment="1">
      <alignment vertical="top"/>
    </xf>
    <xf numFmtId="0" fontId="14" fillId="2" borderId="10" xfId="3" applyFont="1" applyFill="1" applyBorder="1" applyAlignment="1">
      <alignment horizontal="left" vertical="top" wrapText="1"/>
    </xf>
    <xf numFmtId="167" fontId="10" fillId="2" borderId="9" xfId="3" applyNumberFormat="1" applyFill="1" applyBorder="1" applyAlignment="1">
      <alignment vertical="top"/>
    </xf>
    <xf numFmtId="0" fontId="12" fillId="2" borderId="7" xfId="3" applyFont="1" applyFill="1" applyBorder="1" applyAlignment="1">
      <alignment horizontal="left" vertical="top" wrapText="1"/>
    </xf>
    <xf numFmtId="167" fontId="26" fillId="2" borderId="33" xfId="3" applyNumberFormat="1" applyFont="1" applyFill="1" applyBorder="1" applyAlignment="1">
      <alignment vertical="top"/>
    </xf>
    <xf numFmtId="0" fontId="14" fillId="2" borderId="3" xfId="3" applyFont="1" applyFill="1" applyBorder="1" applyAlignment="1">
      <alignment horizontal="left" vertical="top" wrapText="1"/>
    </xf>
    <xf numFmtId="167" fontId="10" fillId="2" borderId="4" xfId="3" applyNumberFormat="1" applyFill="1" applyBorder="1" applyAlignment="1">
      <alignment vertical="top"/>
    </xf>
    <xf numFmtId="0" fontId="14" fillId="4" borderId="47" xfId="3" applyFont="1" applyFill="1" applyBorder="1" applyAlignment="1">
      <alignment horizontal="left" vertical="top" wrapText="1" indent="3"/>
    </xf>
    <xf numFmtId="0" fontId="14" fillId="4" borderId="6" xfId="3" applyFont="1" applyFill="1" applyBorder="1" applyAlignment="1">
      <alignment horizontal="left" vertical="top" wrapText="1" indent="3"/>
    </xf>
    <xf numFmtId="0" fontId="14" fillId="4" borderId="6" xfId="3" applyFont="1" applyFill="1" applyBorder="1" applyAlignment="1">
      <alignment horizontal="left" vertical="top" wrapText="1" indent="2"/>
    </xf>
    <xf numFmtId="0" fontId="14" fillId="4" borderId="6" xfId="3" applyFont="1" applyFill="1" applyBorder="1" applyAlignment="1">
      <alignment horizontal="center" vertical="top" wrapText="1"/>
    </xf>
    <xf numFmtId="0" fontId="13" fillId="4" borderId="42" xfId="3" applyFont="1" applyFill="1" applyBorder="1" applyAlignment="1">
      <alignment vertical="top" wrapText="1"/>
    </xf>
    <xf numFmtId="168" fontId="20" fillId="2" borderId="1" xfId="3" applyNumberFormat="1" applyFont="1" applyFill="1" applyBorder="1" applyAlignment="1">
      <alignment horizontal="right" vertical="top" shrinkToFit="1"/>
    </xf>
    <xf numFmtId="168" fontId="19" fillId="2" borderId="1" xfId="3" applyNumberFormat="1" applyFont="1" applyFill="1" applyBorder="1" applyAlignment="1">
      <alignment horizontal="right" vertical="top" shrinkToFit="1"/>
    </xf>
    <xf numFmtId="168" fontId="11" fillId="2" borderId="1" xfId="3" applyNumberFormat="1" applyFont="1" applyFill="1" applyBorder="1" applyAlignment="1">
      <alignment horizontal="right" vertical="top" wrapText="1"/>
    </xf>
    <xf numFmtId="168" fontId="13" fillId="2" borderId="1" xfId="3" applyNumberFormat="1" applyFont="1" applyFill="1" applyBorder="1" applyAlignment="1">
      <alignment horizontal="right" vertical="top" wrapText="1"/>
    </xf>
    <xf numFmtId="0" fontId="18" fillId="4" borderId="12" xfId="3" applyFont="1" applyFill="1" applyBorder="1" applyAlignment="1">
      <alignment horizontal="left" wrapText="1"/>
    </xf>
    <xf numFmtId="9" fontId="18" fillId="2" borderId="32" xfId="3" applyNumberFormat="1" applyFont="1" applyFill="1" applyBorder="1" applyAlignment="1">
      <alignment horizontal="right" vertical="top" shrinkToFit="1"/>
    </xf>
    <xf numFmtId="9" fontId="18" fillId="2" borderId="4" xfId="3" applyNumberFormat="1" applyFont="1" applyFill="1" applyBorder="1" applyAlignment="1">
      <alignment horizontal="right" vertical="top" shrinkToFit="1"/>
    </xf>
    <xf numFmtId="0" fontId="13" fillId="4" borderId="54" xfId="3" applyFont="1" applyFill="1" applyBorder="1" applyAlignment="1">
      <alignment horizontal="left" vertical="top" wrapText="1" indent="1"/>
    </xf>
    <xf numFmtId="0" fontId="13" fillId="4" borderId="54" xfId="3" applyFont="1" applyFill="1" applyBorder="1" applyAlignment="1">
      <alignment horizontal="left" vertical="top" wrapText="1" indent="2"/>
    </xf>
    <xf numFmtId="0" fontId="13" fillId="4" borderId="54" xfId="3" applyFont="1" applyFill="1" applyBorder="1" applyAlignment="1">
      <alignment horizontal="left" vertical="top" wrapText="1" indent="6"/>
    </xf>
    <xf numFmtId="168" fontId="13" fillId="2" borderId="5" xfId="3" applyNumberFormat="1" applyFont="1" applyFill="1" applyBorder="1" applyAlignment="1">
      <alignment horizontal="right" vertical="top" wrapText="1"/>
    </xf>
    <xf numFmtId="9" fontId="18" fillId="2" borderId="31" xfId="3" applyNumberFormat="1" applyFont="1" applyFill="1" applyBorder="1" applyAlignment="1">
      <alignment horizontal="right" vertical="top" shrinkToFit="1"/>
    </xf>
    <xf numFmtId="168" fontId="18" fillId="2" borderId="10" xfId="3" applyNumberFormat="1" applyFont="1" applyFill="1" applyBorder="1" applyAlignment="1">
      <alignment horizontal="right" vertical="top" shrinkToFit="1"/>
    </xf>
    <xf numFmtId="9" fontId="18" fillId="2" borderId="9" xfId="3" applyNumberFormat="1" applyFont="1" applyFill="1" applyBorder="1" applyAlignment="1">
      <alignment horizontal="right" vertical="top" shrinkToFit="1"/>
    </xf>
    <xf numFmtId="168" fontId="19" fillId="2" borderId="3" xfId="3" applyNumberFormat="1" applyFont="1" applyFill="1" applyBorder="1" applyAlignment="1">
      <alignment horizontal="right" vertical="top" shrinkToFit="1"/>
    </xf>
    <xf numFmtId="168" fontId="0" fillId="0" borderId="32" xfId="1" applyNumberFormat="1" applyFont="1" applyBorder="1"/>
    <xf numFmtId="168" fontId="0" fillId="0" borderId="33" xfId="1" applyNumberFormat="1" applyFont="1" applyBorder="1"/>
    <xf numFmtId="0" fontId="0" fillId="0" borderId="30" xfId="0" applyBorder="1"/>
    <xf numFmtId="0" fontId="14" fillId="4" borderId="50" xfId="3" applyFont="1" applyFill="1" applyBorder="1" applyAlignment="1">
      <alignment horizontal="center" vertical="center" wrapText="1"/>
    </xf>
    <xf numFmtId="0" fontId="14" fillId="4" borderId="47" xfId="3" applyFont="1" applyFill="1" applyBorder="1" applyAlignment="1">
      <alignment horizontal="center" vertical="center" wrapText="1"/>
    </xf>
    <xf numFmtId="0" fontId="14" fillId="4" borderId="35" xfId="3" applyFont="1" applyFill="1" applyBorder="1" applyAlignment="1">
      <alignment horizontal="center" vertical="center" wrapText="1"/>
    </xf>
    <xf numFmtId="168" fontId="14" fillId="4" borderId="44" xfId="3" applyNumberFormat="1" applyFont="1" applyFill="1" applyBorder="1" applyAlignment="1">
      <alignment horizontal="center" vertical="center" wrapText="1"/>
    </xf>
    <xf numFmtId="168" fontId="14" fillId="4" borderId="47" xfId="3" applyNumberFormat="1" applyFont="1" applyFill="1" applyBorder="1" applyAlignment="1">
      <alignment horizontal="center" vertical="center" wrapText="1"/>
    </xf>
    <xf numFmtId="168" fontId="14" fillId="4" borderId="51" xfId="3" applyNumberFormat="1" applyFont="1" applyFill="1" applyBorder="1" applyAlignment="1">
      <alignment horizontal="center" vertical="center" wrapText="1"/>
    </xf>
    <xf numFmtId="0" fontId="14" fillId="4" borderId="6" xfId="3" applyFont="1" applyFill="1" applyBorder="1" applyAlignment="1">
      <alignment horizontal="center" vertical="center" wrapText="1"/>
    </xf>
    <xf numFmtId="0" fontId="14" fillId="4" borderId="5" xfId="3" applyFont="1" applyFill="1" applyBorder="1" applyAlignment="1">
      <alignment horizontal="center" vertical="center" wrapText="1"/>
    </xf>
    <xf numFmtId="168" fontId="14" fillId="4" borderId="7" xfId="3" applyNumberFormat="1" applyFont="1" applyFill="1" applyBorder="1" applyAlignment="1">
      <alignment horizontal="center" vertical="center" wrapText="1"/>
    </xf>
    <xf numFmtId="168" fontId="14" fillId="4" borderId="6" xfId="3" applyNumberFormat="1" applyFont="1" applyFill="1" applyBorder="1" applyAlignment="1">
      <alignment horizontal="center" vertical="center" wrapText="1"/>
    </xf>
    <xf numFmtId="168" fontId="14" fillId="4" borderId="52" xfId="3" applyNumberFormat="1" applyFont="1" applyFill="1" applyBorder="1" applyAlignment="1">
      <alignment horizontal="center" vertical="center" wrapText="1"/>
    </xf>
    <xf numFmtId="0" fontId="16" fillId="2" borderId="30" xfId="0" applyFont="1" applyFill="1" applyBorder="1"/>
    <xf numFmtId="0" fontId="16" fillId="2" borderId="32" xfId="0" applyFont="1" applyFill="1" applyBorder="1"/>
    <xf numFmtId="0" fontId="16" fillId="2" borderId="2" xfId="0" applyFont="1" applyFill="1" applyBorder="1"/>
    <xf numFmtId="0" fontId="25" fillId="4" borderId="35" xfId="0" applyFont="1" applyFill="1" applyBorder="1"/>
    <xf numFmtId="0" fontId="25" fillId="4" borderId="37" xfId="0" applyFont="1" applyFill="1" applyBorder="1" applyAlignment="1">
      <alignment horizontal="center"/>
    </xf>
    <xf numFmtId="0" fontId="16" fillId="2" borderId="56" xfId="0" applyFont="1" applyFill="1" applyBorder="1"/>
    <xf numFmtId="0" fontId="16" fillId="2" borderId="57" xfId="0" applyFont="1" applyFill="1" applyBorder="1"/>
    <xf numFmtId="0" fontId="25" fillId="4" borderId="38" xfId="0" applyFont="1" applyFill="1" applyBorder="1"/>
    <xf numFmtId="0" fontId="16" fillId="2" borderId="63" xfId="0" applyFont="1" applyFill="1" applyBorder="1"/>
    <xf numFmtId="0" fontId="16" fillId="2" borderId="60" xfId="0" applyFont="1" applyFill="1" applyBorder="1"/>
    <xf numFmtId="0" fontId="16" fillId="2" borderId="62" xfId="0" applyFont="1" applyFill="1" applyBorder="1"/>
    <xf numFmtId="0" fontId="25" fillId="2" borderId="21" xfId="0" applyFont="1" applyFill="1" applyBorder="1" applyAlignment="1">
      <alignment horizontal="center"/>
    </xf>
    <xf numFmtId="0" fontId="25" fillId="2" borderId="46" xfId="0" applyFont="1" applyFill="1" applyBorder="1"/>
    <xf numFmtId="0" fontId="25" fillId="2" borderId="45" xfId="0" applyFont="1" applyFill="1" applyBorder="1"/>
    <xf numFmtId="0" fontId="16" fillId="2" borderId="45" xfId="0" applyFont="1" applyFill="1" applyBorder="1"/>
    <xf numFmtId="0" fontId="16" fillId="2" borderId="64" xfId="0" applyFont="1" applyFill="1" applyBorder="1"/>
    <xf numFmtId="0" fontId="25" fillId="2" borderId="38" xfId="0" applyFont="1" applyFill="1" applyBorder="1" applyAlignment="1">
      <alignment horizontal="center"/>
    </xf>
    <xf numFmtId="168" fontId="16" fillId="2" borderId="63" xfId="1" applyNumberFormat="1" applyFont="1" applyFill="1" applyBorder="1"/>
    <xf numFmtId="168" fontId="16" fillId="2" borderId="60" xfId="1" applyNumberFormat="1" applyFont="1" applyFill="1" applyBorder="1"/>
    <xf numFmtId="169" fontId="16" fillId="2" borderId="60" xfId="2" applyNumberFormat="1" applyFont="1" applyFill="1" applyBorder="1"/>
    <xf numFmtId="1" fontId="16" fillId="2" borderId="60" xfId="0" applyNumberFormat="1" applyFont="1" applyFill="1" applyBorder="1"/>
    <xf numFmtId="0" fontId="0" fillId="2" borderId="30" xfId="0" applyFill="1" applyBorder="1"/>
    <xf numFmtId="0" fontId="0" fillId="0" borderId="38" xfId="0" applyBorder="1"/>
    <xf numFmtId="0" fontId="0" fillId="0" borderId="63" xfId="0" applyBorder="1"/>
    <xf numFmtId="164" fontId="0" fillId="0" borderId="63" xfId="1" applyFont="1" applyFill="1" applyBorder="1"/>
    <xf numFmtId="164" fontId="0" fillId="0" borderId="59" xfId="1" applyFont="1" applyFill="1" applyBorder="1"/>
    <xf numFmtId="0" fontId="0" fillId="0" borderId="60" xfId="0" applyBorder="1"/>
    <xf numFmtId="164" fontId="0" fillId="0" borderId="60" xfId="1" applyFont="1" applyFill="1" applyBorder="1"/>
    <xf numFmtId="0" fontId="0" fillId="0" borderId="62" xfId="0" applyBorder="1"/>
    <xf numFmtId="164" fontId="0" fillId="0" borderId="62" xfId="1" applyFont="1" applyFill="1" applyBorder="1"/>
    <xf numFmtId="0" fontId="0" fillId="0" borderId="26" xfId="0" applyBorder="1"/>
    <xf numFmtId="164" fontId="0" fillId="0" borderId="20" xfId="1" applyFont="1" applyFill="1" applyBorder="1"/>
    <xf numFmtId="164" fontId="0" fillId="0" borderId="0" xfId="1" applyFont="1" applyFill="1" applyBorder="1"/>
    <xf numFmtId="164" fontId="0" fillId="0" borderId="26" xfId="1" applyFont="1" applyFill="1" applyBorder="1"/>
    <xf numFmtId="0" fontId="16" fillId="2" borderId="61" xfId="0" applyFont="1" applyFill="1" applyBorder="1"/>
    <xf numFmtId="0" fontId="16" fillId="2" borderId="58" xfId="0" applyFont="1" applyFill="1" applyBorder="1"/>
    <xf numFmtId="0" fontId="16" fillId="5" borderId="38" xfId="0" applyFont="1" applyFill="1" applyBorder="1"/>
    <xf numFmtId="0" fontId="16" fillId="5" borderId="37" xfId="0" applyFont="1" applyFill="1" applyBorder="1"/>
    <xf numFmtId="0" fontId="5" fillId="5" borderId="16" xfId="0" applyFont="1" applyFill="1" applyBorder="1"/>
    <xf numFmtId="168" fontId="5" fillId="5" borderId="18" xfId="1" applyNumberFormat="1" applyFont="1" applyFill="1" applyBorder="1"/>
    <xf numFmtId="0" fontId="5" fillId="2" borderId="30" xfId="0" applyFont="1" applyFill="1" applyBorder="1"/>
    <xf numFmtId="168" fontId="0" fillId="2" borderId="32" xfId="1" applyNumberFormat="1" applyFont="1" applyFill="1" applyBorder="1"/>
    <xf numFmtId="0" fontId="16" fillId="5" borderId="16" xfId="0" applyFont="1" applyFill="1" applyBorder="1"/>
    <xf numFmtId="168" fontId="16" fillId="5" borderId="18" xfId="0" applyNumberFormat="1" applyFont="1" applyFill="1" applyBorder="1"/>
    <xf numFmtId="168" fontId="16" fillId="2" borderId="32" xfId="0" applyNumberFormat="1" applyFont="1" applyFill="1" applyBorder="1"/>
    <xf numFmtId="0" fontId="16" fillId="2" borderId="44" xfId="0" applyFont="1" applyFill="1" applyBorder="1"/>
    <xf numFmtId="168" fontId="16" fillId="2" borderId="33" xfId="0" applyNumberFormat="1" applyFont="1" applyFill="1" applyBorder="1"/>
    <xf numFmtId="0" fontId="5" fillId="4" borderId="30" xfId="0" applyFont="1" applyFill="1" applyBorder="1" applyAlignment="1">
      <alignment horizontal="center"/>
    </xf>
    <xf numFmtId="0" fontId="5" fillId="4" borderId="32" xfId="0" applyFont="1" applyFill="1" applyBorder="1" applyAlignment="1">
      <alignment horizontal="center"/>
    </xf>
    <xf numFmtId="0" fontId="5" fillId="4" borderId="30" xfId="0" applyFont="1" applyFill="1" applyBorder="1"/>
    <xf numFmtId="168" fontId="5" fillId="4" borderId="32" xfId="0" applyNumberFormat="1" applyFont="1" applyFill="1" applyBorder="1"/>
    <xf numFmtId="168" fontId="0" fillId="2" borderId="32" xfId="0" applyNumberFormat="1" applyFill="1" applyBorder="1"/>
    <xf numFmtId="168" fontId="0" fillId="0" borderId="32" xfId="0" applyNumberFormat="1" applyBorder="1"/>
    <xf numFmtId="168" fontId="5" fillId="2" borderId="32" xfId="0" applyNumberFormat="1" applyFont="1" applyFill="1" applyBorder="1"/>
    <xf numFmtId="0" fontId="5" fillId="2" borderId="44" xfId="0" applyFont="1" applyFill="1" applyBorder="1"/>
    <xf numFmtId="168" fontId="5" fillId="2" borderId="33" xfId="0" applyNumberFormat="1" applyFont="1" applyFill="1" applyBorder="1"/>
    <xf numFmtId="168" fontId="5" fillId="5" borderId="18" xfId="0" applyNumberFormat="1" applyFont="1" applyFill="1" applyBorder="1"/>
    <xf numFmtId="0" fontId="25" fillId="4" borderId="44" xfId="0" applyFont="1" applyFill="1" applyBorder="1"/>
    <xf numFmtId="0" fontId="25" fillId="4" borderId="33" xfId="0" applyFont="1" applyFill="1" applyBorder="1"/>
    <xf numFmtId="168" fontId="16" fillId="2" borderId="4" xfId="0" applyNumberFormat="1" applyFont="1" applyFill="1" applyBorder="1"/>
    <xf numFmtId="0" fontId="25" fillId="4" borderId="12" xfId="0" applyFont="1" applyFill="1" applyBorder="1"/>
    <xf numFmtId="0" fontId="16" fillId="4" borderId="9" xfId="0" applyFont="1" applyFill="1" applyBorder="1"/>
    <xf numFmtId="0" fontId="16" fillId="4" borderId="31" xfId="0" applyFont="1" applyFill="1" applyBorder="1"/>
    <xf numFmtId="164" fontId="0" fillId="5" borderId="16" xfId="1" applyFont="1" applyFill="1" applyBorder="1"/>
    <xf numFmtId="164" fontId="0" fillId="5" borderId="18" xfId="1" applyFont="1" applyFill="1" applyBorder="1"/>
    <xf numFmtId="164" fontId="0" fillId="5" borderId="51" xfId="1" applyFont="1" applyFill="1" applyBorder="1"/>
    <xf numFmtId="169" fontId="0" fillId="5" borderId="43" xfId="2" applyNumberFormat="1" applyFont="1" applyFill="1" applyBorder="1"/>
    <xf numFmtId="168" fontId="0" fillId="0" borderId="60" xfId="0" applyNumberFormat="1" applyBorder="1"/>
    <xf numFmtId="168" fontId="0" fillId="0" borderId="61" xfId="0" applyNumberFormat="1" applyBorder="1"/>
    <xf numFmtId="168" fontId="0" fillId="5" borderId="38" xfId="0" applyNumberFormat="1" applyFill="1" applyBorder="1"/>
    <xf numFmtId="0" fontId="0" fillId="0" borderId="56" xfId="0" applyBorder="1"/>
    <xf numFmtId="9" fontId="0" fillId="0" borderId="57" xfId="2" applyFont="1" applyFill="1" applyBorder="1"/>
    <xf numFmtId="9" fontId="0" fillId="0" borderId="58" xfId="2" applyFont="1" applyFill="1" applyBorder="1"/>
    <xf numFmtId="9" fontId="0" fillId="5" borderId="37" xfId="2" applyFont="1" applyFill="1" applyBorder="1"/>
    <xf numFmtId="9" fontId="0" fillId="0" borderId="60" xfId="2" applyFont="1" applyFill="1" applyBorder="1"/>
    <xf numFmtId="9" fontId="0" fillId="0" borderId="61" xfId="2" applyFont="1" applyFill="1" applyBorder="1"/>
    <xf numFmtId="9" fontId="0" fillId="5" borderId="38" xfId="2" applyFont="1" applyFill="1" applyBorder="1"/>
    <xf numFmtId="0" fontId="0" fillId="0" borderId="39" xfId="0" applyBorder="1"/>
    <xf numFmtId="0" fontId="0" fillId="0" borderId="40" xfId="0" applyBorder="1"/>
    <xf numFmtId="9" fontId="0" fillId="0" borderId="24" xfId="2" applyFont="1" applyFill="1" applyBorder="1"/>
    <xf numFmtId="168" fontId="0" fillId="0" borderId="45" xfId="0" applyNumberFormat="1" applyBorder="1"/>
    <xf numFmtId="168" fontId="0" fillId="0" borderId="24" xfId="0" applyNumberFormat="1" applyBorder="1"/>
    <xf numFmtId="0" fontId="8" fillId="0" borderId="14" xfId="0" applyFont="1" applyBorder="1"/>
    <xf numFmtId="0" fontId="8" fillId="0" borderId="1" xfId="0" applyFont="1" applyBorder="1"/>
    <xf numFmtId="0" fontId="8" fillId="0" borderId="30" xfId="0" applyFont="1" applyBorder="1"/>
    <xf numFmtId="0" fontId="8" fillId="4" borderId="38" xfId="0" applyFont="1" applyFill="1" applyBorder="1" applyAlignment="1">
      <alignment horizontal="center"/>
    </xf>
    <xf numFmtId="168" fontId="7" fillId="0" borderId="63" xfId="0" applyNumberFormat="1" applyFont="1" applyBorder="1"/>
    <xf numFmtId="168" fontId="7" fillId="0" borderId="60" xfId="0" applyNumberFormat="1" applyFont="1" applyBorder="1"/>
    <xf numFmtId="168" fontId="7" fillId="0" borderId="38" xfId="0" applyNumberFormat="1" applyFont="1" applyBorder="1"/>
    <xf numFmtId="0" fontId="13" fillId="4" borderId="54" xfId="3" applyFont="1" applyFill="1" applyBorder="1" applyAlignment="1">
      <alignment vertical="top" wrapText="1"/>
    </xf>
    <xf numFmtId="0" fontId="13" fillId="4" borderId="55" xfId="3" applyFont="1" applyFill="1" applyBorder="1" applyAlignment="1">
      <alignment vertical="top" wrapText="1"/>
    </xf>
    <xf numFmtId="0" fontId="0" fillId="0" borderId="35" xfId="0" applyBorder="1"/>
    <xf numFmtId="168" fontId="0" fillId="0" borderId="31" xfId="1" applyNumberFormat="1" applyFont="1" applyBorder="1"/>
    <xf numFmtId="168" fontId="5" fillId="0" borderId="18" xfId="1" applyNumberFormat="1" applyFont="1" applyBorder="1"/>
    <xf numFmtId="0" fontId="0" fillId="0" borderId="44" xfId="0" applyBorder="1"/>
    <xf numFmtId="0" fontId="5" fillId="4" borderId="16" xfId="0" applyFont="1" applyFill="1" applyBorder="1"/>
    <xf numFmtId="168" fontId="5" fillId="4" borderId="18" xfId="0" applyNumberFormat="1" applyFont="1" applyFill="1" applyBorder="1"/>
    <xf numFmtId="0" fontId="14" fillId="2" borderId="7" xfId="3" applyFont="1" applyFill="1" applyBorder="1" applyAlignment="1">
      <alignment horizontal="left" vertical="top" wrapText="1"/>
    </xf>
    <xf numFmtId="168" fontId="11" fillId="2" borderId="7" xfId="3" applyNumberFormat="1" applyFont="1" applyFill="1" applyBorder="1" applyAlignment="1">
      <alignment horizontal="right" vertical="top" wrapText="1"/>
    </xf>
    <xf numFmtId="9" fontId="18" fillId="2" borderId="33" xfId="3" applyNumberFormat="1" applyFont="1" applyFill="1" applyBorder="1" applyAlignment="1">
      <alignment horizontal="right" vertical="top" shrinkToFit="1"/>
    </xf>
    <xf numFmtId="0" fontId="13" fillId="2" borderId="16" xfId="3" applyFont="1" applyFill="1" applyBorder="1" applyAlignment="1">
      <alignment horizontal="left" vertical="top" wrapText="1"/>
    </xf>
    <xf numFmtId="168" fontId="11" fillId="2" borderId="17" xfId="3" applyNumberFormat="1" applyFont="1" applyFill="1" applyBorder="1" applyAlignment="1">
      <alignment vertical="top" wrapText="1"/>
    </xf>
    <xf numFmtId="9" fontId="18" fillId="2" borderId="18" xfId="3" applyNumberFormat="1" applyFont="1" applyFill="1" applyBorder="1" applyAlignment="1">
      <alignment horizontal="right" vertical="top" shrinkToFit="1"/>
    </xf>
    <xf numFmtId="0" fontId="0" fillId="4" borderId="38" xfId="0" applyFill="1" applyBorder="1"/>
    <xf numFmtId="0" fontId="0" fillId="0" borderId="61" xfId="0" applyBorder="1"/>
    <xf numFmtId="168" fontId="0" fillId="4" borderId="37" xfId="0" applyNumberFormat="1" applyFill="1" applyBorder="1"/>
    <xf numFmtId="0" fontId="5" fillId="4" borderId="16" xfId="0" applyFont="1" applyFill="1" applyBorder="1" applyAlignment="1">
      <alignment horizontal="left" vertical="center"/>
    </xf>
    <xf numFmtId="0" fontId="5" fillId="4" borderId="38" xfId="0" applyFont="1" applyFill="1" applyBorder="1"/>
    <xf numFmtId="168" fontId="22" fillId="3" borderId="32" xfId="0" applyNumberFormat="1" applyFont="1" applyFill="1" applyBorder="1" applyAlignment="1">
      <alignment vertical="center"/>
    </xf>
    <xf numFmtId="171" fontId="21" fillId="2" borderId="0" xfId="1" applyNumberFormat="1" applyFont="1" applyFill="1" applyBorder="1" applyAlignment="1">
      <alignment vertical="center"/>
    </xf>
    <xf numFmtId="168" fontId="21" fillId="0" borderId="31" xfId="0" applyNumberFormat="1" applyFont="1" applyBorder="1" applyAlignment="1">
      <alignment vertical="center"/>
    </xf>
    <xf numFmtId="168" fontId="22" fillId="0" borderId="33" xfId="0" applyNumberFormat="1" applyFont="1" applyBorder="1" applyAlignment="1">
      <alignment vertical="center"/>
    </xf>
    <xf numFmtId="168" fontId="21" fillId="2" borderId="34" xfId="0" applyNumberFormat="1" applyFont="1" applyFill="1" applyBorder="1" applyAlignment="1">
      <alignment vertical="center"/>
    </xf>
    <xf numFmtId="0" fontId="21" fillId="0" borderId="20" xfId="0" applyFont="1" applyBorder="1" applyAlignment="1">
      <alignment vertical="center"/>
    </xf>
    <xf numFmtId="168" fontId="0" fillId="2" borderId="33" xfId="1" applyNumberFormat="1" applyFont="1" applyFill="1" applyBorder="1"/>
    <xf numFmtId="168" fontId="7" fillId="2" borderId="60" xfId="0" applyNumberFormat="1" applyFont="1" applyFill="1" applyBorder="1"/>
    <xf numFmtId="168" fontId="8" fillId="2" borderId="60" xfId="0" applyNumberFormat="1" applyFont="1" applyFill="1" applyBorder="1"/>
    <xf numFmtId="168" fontId="7" fillId="2" borderId="62" xfId="0" applyNumberFormat="1" applyFont="1" applyFill="1" applyBorder="1"/>
    <xf numFmtId="168" fontId="7" fillId="2" borderId="61" xfId="0" applyNumberFormat="1" applyFont="1" applyFill="1" applyBorder="1"/>
    <xf numFmtId="0" fontId="9" fillId="4" borderId="25" xfId="0" applyFont="1" applyFill="1" applyBorder="1" applyAlignment="1">
      <alignment horizontal="center"/>
    </xf>
    <xf numFmtId="0" fontId="9" fillId="4" borderId="27" xfId="0" applyFont="1" applyFill="1" applyBorder="1" applyAlignment="1">
      <alignment horizontal="center"/>
    </xf>
    <xf numFmtId="0" fontId="25" fillId="4" borderId="39" xfId="0" applyFont="1" applyFill="1" applyBorder="1" applyAlignment="1">
      <alignment horizontal="center"/>
    </xf>
    <xf numFmtId="0" fontId="25" fillId="4" borderId="41" xfId="0" applyFont="1" applyFill="1" applyBorder="1" applyAlignment="1">
      <alignment horizontal="center"/>
    </xf>
    <xf numFmtId="0" fontId="13" fillId="4" borderId="53" xfId="3" applyFont="1" applyFill="1" applyBorder="1" applyAlignment="1">
      <alignment horizontal="center" vertical="center" textRotation="90" wrapText="1"/>
    </xf>
    <xf numFmtId="0" fontId="13" fillId="4" borderId="19" xfId="3" applyFont="1" applyFill="1" applyBorder="1" applyAlignment="1">
      <alignment horizontal="center" vertical="center" textRotation="90" wrapText="1"/>
    </xf>
    <xf numFmtId="0" fontId="13" fillId="4" borderId="21" xfId="3" applyFont="1" applyFill="1" applyBorder="1" applyAlignment="1">
      <alignment horizontal="center" vertical="center" textRotation="90" wrapText="1"/>
    </xf>
    <xf numFmtId="0" fontId="14" fillId="5" borderId="54" xfId="3" applyFont="1" applyFill="1" applyBorder="1" applyAlignment="1">
      <alignment horizontal="center" vertical="center" wrapText="1"/>
    </xf>
    <xf numFmtId="0" fontId="14" fillId="5" borderId="6" xfId="3" applyFont="1" applyFill="1" applyBorder="1" applyAlignment="1">
      <alignment horizontal="center" vertical="center" wrapText="1"/>
    </xf>
    <xf numFmtId="0" fontId="14" fillId="5" borderId="5" xfId="3" applyFont="1" applyFill="1" applyBorder="1" applyAlignment="1">
      <alignment horizontal="center" vertical="center" wrapText="1"/>
    </xf>
    <xf numFmtId="0" fontId="16" fillId="6" borderId="7" xfId="3" applyFont="1" applyFill="1" applyBorder="1" applyAlignment="1">
      <alignment horizontal="center" vertical="center" wrapText="1"/>
    </xf>
    <xf numFmtId="0" fontId="16" fillId="6" borderId="6" xfId="3" applyFont="1" applyFill="1" applyBorder="1" applyAlignment="1">
      <alignment horizontal="center" vertical="center" wrapText="1"/>
    </xf>
    <xf numFmtId="0" fontId="16" fillId="6" borderId="52" xfId="3" applyFont="1" applyFill="1" applyBorder="1" applyAlignment="1">
      <alignment horizontal="center" vertical="center" wrapText="1"/>
    </xf>
    <xf numFmtId="0" fontId="16" fillId="6" borderId="66" xfId="3" applyFont="1" applyFill="1" applyBorder="1" applyAlignment="1">
      <alignment horizontal="center" vertical="center" wrapText="1"/>
    </xf>
    <xf numFmtId="0" fontId="25" fillId="4" borderId="12" xfId="0" applyFont="1" applyFill="1" applyBorder="1" applyAlignment="1">
      <alignment horizontal="center"/>
    </xf>
    <xf numFmtId="0" fontId="25" fillId="4" borderId="9" xfId="0" applyFont="1" applyFill="1" applyBorder="1" applyAlignment="1">
      <alignment horizontal="center"/>
    </xf>
    <xf numFmtId="0" fontId="0" fillId="4" borderId="50" xfId="0" applyFill="1" applyBorder="1" applyAlignment="1">
      <alignment horizontal="center"/>
    </xf>
    <xf numFmtId="0" fontId="0" fillId="4" borderId="55" xfId="0" applyFill="1" applyBorder="1" applyAlignment="1">
      <alignment horizontal="center"/>
    </xf>
    <xf numFmtId="0" fontId="14" fillId="4" borderId="48" xfId="3" applyFont="1" applyFill="1" applyBorder="1" applyAlignment="1">
      <alignment horizontal="center" vertical="top" wrapText="1"/>
    </xf>
    <xf numFmtId="0" fontId="14" fillId="4" borderId="49" xfId="3" applyFont="1" applyFill="1" applyBorder="1" applyAlignment="1">
      <alignment horizontal="center" vertical="top" wrapText="1"/>
    </xf>
    <xf numFmtId="0" fontId="14" fillId="4" borderId="37" xfId="3" applyFont="1" applyFill="1" applyBorder="1" applyAlignment="1">
      <alignment horizontal="center" vertical="top" wrapText="1"/>
    </xf>
    <xf numFmtId="0" fontId="10" fillId="4" borderId="48" xfId="3" applyFill="1" applyBorder="1" applyAlignment="1">
      <alignment horizontal="center" vertical="top"/>
    </xf>
    <xf numFmtId="0" fontId="10" fillId="4" borderId="49" xfId="3" applyFill="1" applyBorder="1" applyAlignment="1">
      <alignment horizontal="center" vertical="top"/>
    </xf>
    <xf numFmtId="0" fontId="10" fillId="4" borderId="37" xfId="3" applyFill="1" applyBorder="1" applyAlignment="1">
      <alignment horizontal="center" vertical="top"/>
    </xf>
    <xf numFmtId="0" fontId="11" fillId="4" borderId="39" xfId="3" applyFont="1" applyFill="1" applyBorder="1" applyAlignment="1">
      <alignment horizontal="center" vertical="center" textRotation="90" wrapText="1"/>
    </xf>
    <xf numFmtId="0" fontId="11" fillId="4" borderId="45" xfId="3" applyFont="1" applyFill="1" applyBorder="1" applyAlignment="1">
      <alignment horizontal="center" vertical="center" textRotation="90" wrapText="1"/>
    </xf>
    <xf numFmtId="0" fontId="11" fillId="4" borderId="30" xfId="3" applyFont="1" applyFill="1" applyBorder="1" applyAlignment="1">
      <alignment horizontal="center" vertical="center" textRotation="90" wrapText="1"/>
    </xf>
    <xf numFmtId="0" fontId="11" fillId="4" borderId="2" xfId="3" applyFont="1" applyFill="1" applyBorder="1" applyAlignment="1">
      <alignment horizontal="center" vertical="center" textRotation="90" wrapText="1"/>
    </xf>
    <xf numFmtId="0" fontId="14" fillId="4" borderId="12" xfId="3" applyFont="1" applyFill="1" applyBorder="1" applyAlignment="1">
      <alignment horizontal="left" vertical="center" wrapText="1"/>
    </xf>
    <xf numFmtId="0" fontId="14" fillId="4" borderId="30" xfId="3" applyFont="1" applyFill="1" applyBorder="1" applyAlignment="1">
      <alignment horizontal="left" vertical="center" wrapText="1"/>
    </xf>
    <xf numFmtId="0" fontId="14" fillId="4" borderId="2" xfId="3" applyFont="1" applyFill="1" applyBorder="1" applyAlignment="1">
      <alignment horizontal="left" vertical="center" wrapText="1"/>
    </xf>
    <xf numFmtId="0" fontId="14" fillId="5" borderId="10" xfId="3" applyFont="1" applyFill="1" applyBorder="1" applyAlignment="1">
      <alignment horizontal="left" vertical="center" wrapText="1"/>
    </xf>
    <xf numFmtId="0" fontId="14" fillId="5" borderId="1" xfId="3" applyFont="1" applyFill="1" applyBorder="1" applyAlignment="1">
      <alignment horizontal="left" vertical="center" wrapText="1"/>
    </xf>
    <xf numFmtId="0" fontId="16" fillId="6" borderId="1" xfId="3" applyFont="1" applyFill="1" applyBorder="1" applyAlignment="1">
      <alignment horizontal="left" vertical="center" wrapText="1"/>
    </xf>
    <xf numFmtId="0" fontId="14" fillId="4" borderId="5" xfId="3" applyFont="1" applyFill="1" applyBorder="1" applyAlignment="1">
      <alignment horizontal="left" vertical="center" wrapText="1"/>
    </xf>
    <xf numFmtId="0" fontId="14" fillId="4" borderId="1" xfId="3" applyFont="1" applyFill="1" applyBorder="1" applyAlignment="1">
      <alignment horizontal="left" vertical="center" wrapText="1"/>
    </xf>
    <xf numFmtId="0" fontId="14" fillId="4" borderId="3" xfId="3" applyFont="1" applyFill="1" applyBorder="1" applyAlignment="1">
      <alignment horizontal="left" vertical="center" wrapText="1"/>
    </xf>
    <xf numFmtId="0" fontId="14" fillId="5" borderId="5" xfId="3" applyFont="1" applyFill="1" applyBorder="1" applyAlignment="1">
      <alignment horizontal="left" vertical="center" wrapText="1"/>
    </xf>
    <xf numFmtId="0" fontId="16" fillId="6" borderId="3" xfId="3" applyFont="1" applyFill="1" applyBorder="1" applyAlignment="1">
      <alignment horizontal="left" vertical="center" wrapText="1"/>
    </xf>
    <xf numFmtId="0" fontId="13" fillId="4" borderId="46" xfId="3" applyFont="1" applyFill="1" applyBorder="1" applyAlignment="1">
      <alignment horizontal="center" vertical="center" textRotation="90" wrapText="1"/>
    </xf>
    <xf numFmtId="0" fontId="13" fillId="4" borderId="45" xfId="3" applyFont="1" applyFill="1" applyBorder="1" applyAlignment="1">
      <alignment horizontal="center" vertical="center" textRotation="90" wrapText="1"/>
    </xf>
    <xf numFmtId="0" fontId="13" fillId="4" borderId="30" xfId="3" applyFont="1" applyFill="1" applyBorder="1" applyAlignment="1">
      <alignment horizontal="center" vertical="center" textRotation="90" wrapText="1"/>
    </xf>
    <xf numFmtId="0" fontId="13" fillId="4" borderId="44" xfId="3" applyFont="1" applyFill="1" applyBorder="1" applyAlignment="1">
      <alignment horizontal="center" vertical="center" textRotation="90" wrapText="1"/>
    </xf>
    <xf numFmtId="0" fontId="14" fillId="4" borderId="7" xfId="3" applyFont="1" applyFill="1" applyBorder="1" applyAlignment="1">
      <alignment horizontal="left" vertical="center" wrapText="1"/>
    </xf>
    <xf numFmtId="0" fontId="5" fillId="4" borderId="39" xfId="0" applyFont="1" applyFill="1" applyBorder="1" applyAlignment="1">
      <alignment horizontal="center"/>
    </xf>
    <xf numFmtId="0" fontId="5" fillId="4" borderId="41" xfId="0" applyFont="1" applyFill="1" applyBorder="1" applyAlignment="1">
      <alignment horizontal="center"/>
    </xf>
    <xf numFmtId="0" fontId="25" fillId="4" borderId="16" xfId="0" applyFont="1" applyFill="1" applyBorder="1" applyAlignment="1">
      <alignment horizontal="center"/>
    </xf>
    <xf numFmtId="0" fontId="25" fillId="4" borderId="18" xfId="0" applyFont="1" applyFill="1" applyBorder="1" applyAlignment="1">
      <alignment horizontal="center"/>
    </xf>
    <xf numFmtId="0" fontId="25" fillId="2" borderId="16" xfId="0" applyFont="1" applyFill="1" applyBorder="1" applyAlignment="1">
      <alignment horizontal="center"/>
    </xf>
    <xf numFmtId="0" fontId="25" fillId="2" borderId="18" xfId="0" applyFont="1" applyFill="1" applyBorder="1" applyAlignment="1">
      <alignment horizontal="center"/>
    </xf>
    <xf numFmtId="0" fontId="7" fillId="4" borderId="59" xfId="0" applyFont="1" applyFill="1" applyBorder="1" applyAlignment="1">
      <alignment horizontal="center" vertical="center"/>
    </xf>
    <xf numFmtId="0" fontId="7" fillId="4" borderId="62" xfId="0" applyFont="1" applyFill="1" applyBorder="1" applyAlignment="1">
      <alignment horizontal="center" vertical="center"/>
    </xf>
    <xf numFmtId="0" fontId="7" fillId="4" borderId="59" xfId="0" applyFont="1" applyFill="1" applyBorder="1" applyAlignment="1">
      <alignment horizontal="center" vertical="center" wrapText="1"/>
    </xf>
    <xf numFmtId="0" fontId="7" fillId="4" borderId="62" xfId="0" applyFont="1" applyFill="1" applyBorder="1" applyAlignment="1">
      <alignment horizontal="center" vertical="center" wrapText="1"/>
    </xf>
    <xf numFmtId="0" fontId="1" fillId="4" borderId="48" xfId="0" applyFont="1" applyFill="1" applyBorder="1" applyAlignment="1">
      <alignment horizontal="center"/>
    </xf>
    <xf numFmtId="0" fontId="1" fillId="4" borderId="49" xfId="0" applyFont="1" applyFill="1" applyBorder="1" applyAlignment="1">
      <alignment horizontal="center"/>
    </xf>
    <xf numFmtId="0" fontId="1" fillId="4" borderId="37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2" borderId="14" xfId="0" applyFont="1" applyFill="1" applyBorder="1" applyAlignment="1">
      <alignment horizontal="left"/>
    </xf>
    <xf numFmtId="0" fontId="8" fillId="4" borderId="12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8" fillId="4" borderId="67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8" fillId="4" borderId="30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7" fillId="2" borderId="14" xfId="0" applyFont="1" applyFill="1" applyBorder="1" applyAlignment="1">
      <alignment horizontal="left" wrapText="1"/>
    </xf>
    <xf numFmtId="0" fontId="7" fillId="4" borderId="56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13" xfId="0" applyFont="1" applyFill="1" applyBorder="1" applyAlignment="1">
      <alignment horizontal="left" wrapText="1"/>
    </xf>
    <xf numFmtId="0" fontId="8" fillId="5" borderId="16" xfId="0" applyFont="1" applyFill="1" applyBorder="1" applyAlignment="1">
      <alignment horizontal="center"/>
    </xf>
    <xf numFmtId="0" fontId="8" fillId="5" borderId="17" xfId="0" applyFont="1" applyFill="1" applyBorder="1" applyAlignment="1">
      <alignment horizontal="center"/>
    </xf>
    <xf numFmtId="0" fontId="8" fillId="5" borderId="36" xfId="0" applyFont="1" applyFill="1" applyBorder="1" applyAlignment="1">
      <alignment horizontal="center"/>
    </xf>
    <xf numFmtId="0" fontId="7" fillId="4" borderId="3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65" xfId="0" applyFont="1" applyFill="1" applyBorder="1" applyAlignment="1">
      <alignment horizontal="center" vertical="center"/>
    </xf>
    <xf numFmtId="0" fontId="9" fillId="4" borderId="50" xfId="0" applyFont="1" applyFill="1" applyBorder="1" applyAlignment="1">
      <alignment horizontal="center"/>
    </xf>
    <xf numFmtId="0" fontId="9" fillId="4" borderId="54" xfId="0" applyFont="1" applyFill="1" applyBorder="1" applyAlignment="1">
      <alignment horizontal="center"/>
    </xf>
    <xf numFmtId="0" fontId="9" fillId="4" borderId="55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4" borderId="17" xfId="0" applyFont="1" applyFill="1" applyBorder="1" applyAlignment="1">
      <alignment horizontal="center"/>
    </xf>
    <xf numFmtId="0" fontId="8" fillId="4" borderId="36" xfId="0" applyFont="1" applyFill="1" applyBorder="1" applyAlignment="1">
      <alignment horizontal="center"/>
    </xf>
    <xf numFmtId="0" fontId="8" fillId="0" borderId="35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7" fillId="0" borderId="30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8" fillId="0" borderId="3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7" fillId="0" borderId="44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7" fillId="0" borderId="17" xfId="0" applyFont="1" applyBorder="1" applyAlignment="1">
      <alignment horizontal="left"/>
    </xf>
    <xf numFmtId="0" fontId="7" fillId="0" borderId="36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65" xfId="0" applyFont="1" applyBorder="1" applyAlignment="1">
      <alignment horizontal="left"/>
    </xf>
    <xf numFmtId="0" fontId="22" fillId="0" borderId="30" xfId="0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2" fillId="0" borderId="44" xfId="0" applyFont="1" applyBorder="1" applyAlignment="1">
      <alignment vertical="center"/>
    </xf>
    <xf numFmtId="0" fontId="21" fillId="0" borderId="7" xfId="0" applyFont="1" applyBorder="1" applyAlignment="1">
      <alignment vertical="center"/>
    </xf>
    <xf numFmtId="0" fontId="21" fillId="4" borderId="16" xfId="0" applyFont="1" applyFill="1" applyBorder="1" applyAlignment="1">
      <alignment vertical="center"/>
    </xf>
    <xf numFmtId="0" fontId="21" fillId="4" borderId="17" xfId="0" applyFont="1" applyFill="1" applyBorder="1" applyAlignment="1">
      <alignment vertical="center"/>
    </xf>
    <xf numFmtId="168" fontId="21" fillId="0" borderId="5" xfId="0" applyNumberFormat="1" applyFont="1" applyBorder="1" applyAlignment="1">
      <alignment vertical="center"/>
    </xf>
    <xf numFmtId="168" fontId="21" fillId="0" borderId="31" xfId="0" applyNumberFormat="1" applyFont="1" applyBorder="1" applyAlignment="1">
      <alignment vertical="center"/>
    </xf>
    <xf numFmtId="168" fontId="21" fillId="0" borderId="1" xfId="0" applyNumberFormat="1" applyFont="1" applyBorder="1" applyAlignment="1">
      <alignment vertical="center"/>
    </xf>
    <xf numFmtId="168" fontId="21" fillId="0" borderId="32" xfId="0" applyNumberFormat="1" applyFont="1" applyBorder="1" applyAlignment="1">
      <alignment vertical="center"/>
    </xf>
    <xf numFmtId="9" fontId="21" fillId="2" borderId="1" xfId="2" applyFont="1" applyFill="1" applyBorder="1" applyAlignment="1">
      <alignment vertical="center"/>
    </xf>
    <xf numFmtId="9" fontId="21" fillId="2" borderId="32" xfId="2" applyFont="1" applyFill="1" applyBorder="1" applyAlignment="1">
      <alignment vertical="center"/>
    </xf>
    <xf numFmtId="168" fontId="21" fillId="0" borderId="7" xfId="0" applyNumberFormat="1" applyFont="1" applyBorder="1" applyAlignment="1">
      <alignment vertical="center"/>
    </xf>
    <xf numFmtId="168" fontId="21" fillId="0" borderId="33" xfId="0" applyNumberFormat="1" applyFont="1" applyBorder="1" applyAlignment="1">
      <alignment vertical="center"/>
    </xf>
    <xf numFmtId="168" fontId="21" fillId="4" borderId="17" xfId="0" applyNumberFormat="1" applyFont="1" applyFill="1" applyBorder="1" applyAlignment="1">
      <alignment vertical="center"/>
    </xf>
    <xf numFmtId="168" fontId="21" fillId="4" borderId="18" xfId="0" applyNumberFormat="1" applyFont="1" applyFill="1" applyBorder="1" applyAlignment="1">
      <alignment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1" fillId="4" borderId="12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1" fillId="4" borderId="11" xfId="0" applyFont="1" applyFill="1" applyBorder="1" applyAlignment="1">
      <alignment horizontal="center" vertical="center"/>
    </xf>
    <xf numFmtId="0" fontId="21" fillId="4" borderId="8" xfId="0" applyFont="1" applyFill="1" applyBorder="1" applyAlignment="1">
      <alignment horizontal="center" vertical="center"/>
    </xf>
    <xf numFmtId="0" fontId="21" fillId="0" borderId="35" xfId="0" applyFont="1" applyBorder="1" applyAlignment="1">
      <alignment vertical="center"/>
    </xf>
    <xf numFmtId="0" fontId="21" fillId="0" borderId="5" xfId="0" applyFont="1" applyBorder="1" applyAlignment="1">
      <alignment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2" xfId="0" applyFont="1" applyBorder="1" applyAlignment="1">
      <alignment vertical="center"/>
    </xf>
    <xf numFmtId="0" fontId="21" fillId="0" borderId="3" xfId="0" applyFont="1" applyBorder="1" applyAlignment="1">
      <alignment vertical="center"/>
    </xf>
    <xf numFmtId="0" fontId="21" fillId="0" borderId="30" xfId="0" applyFont="1" applyBorder="1" applyAlignment="1">
      <alignment vertical="center"/>
    </xf>
    <xf numFmtId="0" fontId="21" fillId="0" borderId="12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2" fillId="0" borderId="2" xfId="0" applyFont="1" applyBorder="1" applyAlignment="1">
      <alignment vertical="center"/>
    </xf>
    <xf numFmtId="0" fontId="21" fillId="0" borderId="16" xfId="0" applyFont="1" applyBorder="1" applyAlignment="1">
      <alignment vertical="center"/>
    </xf>
    <xf numFmtId="0" fontId="21" fillId="0" borderId="17" xfId="0" applyFont="1" applyBorder="1" applyAlignment="1">
      <alignment vertical="center"/>
    </xf>
    <xf numFmtId="0" fontId="21" fillId="0" borderId="36" xfId="0" applyFont="1" applyBorder="1" applyAlignment="1">
      <alignment vertical="center"/>
    </xf>
    <xf numFmtId="0" fontId="21" fillId="0" borderId="3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7" borderId="48" xfId="0" applyFont="1" applyFill="1" applyBorder="1" applyAlignment="1">
      <alignment horizontal="center" vertical="center"/>
    </xf>
    <xf numFmtId="0" fontId="21" fillId="7" borderId="49" xfId="0" applyFont="1" applyFill="1" applyBorder="1" applyAlignment="1">
      <alignment horizontal="center" vertical="center"/>
    </xf>
    <xf numFmtId="0" fontId="21" fillId="7" borderId="37" xfId="0" applyFont="1" applyFill="1" applyBorder="1" applyAlignment="1">
      <alignment horizontal="center" vertical="center"/>
    </xf>
    <xf numFmtId="10" fontId="3" fillId="0" borderId="57" xfId="2" applyNumberFormat="1" applyFont="1" applyFill="1" applyBorder="1" applyAlignment="1">
      <alignment horizontal="center"/>
    </xf>
    <xf numFmtId="0" fontId="3" fillId="2" borderId="57" xfId="2" applyNumberFormat="1" applyFont="1" applyFill="1" applyBorder="1" applyAlignment="1">
      <alignment horizontal="center"/>
    </xf>
    <xf numFmtId="166" fontId="3" fillId="0" borderId="57" xfId="2" applyNumberFormat="1" applyFont="1" applyBorder="1" applyAlignment="1">
      <alignment horizontal="center"/>
    </xf>
    <xf numFmtId="166" fontId="3" fillId="0" borderId="34" xfId="2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70" fontId="3" fillId="0" borderId="27" xfId="2" applyNumberFormat="1" applyFont="1" applyBorder="1" applyAlignment="1">
      <alignment horizontal="center" vertical="center"/>
    </xf>
    <xf numFmtId="170" fontId="3" fillId="0" borderId="56" xfId="2" applyNumberFormat="1" applyFont="1" applyBorder="1" applyAlignment="1">
      <alignment horizontal="center" vertical="center"/>
    </xf>
    <xf numFmtId="2" fontId="3" fillId="0" borderId="57" xfId="2" applyNumberFormat="1" applyFont="1" applyBorder="1" applyAlignment="1">
      <alignment horizontal="center"/>
    </xf>
    <xf numFmtId="0" fontId="2" fillId="7" borderId="12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7" borderId="30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7" borderId="30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170" fontId="3" fillId="0" borderId="57" xfId="2" applyNumberFormat="1" applyFont="1" applyFill="1" applyBorder="1" applyAlignment="1">
      <alignment horizontal="center"/>
    </xf>
    <xf numFmtId="168" fontId="3" fillId="2" borderId="41" xfId="0" applyNumberFormat="1" applyFont="1" applyFill="1" applyBorder="1" applyAlignment="1">
      <alignment horizontal="center" vertical="center"/>
    </xf>
    <xf numFmtId="168" fontId="3" fillId="2" borderId="57" xfId="0" applyNumberFormat="1" applyFont="1" applyFill="1" applyBorder="1" applyAlignment="1">
      <alignment horizontal="center" vertical="center"/>
    </xf>
    <xf numFmtId="10" fontId="3" fillId="0" borderId="58" xfId="2" applyNumberFormat="1" applyFont="1" applyBorder="1" applyAlignment="1">
      <alignment horizontal="center" vertical="center"/>
    </xf>
    <xf numFmtId="10" fontId="3" fillId="0" borderId="56" xfId="2" applyNumberFormat="1" applyFont="1" applyBorder="1" applyAlignment="1">
      <alignment horizontal="center" vertical="center"/>
    </xf>
    <xf numFmtId="0" fontId="3" fillId="0" borderId="58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7" borderId="12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/>
    </xf>
    <xf numFmtId="0" fontId="23" fillId="0" borderId="0" xfId="0" applyFont="1" applyAlignment="1">
      <alignment horizontal="center"/>
    </xf>
    <xf numFmtId="0" fontId="4" fillId="7" borderId="12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24" fillId="7" borderId="12" xfId="0" applyFont="1" applyFill="1" applyBorder="1" applyAlignment="1">
      <alignment horizontal="center" vertical="center"/>
    </xf>
    <xf numFmtId="0" fontId="24" fillId="7" borderId="10" xfId="0" applyFont="1" applyFill="1" applyBorder="1" applyAlignment="1">
      <alignment horizontal="center" vertical="center"/>
    </xf>
    <xf numFmtId="0" fontId="24" fillId="7" borderId="9" xfId="0" applyFont="1" applyFill="1" applyBorder="1" applyAlignment="1">
      <alignment horizontal="center" vertical="center"/>
    </xf>
    <xf numFmtId="0" fontId="24" fillId="7" borderId="2" xfId="0" applyFont="1" applyFill="1" applyBorder="1" applyAlignment="1">
      <alignment horizontal="center" vertical="center"/>
    </xf>
    <xf numFmtId="0" fontId="24" fillId="7" borderId="3" xfId="0" applyFont="1" applyFill="1" applyBorder="1" applyAlignment="1">
      <alignment horizontal="center" vertical="center"/>
    </xf>
    <xf numFmtId="0" fontId="24" fillId="7" borderId="4" xfId="0" applyFont="1" applyFill="1" applyBorder="1" applyAlignment="1">
      <alignment horizontal="center" vertical="center"/>
    </xf>
    <xf numFmtId="0" fontId="2" fillId="7" borderId="41" xfId="0" applyFont="1" applyFill="1" applyBorder="1" applyAlignment="1">
      <alignment horizontal="center" vertical="center"/>
    </xf>
    <xf numFmtId="0" fontId="2" fillId="7" borderId="34" xfId="0" applyFont="1" applyFill="1" applyBorder="1" applyAlignment="1">
      <alignment horizontal="center" vertical="center"/>
    </xf>
    <xf numFmtId="0" fontId="21" fillId="7" borderId="21" xfId="0" applyFont="1" applyFill="1" applyBorder="1" applyAlignment="1">
      <alignment horizontal="center" vertical="center"/>
    </xf>
    <xf numFmtId="0" fontId="21" fillId="7" borderId="22" xfId="0" applyFont="1" applyFill="1" applyBorder="1" applyAlignment="1">
      <alignment horizontal="center" vertical="center"/>
    </xf>
    <xf numFmtId="0" fontId="21" fillId="7" borderId="23" xfId="0" applyFont="1" applyFill="1" applyBorder="1" applyAlignment="1">
      <alignment horizontal="center" vertical="center"/>
    </xf>
  </cellXfs>
  <cellStyles count="4">
    <cellStyle name="Moneda" xfId="1" builtinId="4"/>
    <cellStyle name="Normal" xfId="0" builtinId="0"/>
    <cellStyle name="Normal 2" xfId="3" xr:uid="{1055E931-7469-42C3-8124-F075CE8E81DF}"/>
    <cellStyle name="Porcentaje" xfId="2" builtinId="5"/>
  </cellStyles>
  <dxfs count="8">
    <dxf>
      <font>
        <sz val="10.5"/>
        <color rgb="FF000000"/>
        <name val="Calibri"/>
        <family val="2"/>
        <scheme val="minor"/>
      </font>
      <numFmt numFmtId="168" formatCode="_-* #,##0\ [$€-C0A]_-;\-* #,##0\ [$€-C0A]_-;_-* &quot;-&quot;??\ [$€-C0A]_-;_-@_-"/>
      <fill>
        <patternFill patternType="solid">
          <fgColor indexed="64"/>
          <bgColor theme="0"/>
        </patternFill>
      </fill>
      <alignment horizontal="right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_-* #,##0\ [$€-C0A]_-;\-* #,##0\ [$€-C0A]_-;_-* &quot;-&quot;??\ [$€-C0A]_-;_-@_-"/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C7AA59-4CB9-4117-B972-F60826E90D1C}" name="Tabla1" displayName="Tabla1" ref="I18:J40" totalsRowCount="1" headerRowDxfId="7" totalsRowDxfId="6" headerRowBorderDxfId="5" totalsRowBorderDxfId="4">
  <tableColumns count="2">
    <tableColumn id="1" xr3:uid="{4F0B1063-4FBC-4F03-852A-011E4F47E104}" name="Conceptos" totalsRowLabel="TOTAL" dataDxfId="2" totalsRowDxfId="3"/>
    <tableColumn id="2" xr3:uid="{3D9CD6D9-7F4B-4E42-9D03-FDBA5982724E}" name="Importe" totalsRowFunction="custom" dataDxfId="0" totalsRowDxfId="1" dataCellStyle="Normal 2">
      <totalsRowFormula>SUM(J32,J24,J19)</totalsRow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9F5E-D595-4DA5-B90F-2AF8D33B1F54}">
  <dimension ref="A1:S46"/>
  <sheetViews>
    <sheetView workbookViewId="0">
      <selection activeCell="H3" sqref="H3"/>
    </sheetView>
    <sheetView topLeftCell="P1" zoomScaleNormal="100" workbookViewId="1">
      <selection activeCell="S19" sqref="S19"/>
    </sheetView>
    <sheetView tabSelected="1" zoomScale="80" zoomScaleNormal="80" workbookViewId="2">
      <selection sqref="A1:E1"/>
    </sheetView>
  </sheetViews>
  <sheetFormatPr defaultColWidth="8" defaultRowHeight="12.75"/>
  <cols>
    <col min="1" max="1" width="3.28515625" style="1" customWidth="1"/>
    <col min="2" max="2" width="17.5703125" style="1" customWidth="1"/>
    <col min="3" max="3" width="11.28515625" style="1" customWidth="1"/>
    <col min="4" max="4" width="50.28515625" style="1" customWidth="1"/>
    <col min="5" max="5" width="12.85546875" style="1" bestFit="1" customWidth="1"/>
    <col min="6" max="6" width="9" style="1" bestFit="1" customWidth="1"/>
    <col min="7" max="7" width="8.5703125" style="1" customWidth="1"/>
    <col min="8" max="8" width="9.7109375" style="1" bestFit="1" customWidth="1"/>
    <col min="9" max="9" width="37" style="1" bestFit="1" customWidth="1"/>
    <col min="10" max="10" width="55" style="1" customWidth="1"/>
    <col min="11" max="11" width="10" style="1" bestFit="1" customWidth="1"/>
    <col min="12" max="12" width="5.28515625" style="1" bestFit="1" customWidth="1"/>
    <col min="13" max="13" width="11.28515625" style="1" bestFit="1" customWidth="1"/>
    <col min="14" max="14" width="63" style="1" bestFit="1" customWidth="1"/>
    <col min="15" max="15" width="15" style="1" customWidth="1"/>
    <col min="16" max="16" width="11.28515625" style="1" customWidth="1"/>
    <col min="17" max="17" width="13.42578125" style="1" customWidth="1"/>
    <col min="18" max="18" width="34.42578125" style="1" bestFit="1" customWidth="1"/>
    <col min="19" max="19" width="18.28515625" style="1" bestFit="1" customWidth="1"/>
    <col min="20" max="16384" width="8" style="1"/>
  </cols>
  <sheetData>
    <row r="1" spans="1:19" ht="15" customHeight="1" thickBot="1">
      <c r="A1" s="204" t="s">
        <v>0</v>
      </c>
      <c r="B1" s="205"/>
      <c r="C1" s="205"/>
      <c r="D1" s="205"/>
      <c r="E1" s="206"/>
      <c r="G1" s="207" t="s">
        <v>1</v>
      </c>
      <c r="H1" s="208"/>
      <c r="I1" s="208"/>
      <c r="J1" s="208"/>
      <c r="K1" s="208"/>
      <c r="L1" s="209"/>
      <c r="N1" s="186" t="s">
        <v>2</v>
      </c>
      <c r="O1" s="187"/>
      <c r="R1" s="188" t="s">
        <v>3</v>
      </c>
      <c r="S1" s="189"/>
    </row>
    <row r="2" spans="1:19" ht="17.850000000000001" customHeight="1" thickBot="1">
      <c r="A2" s="33"/>
      <c r="B2" s="34" t="s">
        <v>4</v>
      </c>
      <c r="C2" s="35" t="s">
        <v>5</v>
      </c>
      <c r="D2" s="36" t="s">
        <v>6</v>
      </c>
      <c r="E2" s="37" t="s">
        <v>7</v>
      </c>
      <c r="G2" s="42"/>
      <c r="H2" s="45" t="s">
        <v>4</v>
      </c>
      <c r="I2" s="46" t="s">
        <v>5</v>
      </c>
      <c r="J2" s="47" t="s">
        <v>6</v>
      </c>
      <c r="K2" s="156" t="s">
        <v>8</v>
      </c>
      <c r="L2" s="157" t="s">
        <v>9</v>
      </c>
      <c r="N2" s="162" t="s">
        <v>10</v>
      </c>
      <c r="O2" s="160">
        <f>SUM(O3:O6)</f>
        <v>40000</v>
      </c>
      <c r="R2" s="114" t="s">
        <v>11</v>
      </c>
      <c r="S2" s="115" t="s">
        <v>12</v>
      </c>
    </row>
    <row r="3" spans="1:19" ht="18.2" customHeight="1">
      <c r="A3" s="210" t="s">
        <v>13</v>
      </c>
      <c r="B3" s="214" t="s">
        <v>14</v>
      </c>
      <c r="C3" s="217" t="s">
        <v>15</v>
      </c>
      <c r="D3" s="27" t="s">
        <v>16</v>
      </c>
      <c r="E3" s="28">
        <v>100000</v>
      </c>
      <c r="G3" s="190" t="s">
        <v>13</v>
      </c>
      <c r="H3" s="56" t="s">
        <v>17</v>
      </c>
      <c r="I3" s="193" t="s">
        <v>18</v>
      </c>
      <c r="J3" s="27" t="s">
        <v>16</v>
      </c>
      <c r="K3" s="50">
        <v>100000</v>
      </c>
      <c r="L3" s="51">
        <f t="shared" ref="L3:L15" si="0">K3/$K$15</f>
        <v>0.25</v>
      </c>
      <c r="N3" s="158" t="s">
        <v>16</v>
      </c>
      <c r="O3" s="159">
        <v>20000</v>
      </c>
      <c r="R3" s="116" t="s">
        <v>19</v>
      </c>
      <c r="S3" s="117">
        <f>SUM(S4:S17)</f>
        <v>30100</v>
      </c>
    </row>
    <row r="4" spans="1:19" ht="18" customHeight="1">
      <c r="A4" s="211"/>
      <c r="B4" s="215"/>
      <c r="C4" s="218"/>
      <c r="D4" s="21" t="s">
        <v>20</v>
      </c>
      <c r="E4" s="23">
        <v>30000</v>
      </c>
      <c r="G4" s="191"/>
      <c r="H4" s="57"/>
      <c r="I4" s="194"/>
      <c r="J4" s="21" t="s">
        <v>20</v>
      </c>
      <c r="K4" s="38">
        <v>30000</v>
      </c>
      <c r="L4" s="43">
        <f t="shared" si="0"/>
        <v>7.4999999999999997E-2</v>
      </c>
      <c r="N4" s="55" t="s">
        <v>21</v>
      </c>
      <c r="O4" s="53">
        <v>5000</v>
      </c>
      <c r="R4" s="88" t="s">
        <v>22</v>
      </c>
      <c r="S4" s="118">
        <f>Datos!J38</f>
        <v>12000</v>
      </c>
    </row>
    <row r="5" spans="1:19" ht="17.850000000000001" customHeight="1">
      <c r="A5" s="211"/>
      <c r="B5" s="215"/>
      <c r="C5" s="218"/>
      <c r="D5" s="21" t="s">
        <v>23</v>
      </c>
      <c r="E5" s="23">
        <v>30000</v>
      </c>
      <c r="G5" s="191"/>
      <c r="H5" s="58"/>
      <c r="I5" s="195"/>
      <c r="J5" s="21" t="s">
        <v>23</v>
      </c>
      <c r="K5" s="39">
        <v>30000</v>
      </c>
      <c r="L5" s="43">
        <f t="shared" si="0"/>
        <v>7.4999999999999997E-2</v>
      </c>
      <c r="N5" s="55" t="s">
        <v>23</v>
      </c>
      <c r="O5" s="53">
        <v>7500</v>
      </c>
      <c r="R5" s="88" t="s">
        <v>24</v>
      </c>
      <c r="S5" s="118">
        <v>0</v>
      </c>
    </row>
    <row r="6" spans="1:19" ht="17.45" customHeight="1" thickBot="1">
      <c r="A6" s="211"/>
      <c r="B6" s="215"/>
      <c r="C6" s="218"/>
      <c r="D6" s="21" t="s">
        <v>25</v>
      </c>
      <c r="E6" s="23">
        <v>40000</v>
      </c>
      <c r="G6" s="191"/>
      <c r="H6" s="59">
        <v>240000</v>
      </c>
      <c r="I6" s="196" t="s">
        <v>26</v>
      </c>
      <c r="J6" s="21" t="s">
        <v>25</v>
      </c>
      <c r="K6" s="40">
        <v>40000</v>
      </c>
      <c r="L6" s="43">
        <f t="shared" si="0"/>
        <v>0.1</v>
      </c>
      <c r="N6" s="161" t="s">
        <v>25</v>
      </c>
      <c r="O6" s="54">
        <v>7500</v>
      </c>
      <c r="R6" s="88" t="s">
        <v>27</v>
      </c>
      <c r="S6" s="118">
        <f>Datos!J33</f>
        <v>1200</v>
      </c>
    </row>
    <row r="7" spans="1:19" ht="18.2" customHeight="1" thickBot="1">
      <c r="A7" s="211"/>
      <c r="B7" s="215"/>
      <c r="C7" s="219" t="s">
        <v>26</v>
      </c>
      <c r="D7" s="21" t="s">
        <v>28</v>
      </c>
      <c r="E7" s="23">
        <v>5000</v>
      </c>
      <c r="G7" s="191"/>
      <c r="H7" s="60"/>
      <c r="I7" s="197"/>
      <c r="J7" s="21" t="s">
        <v>28</v>
      </c>
      <c r="K7" s="41">
        <v>5000</v>
      </c>
      <c r="L7" s="43">
        <f t="shared" si="0"/>
        <v>1.2500000000000001E-2</v>
      </c>
      <c r="N7" s="162" t="s">
        <v>29</v>
      </c>
      <c r="O7" s="160">
        <f>SUM(O8:O10)</f>
        <v>20000</v>
      </c>
      <c r="R7" s="88" t="s">
        <v>30</v>
      </c>
      <c r="S7" s="118">
        <f>Datos!J37</f>
        <v>3000</v>
      </c>
    </row>
    <row r="8" spans="1:19" ht="17.850000000000001" customHeight="1">
      <c r="A8" s="211"/>
      <c r="B8" s="215"/>
      <c r="C8" s="219"/>
      <c r="D8" s="21" t="s">
        <v>31</v>
      </c>
      <c r="E8" s="23">
        <v>10000</v>
      </c>
      <c r="G8" s="191"/>
      <c r="H8" s="60"/>
      <c r="I8" s="197"/>
      <c r="J8" s="21" t="s">
        <v>31</v>
      </c>
      <c r="K8" s="39">
        <v>10000</v>
      </c>
      <c r="L8" s="43">
        <f t="shared" si="0"/>
        <v>2.5000000000000001E-2</v>
      </c>
      <c r="N8" s="158" t="s">
        <v>28</v>
      </c>
      <c r="O8" s="159">
        <v>4000</v>
      </c>
      <c r="R8" s="88" t="s">
        <v>32</v>
      </c>
      <c r="S8" s="119">
        <v>0</v>
      </c>
    </row>
    <row r="9" spans="1:19" ht="17.25" customHeight="1" thickBot="1">
      <c r="A9" s="211"/>
      <c r="B9" s="216"/>
      <c r="C9" s="219"/>
      <c r="D9" s="31" t="s">
        <v>33</v>
      </c>
      <c r="E9" s="32">
        <v>25000</v>
      </c>
      <c r="G9" s="191"/>
      <c r="H9" s="61"/>
      <c r="I9" s="198"/>
      <c r="J9" s="31" t="s">
        <v>33</v>
      </c>
      <c r="K9" s="52">
        <v>25000</v>
      </c>
      <c r="L9" s="44">
        <f t="shared" si="0"/>
        <v>6.25E-2</v>
      </c>
      <c r="M9" s="3">
        <f>SUM(K3:K9)</f>
        <v>240000</v>
      </c>
      <c r="N9" s="55" t="s">
        <v>31</v>
      </c>
      <c r="O9" s="53">
        <v>10000</v>
      </c>
      <c r="P9" s="3"/>
      <c r="R9" s="88" t="s">
        <v>34</v>
      </c>
      <c r="S9" s="118">
        <v>0</v>
      </c>
    </row>
    <row r="10" spans="1:19" ht="18.600000000000001" customHeight="1" thickBot="1">
      <c r="A10" s="212"/>
      <c r="B10" s="220" t="s">
        <v>35</v>
      </c>
      <c r="C10" s="223" t="s">
        <v>15</v>
      </c>
      <c r="D10" s="25" t="s">
        <v>36</v>
      </c>
      <c r="E10" s="26">
        <v>40000</v>
      </c>
      <c r="G10" s="191"/>
      <c r="H10" s="62" t="s">
        <v>37</v>
      </c>
      <c r="I10" s="193" t="s">
        <v>18</v>
      </c>
      <c r="J10" s="25" t="s">
        <v>36</v>
      </c>
      <c r="K10" s="48">
        <v>40000</v>
      </c>
      <c r="L10" s="49">
        <f t="shared" si="0"/>
        <v>0.1</v>
      </c>
      <c r="N10" s="161" t="s">
        <v>38</v>
      </c>
      <c r="O10" s="54">
        <v>6000</v>
      </c>
      <c r="R10" s="88" t="s">
        <v>39</v>
      </c>
      <c r="S10" s="118"/>
    </row>
    <row r="11" spans="1:19" ht="17.25" customHeight="1" thickBot="1">
      <c r="A11" s="212"/>
      <c r="B11" s="221"/>
      <c r="C11" s="218"/>
      <c r="D11" s="21" t="s">
        <v>40</v>
      </c>
      <c r="E11" s="23">
        <v>20000</v>
      </c>
      <c r="G11" s="191"/>
      <c r="H11" s="63"/>
      <c r="I11" s="195"/>
      <c r="J11" s="21" t="s">
        <v>40</v>
      </c>
      <c r="K11" s="39">
        <v>20000</v>
      </c>
      <c r="L11" s="43">
        <f t="shared" si="0"/>
        <v>0.05</v>
      </c>
      <c r="N11" s="173" t="s">
        <v>41</v>
      </c>
      <c r="O11" s="160">
        <f>SUM(O12:O13)</f>
        <v>15000</v>
      </c>
      <c r="R11" s="88" t="s">
        <v>42</v>
      </c>
      <c r="S11" s="118">
        <f>Datos!J34</f>
        <v>1000</v>
      </c>
    </row>
    <row r="12" spans="1:19" ht="18.600000000000001" customHeight="1">
      <c r="A12" s="212"/>
      <c r="B12" s="221"/>
      <c r="C12" s="219" t="s">
        <v>26</v>
      </c>
      <c r="D12" s="21" t="s">
        <v>28</v>
      </c>
      <c r="E12" s="23">
        <v>35000</v>
      </c>
      <c r="G12" s="191"/>
      <c r="H12" s="64">
        <v>160000</v>
      </c>
      <c r="I12" s="196" t="s">
        <v>26</v>
      </c>
      <c r="J12" s="21" t="s">
        <v>28</v>
      </c>
      <c r="K12" s="39">
        <v>35000</v>
      </c>
      <c r="L12" s="43">
        <f t="shared" si="0"/>
        <v>8.7499999999999994E-2</v>
      </c>
      <c r="N12" s="158" t="s">
        <v>43</v>
      </c>
      <c r="O12" s="159">
        <v>9000</v>
      </c>
      <c r="R12" s="88" t="s">
        <v>44</v>
      </c>
      <c r="S12" s="118">
        <f>Datos!J35</f>
        <v>900</v>
      </c>
    </row>
    <row r="13" spans="1:19" ht="17.850000000000001" customHeight="1" thickBot="1">
      <c r="A13" s="212"/>
      <c r="B13" s="221"/>
      <c r="C13" s="219"/>
      <c r="D13" s="21" t="s">
        <v>31</v>
      </c>
      <c r="E13" s="23">
        <v>25000</v>
      </c>
      <c r="G13" s="191"/>
      <c r="H13" s="65"/>
      <c r="I13" s="197"/>
      <c r="J13" s="21" t="s">
        <v>31</v>
      </c>
      <c r="K13" s="41">
        <v>25000</v>
      </c>
      <c r="L13" s="43">
        <f t="shared" si="0"/>
        <v>6.25E-2</v>
      </c>
      <c r="N13" s="161" t="s">
        <v>40</v>
      </c>
      <c r="O13" s="54">
        <v>6000</v>
      </c>
      <c r="R13" s="88" t="s">
        <v>45</v>
      </c>
      <c r="S13" s="118">
        <f>Datos!J36</f>
        <v>6000</v>
      </c>
    </row>
    <row r="14" spans="1:19" ht="18" customHeight="1" thickBot="1">
      <c r="A14" s="212"/>
      <c r="B14" s="221"/>
      <c r="C14" s="219"/>
      <c r="D14" s="21" t="s">
        <v>33</v>
      </c>
      <c r="E14" s="23">
        <v>40000</v>
      </c>
      <c r="G14" s="191"/>
      <c r="H14" s="65"/>
      <c r="I14" s="197"/>
      <c r="J14" s="164" t="s">
        <v>33</v>
      </c>
      <c r="K14" s="165">
        <v>40000</v>
      </c>
      <c r="L14" s="166">
        <f t="shared" si="0"/>
        <v>0.1</v>
      </c>
      <c r="N14" s="162" t="s">
        <v>46</v>
      </c>
      <c r="O14" s="160">
        <f t="array" ref="O14">SUM(O15:O17)</f>
        <v>25000</v>
      </c>
      <c r="R14" s="88" t="s">
        <v>47</v>
      </c>
      <c r="S14" s="118">
        <f>Datos!J39</f>
        <v>6000</v>
      </c>
    </row>
    <row r="15" spans="1:19" ht="17.45" customHeight="1" thickBot="1">
      <c r="A15" s="213"/>
      <c r="B15" s="222"/>
      <c r="C15" s="224"/>
      <c r="D15" s="22" t="s">
        <v>48</v>
      </c>
      <c r="E15" s="24">
        <f>SUM(E3:E14)</f>
        <v>400000</v>
      </c>
      <c r="G15" s="192"/>
      <c r="H15" s="66"/>
      <c r="I15" s="199"/>
      <c r="J15" s="167" t="s">
        <v>48</v>
      </c>
      <c r="K15" s="168">
        <v>400000</v>
      </c>
      <c r="L15" s="169">
        <f t="shared" si="0"/>
        <v>1</v>
      </c>
      <c r="M15" s="3">
        <f>SUM(K10:K14)</f>
        <v>160000</v>
      </c>
      <c r="N15" s="158" t="s">
        <v>28</v>
      </c>
      <c r="O15" s="159">
        <v>8000</v>
      </c>
      <c r="P15" s="3"/>
      <c r="R15" s="88" t="s">
        <v>49</v>
      </c>
      <c r="S15" s="118">
        <v>0</v>
      </c>
    </row>
    <row r="16" spans="1:19" ht="18.2" customHeight="1" thickBot="1">
      <c r="A16" s="225" t="s">
        <v>50</v>
      </c>
      <c r="B16" s="214" t="s">
        <v>51</v>
      </c>
      <c r="C16" s="217" t="s">
        <v>15</v>
      </c>
      <c r="D16" s="27" t="s">
        <v>16</v>
      </c>
      <c r="E16" s="28">
        <v>225000</v>
      </c>
      <c r="F16" s="2"/>
      <c r="N16" s="55" t="s">
        <v>52</v>
      </c>
      <c r="O16" s="53">
        <v>2000</v>
      </c>
      <c r="R16" s="88" t="s">
        <v>53</v>
      </c>
      <c r="S16" s="118">
        <v>0</v>
      </c>
    </row>
    <row r="17" spans="1:19" ht="18" customHeight="1" thickBot="1">
      <c r="A17" s="226"/>
      <c r="B17" s="215"/>
      <c r="C17" s="218"/>
      <c r="D17" s="21" t="s">
        <v>20</v>
      </c>
      <c r="E17" s="23">
        <v>40000</v>
      </c>
      <c r="I17" s="202" t="s">
        <v>54</v>
      </c>
      <c r="J17" s="203"/>
      <c r="N17" s="161" t="s">
        <v>55</v>
      </c>
      <c r="O17" s="54">
        <v>15000</v>
      </c>
      <c r="R17" s="88" t="s">
        <v>56</v>
      </c>
      <c r="S17" s="118">
        <v>0</v>
      </c>
    </row>
    <row r="18" spans="1:19" ht="19.5" customHeight="1" thickBot="1">
      <c r="A18" s="226"/>
      <c r="B18" s="215"/>
      <c r="C18" s="218"/>
      <c r="D18" s="21" t="s">
        <v>23</v>
      </c>
      <c r="E18" s="23">
        <v>45000</v>
      </c>
      <c r="I18" s="170" t="s">
        <v>57</v>
      </c>
      <c r="J18" s="170" t="s">
        <v>58</v>
      </c>
      <c r="N18" s="162" t="s">
        <v>48</v>
      </c>
      <c r="O18" s="163">
        <f>O2+O7+O11+O14</f>
        <v>100000</v>
      </c>
      <c r="R18" s="107" t="s">
        <v>59</v>
      </c>
      <c r="S18" s="120">
        <f>Datos!J24</f>
        <v>83500</v>
      </c>
    </row>
    <row r="19" spans="1:19" ht="17.100000000000001" customHeight="1" thickBot="1">
      <c r="A19" s="226"/>
      <c r="B19" s="215"/>
      <c r="C19" s="218"/>
      <c r="D19" s="21" t="s">
        <v>25</v>
      </c>
      <c r="E19" s="23">
        <v>60000</v>
      </c>
      <c r="I19" s="174" t="s">
        <v>60</v>
      </c>
      <c r="J19" s="39">
        <f>SUM(J20:J23)</f>
        <v>28000</v>
      </c>
      <c r="R19" s="107" t="s">
        <v>61</v>
      </c>
      <c r="S19" s="120">
        <v>8279</v>
      </c>
    </row>
    <row r="20" spans="1:19" ht="18.600000000000001" customHeight="1">
      <c r="A20" s="226"/>
      <c r="B20" s="215"/>
      <c r="C20" s="219" t="s">
        <v>26</v>
      </c>
      <c r="D20" s="21" t="s">
        <v>28</v>
      </c>
      <c r="E20" s="23">
        <v>15000</v>
      </c>
      <c r="I20" s="90" t="s">
        <v>62</v>
      </c>
      <c r="J20" s="39">
        <v>18000</v>
      </c>
      <c r="R20" s="107" t="s">
        <v>63</v>
      </c>
      <c r="S20" s="120">
        <f>'Cuadro de amortización'!B6</f>
        <v>5400</v>
      </c>
    </row>
    <row r="21" spans="1:19" ht="17.850000000000001" customHeight="1" thickBot="1">
      <c r="A21" s="226"/>
      <c r="B21" s="215"/>
      <c r="C21" s="219"/>
      <c r="D21" s="21" t="s">
        <v>31</v>
      </c>
      <c r="E21" s="23">
        <v>20000</v>
      </c>
      <c r="I21" s="93" t="s">
        <v>64</v>
      </c>
      <c r="J21" s="39">
        <v>3000</v>
      </c>
      <c r="R21" s="121" t="s">
        <v>65</v>
      </c>
      <c r="S21" s="122">
        <v>0</v>
      </c>
    </row>
    <row r="22" spans="1:19" ht="16.5" customHeight="1" thickBot="1">
      <c r="A22" s="226"/>
      <c r="B22" s="216"/>
      <c r="C22" s="219"/>
      <c r="D22" s="31" t="s">
        <v>33</v>
      </c>
      <c r="E22" s="32">
        <v>45000</v>
      </c>
      <c r="I22" s="93" t="s">
        <v>66</v>
      </c>
      <c r="J22" s="39">
        <v>4000</v>
      </c>
      <c r="R22" s="105" t="s">
        <v>67</v>
      </c>
      <c r="S22" s="123">
        <f>SUM(S3,S18,S19,S20,S21)</f>
        <v>127279</v>
      </c>
    </row>
    <row r="23" spans="1:19" ht="19.350000000000001" customHeight="1" thickBot="1">
      <c r="A23" s="227"/>
      <c r="B23" s="220" t="s">
        <v>68</v>
      </c>
      <c r="C23" s="223" t="s">
        <v>15</v>
      </c>
      <c r="D23" s="25" t="s">
        <v>36</v>
      </c>
      <c r="E23" s="26">
        <v>75000</v>
      </c>
      <c r="I23" s="171" t="s">
        <v>69</v>
      </c>
      <c r="J23" s="39">
        <v>3000</v>
      </c>
    </row>
    <row r="24" spans="1:19" ht="17.45" customHeight="1" thickBot="1">
      <c r="A24" s="227"/>
      <c r="B24" s="221"/>
      <c r="C24" s="218"/>
      <c r="D24" s="21" t="s">
        <v>40</v>
      </c>
      <c r="E24" s="23">
        <v>50000</v>
      </c>
      <c r="I24" s="174" t="s">
        <v>70</v>
      </c>
      <c r="J24" s="39">
        <f>SUM(J25:J31)</f>
        <v>83500</v>
      </c>
      <c r="R24" s="200" t="s">
        <v>71</v>
      </c>
      <c r="S24" s="201"/>
    </row>
    <row r="25" spans="1:19" ht="18.2" customHeight="1" thickBot="1">
      <c r="A25" s="227"/>
      <c r="B25" s="221"/>
      <c r="C25" s="219" t="s">
        <v>26</v>
      </c>
      <c r="D25" s="21" t="s">
        <v>28</v>
      </c>
      <c r="E25" s="23">
        <v>60000</v>
      </c>
      <c r="I25" s="90" t="s">
        <v>72</v>
      </c>
      <c r="J25" s="39">
        <v>18000</v>
      </c>
      <c r="R25" s="124" t="s">
        <v>11</v>
      </c>
      <c r="S25" s="125" t="s">
        <v>12</v>
      </c>
    </row>
    <row r="26" spans="1:19" ht="17.850000000000001" customHeight="1">
      <c r="A26" s="227"/>
      <c r="B26" s="221"/>
      <c r="C26" s="219"/>
      <c r="D26" s="21" t="s">
        <v>31</v>
      </c>
      <c r="E26" s="23">
        <v>40000</v>
      </c>
      <c r="I26" s="93" t="s">
        <v>73</v>
      </c>
      <c r="J26" s="39">
        <v>2500</v>
      </c>
      <c r="R26" s="127" t="s">
        <v>74</v>
      </c>
      <c r="S26" s="128" t="s">
        <v>72</v>
      </c>
    </row>
    <row r="27" spans="1:19" ht="18" customHeight="1">
      <c r="A27" s="227"/>
      <c r="B27" s="221"/>
      <c r="C27" s="219"/>
      <c r="D27" s="21" t="s">
        <v>33</v>
      </c>
      <c r="E27" s="23">
        <v>75000</v>
      </c>
      <c r="I27" s="93" t="s">
        <v>75</v>
      </c>
      <c r="J27" s="39">
        <v>15000</v>
      </c>
      <c r="R27" s="67" t="s">
        <v>76</v>
      </c>
      <c r="S27" s="68">
        <v>1</v>
      </c>
    </row>
    <row r="28" spans="1:19" ht="17.25" customHeight="1" thickBot="1">
      <c r="A28" s="228"/>
      <c r="B28" s="229"/>
      <c r="C28" s="224"/>
      <c r="D28" s="29" t="s">
        <v>48</v>
      </c>
      <c r="E28" s="30">
        <f>SUM(E16:E27)</f>
        <v>750000</v>
      </c>
      <c r="I28" s="93" t="s">
        <v>77</v>
      </c>
      <c r="J28" s="39">
        <v>15000</v>
      </c>
      <c r="R28" s="67" t="s">
        <v>78</v>
      </c>
      <c r="S28" s="111">
        <f>Datos!J25</f>
        <v>18000</v>
      </c>
    </row>
    <row r="29" spans="1:19" ht="18.2" customHeight="1">
      <c r="A29" s="210" t="s">
        <v>79</v>
      </c>
      <c r="B29" s="214" t="s">
        <v>80</v>
      </c>
      <c r="C29" s="217" t="s">
        <v>15</v>
      </c>
      <c r="D29" s="27" t="s">
        <v>16</v>
      </c>
      <c r="E29" s="28">
        <v>300000</v>
      </c>
      <c r="I29" s="93" t="s">
        <v>81</v>
      </c>
      <c r="J29" s="39">
        <v>12000</v>
      </c>
      <c r="R29" s="67" t="s">
        <v>82</v>
      </c>
      <c r="S29" s="111">
        <f>Datos!J26</f>
        <v>2500</v>
      </c>
    </row>
    <row r="30" spans="1:19" ht="18" customHeight="1" thickBot="1">
      <c r="A30" s="211"/>
      <c r="B30" s="215"/>
      <c r="C30" s="218"/>
      <c r="D30" s="21" t="s">
        <v>20</v>
      </c>
      <c r="E30" s="23">
        <v>60000</v>
      </c>
      <c r="I30" s="93" t="s">
        <v>83</v>
      </c>
      <c r="J30" s="39">
        <v>12000</v>
      </c>
      <c r="R30" s="69" t="s">
        <v>84</v>
      </c>
      <c r="S30" s="126">
        <f>SUM(S28:S29)*S27</f>
        <v>20500</v>
      </c>
    </row>
    <row r="31" spans="1:19" ht="17.850000000000001" customHeight="1" thickBot="1">
      <c r="A31" s="211"/>
      <c r="B31" s="215"/>
      <c r="C31" s="218"/>
      <c r="D31" s="21" t="s">
        <v>23</v>
      </c>
      <c r="E31" s="23">
        <v>50000</v>
      </c>
      <c r="I31" s="171" t="s">
        <v>85</v>
      </c>
      <c r="J31" s="39">
        <v>9000</v>
      </c>
      <c r="R31" s="127" t="s">
        <v>86</v>
      </c>
      <c r="S31" s="128" t="s">
        <v>87</v>
      </c>
    </row>
    <row r="32" spans="1:19" ht="17.100000000000001" customHeight="1" thickBot="1">
      <c r="A32" s="211"/>
      <c r="B32" s="215"/>
      <c r="C32" s="218"/>
      <c r="D32" s="21" t="s">
        <v>25</v>
      </c>
      <c r="E32" s="23">
        <v>70000</v>
      </c>
      <c r="I32" s="174" t="s">
        <v>88</v>
      </c>
      <c r="J32" s="39">
        <f>SUM(J33:J39)</f>
        <v>30100</v>
      </c>
      <c r="R32" s="67" t="s">
        <v>76</v>
      </c>
      <c r="S32" s="68">
        <v>2</v>
      </c>
    </row>
    <row r="33" spans="1:19" ht="18.75" customHeight="1">
      <c r="A33" s="211"/>
      <c r="B33" s="215"/>
      <c r="C33" s="219" t="s">
        <v>26</v>
      </c>
      <c r="D33" s="21" t="s">
        <v>28</v>
      </c>
      <c r="E33" s="23">
        <v>30000</v>
      </c>
      <c r="I33" s="90" t="s">
        <v>89</v>
      </c>
      <c r="J33" s="39">
        <f>1200</f>
        <v>1200</v>
      </c>
      <c r="R33" s="67" t="s">
        <v>78</v>
      </c>
      <c r="S33" s="111">
        <v>15000</v>
      </c>
    </row>
    <row r="34" spans="1:19" ht="17.850000000000001" customHeight="1">
      <c r="A34" s="211"/>
      <c r="B34" s="215"/>
      <c r="C34" s="219"/>
      <c r="D34" s="21" t="s">
        <v>31</v>
      </c>
      <c r="E34" s="23">
        <v>40000</v>
      </c>
      <c r="I34" s="93" t="s">
        <v>42</v>
      </c>
      <c r="J34" s="39">
        <v>1000</v>
      </c>
      <c r="R34" s="67" t="s">
        <v>90</v>
      </c>
      <c r="S34" s="111">
        <f>S33*0.33</f>
        <v>4950</v>
      </c>
    </row>
    <row r="35" spans="1:19" ht="17.25" customHeight="1" thickBot="1">
      <c r="A35" s="211"/>
      <c r="B35" s="216"/>
      <c r="C35" s="219"/>
      <c r="D35" s="31" t="s">
        <v>33</v>
      </c>
      <c r="E35" s="32">
        <v>50000</v>
      </c>
      <c r="I35" s="93" t="s">
        <v>91</v>
      </c>
      <c r="J35" s="39">
        <v>900</v>
      </c>
      <c r="R35" s="69" t="s">
        <v>92</v>
      </c>
      <c r="S35" s="126">
        <f>SUM(S33:S34)*S32</f>
        <v>39900</v>
      </c>
    </row>
    <row r="36" spans="1:19" ht="18.2" customHeight="1">
      <c r="A36" s="212"/>
      <c r="B36" s="220" t="s">
        <v>93</v>
      </c>
      <c r="C36" s="223" t="s">
        <v>15</v>
      </c>
      <c r="D36" s="25" t="s">
        <v>36</v>
      </c>
      <c r="E36" s="26">
        <v>100000</v>
      </c>
      <c r="I36" s="93" t="s">
        <v>94</v>
      </c>
      <c r="J36" s="39">
        <v>6000</v>
      </c>
      <c r="R36" s="127" t="s">
        <v>95</v>
      </c>
      <c r="S36" s="128" t="s">
        <v>96</v>
      </c>
    </row>
    <row r="37" spans="1:19" ht="17.25" customHeight="1">
      <c r="A37" s="212"/>
      <c r="B37" s="221"/>
      <c r="C37" s="218"/>
      <c r="D37" s="21" t="s">
        <v>40</v>
      </c>
      <c r="E37" s="23">
        <v>60000</v>
      </c>
      <c r="I37" s="93" t="s">
        <v>97</v>
      </c>
      <c r="J37" s="39">
        <v>3000</v>
      </c>
      <c r="R37" s="67" t="s">
        <v>76</v>
      </c>
      <c r="S37" s="68">
        <v>2</v>
      </c>
    </row>
    <row r="38" spans="1:19" ht="18.600000000000001" customHeight="1">
      <c r="A38" s="212"/>
      <c r="B38" s="221"/>
      <c r="C38" s="219" t="s">
        <v>26</v>
      </c>
      <c r="D38" s="21" t="s">
        <v>28</v>
      </c>
      <c r="E38" s="23">
        <v>85000</v>
      </c>
      <c r="I38" s="93" t="s">
        <v>98</v>
      </c>
      <c r="J38" s="39">
        <v>12000</v>
      </c>
      <c r="R38" s="67" t="s">
        <v>78</v>
      </c>
      <c r="S38" s="111">
        <f>Datos!J29</f>
        <v>12000</v>
      </c>
    </row>
    <row r="39" spans="1:19" ht="17.850000000000001" customHeight="1" thickBot="1">
      <c r="A39" s="212"/>
      <c r="B39" s="221"/>
      <c r="C39" s="219"/>
      <c r="D39" s="21" t="s">
        <v>31</v>
      </c>
      <c r="E39" s="23">
        <v>60000</v>
      </c>
      <c r="I39" s="171" t="s">
        <v>99</v>
      </c>
      <c r="J39" s="39">
        <v>6000</v>
      </c>
      <c r="R39" s="67" t="s">
        <v>90</v>
      </c>
      <c r="S39" s="111">
        <f>S38*0.33</f>
        <v>3960</v>
      </c>
    </row>
    <row r="40" spans="1:19" ht="18" customHeight="1" thickBot="1">
      <c r="A40" s="212"/>
      <c r="B40" s="221"/>
      <c r="C40" s="219"/>
      <c r="D40" s="21" t="s">
        <v>33</v>
      </c>
      <c r="E40" s="23">
        <v>95000</v>
      </c>
      <c r="I40" s="174" t="s">
        <v>48</v>
      </c>
      <c r="J40" s="172">
        <f>SUM(J32,J24,J19)</f>
        <v>141600</v>
      </c>
      <c r="R40" s="69" t="s">
        <v>100</v>
      </c>
      <c r="S40" s="126">
        <f>SUM(S38:S39)*S37</f>
        <v>31920</v>
      </c>
    </row>
    <row r="41" spans="1:19" ht="21.75" customHeight="1" thickBot="1">
      <c r="A41" s="213"/>
      <c r="B41" s="222"/>
      <c r="C41" s="224"/>
      <c r="D41" s="22" t="s">
        <v>48</v>
      </c>
      <c r="E41" s="24">
        <f>SUM(E29:E40)</f>
        <v>1000000</v>
      </c>
      <c r="R41" s="70" t="s">
        <v>101</v>
      </c>
      <c r="S41" s="129" t="s">
        <v>85</v>
      </c>
    </row>
    <row r="42" spans="1:19" ht="15">
      <c r="R42" s="67" t="s">
        <v>76</v>
      </c>
      <c r="S42" s="68">
        <v>1</v>
      </c>
    </row>
    <row r="43" spans="1:19" ht="15">
      <c r="R43" s="67" t="s">
        <v>78</v>
      </c>
      <c r="S43" s="111">
        <f>Datos!J31</f>
        <v>9000</v>
      </c>
    </row>
    <row r="44" spans="1:19" ht="15">
      <c r="R44" s="67" t="s">
        <v>90</v>
      </c>
      <c r="S44" s="111">
        <f>S43*0.33</f>
        <v>2970</v>
      </c>
    </row>
    <row r="45" spans="1:19" ht="15.75" thickBot="1">
      <c r="R45" s="112" t="s">
        <v>102</v>
      </c>
      <c r="S45" s="113">
        <f>SUM(S43:S44)*S42</f>
        <v>11970</v>
      </c>
    </row>
    <row r="46" spans="1:19" ht="15.75" thickBot="1">
      <c r="R46" s="109" t="s">
        <v>103</v>
      </c>
      <c r="S46" s="110">
        <f>SUM(S45,S40,S35,S30)</f>
        <v>104290</v>
      </c>
    </row>
  </sheetData>
  <mergeCells count="32">
    <mergeCell ref="C23:C24"/>
    <mergeCell ref="C25:C28"/>
    <mergeCell ref="A29:A41"/>
    <mergeCell ref="B29:B35"/>
    <mergeCell ref="C29:C32"/>
    <mergeCell ref="C33:C35"/>
    <mergeCell ref="B36:B41"/>
    <mergeCell ref="C36:C37"/>
    <mergeCell ref="C38:C41"/>
    <mergeCell ref="R24:S24"/>
    <mergeCell ref="I17:J17"/>
    <mergeCell ref="A1:E1"/>
    <mergeCell ref="G1:L1"/>
    <mergeCell ref="A3:A15"/>
    <mergeCell ref="B3:B9"/>
    <mergeCell ref="C3:C6"/>
    <mergeCell ref="C7:C9"/>
    <mergeCell ref="B10:B15"/>
    <mergeCell ref="C10:C11"/>
    <mergeCell ref="C12:C15"/>
    <mergeCell ref="A16:A28"/>
    <mergeCell ref="B16:B22"/>
    <mergeCell ref="C16:C19"/>
    <mergeCell ref="C20:C22"/>
    <mergeCell ref="B23:B28"/>
    <mergeCell ref="N1:O1"/>
    <mergeCell ref="R1:S1"/>
    <mergeCell ref="G3:G15"/>
    <mergeCell ref="I3:I5"/>
    <mergeCell ref="I6:I9"/>
    <mergeCell ref="I12:I15"/>
    <mergeCell ref="I10:I1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006E-BA64-49A1-A9B8-2B28B93BEE64}">
  <dimension ref="A1:B20"/>
  <sheetViews>
    <sheetView workbookViewId="0"/>
    <sheetView workbookViewId="1">
      <selection activeCell="A21" sqref="A21"/>
    </sheetView>
    <sheetView workbookViewId="2">
      <selection sqref="A1:B19"/>
    </sheetView>
  </sheetViews>
  <sheetFormatPr defaultColWidth="11.42578125" defaultRowHeight="15"/>
  <cols>
    <col min="1" max="1" width="36.42578125" bestFit="1" customWidth="1"/>
    <col min="2" max="2" width="9.42578125" bestFit="1" customWidth="1"/>
  </cols>
  <sheetData>
    <row r="1" spans="1:2">
      <c r="A1" s="230" t="s">
        <v>104</v>
      </c>
      <c r="B1" s="231"/>
    </row>
    <row r="2" spans="1:2">
      <c r="A2" s="107" t="s">
        <v>105</v>
      </c>
      <c r="B2" s="108">
        <f>SUM(B3:B5)</f>
        <v>4000</v>
      </c>
    </row>
    <row r="3" spans="1:2">
      <c r="A3" s="88" t="s">
        <v>106</v>
      </c>
      <c r="B3" s="108"/>
    </row>
    <row r="4" spans="1:2">
      <c r="A4" s="88" t="s">
        <v>107</v>
      </c>
      <c r="B4" s="108"/>
    </row>
    <row r="5" spans="1:2">
      <c r="A5" s="88" t="s">
        <v>108</v>
      </c>
      <c r="B5" s="108">
        <f>Datos!J22</f>
        <v>4000</v>
      </c>
    </row>
    <row r="6" spans="1:2">
      <c r="A6" s="107" t="s">
        <v>109</v>
      </c>
      <c r="B6" s="108"/>
    </row>
    <row r="7" spans="1:2">
      <c r="A7" s="107" t="s">
        <v>110</v>
      </c>
      <c r="B7" s="108">
        <f>SUM(B8:B10)</f>
        <v>0</v>
      </c>
    </row>
    <row r="8" spans="1:2">
      <c r="A8" s="88" t="s">
        <v>111</v>
      </c>
      <c r="B8" s="108"/>
    </row>
    <row r="9" spans="1:2">
      <c r="A9" s="88" t="s">
        <v>112</v>
      </c>
      <c r="B9" s="108"/>
    </row>
    <row r="10" spans="1:2">
      <c r="A10" s="88" t="s">
        <v>113</v>
      </c>
      <c r="B10" s="108"/>
    </row>
    <row r="11" spans="1:2">
      <c r="A11" s="107" t="s">
        <v>114</v>
      </c>
      <c r="B11" s="108">
        <f>Datos!J20</f>
        <v>18000</v>
      </c>
    </row>
    <row r="12" spans="1:2">
      <c r="A12" s="107" t="s">
        <v>115</v>
      </c>
      <c r="B12" s="108">
        <f>SUM(B13:B15)</f>
        <v>3000</v>
      </c>
    </row>
    <row r="13" spans="1:2">
      <c r="A13" s="88" t="s">
        <v>116</v>
      </c>
      <c r="B13" s="108">
        <f>Datos!J23</f>
        <v>3000</v>
      </c>
    </row>
    <row r="14" spans="1:2">
      <c r="A14" s="88" t="s">
        <v>117</v>
      </c>
      <c r="B14" s="108"/>
    </row>
    <row r="15" spans="1:2">
      <c r="A15" s="88" t="s">
        <v>118</v>
      </c>
      <c r="B15" s="108"/>
    </row>
    <row r="16" spans="1:2">
      <c r="A16" s="107" t="s">
        <v>119</v>
      </c>
      <c r="B16" s="108"/>
    </row>
    <row r="17" spans="1:2">
      <c r="A17" s="107" t="s">
        <v>120</v>
      </c>
      <c r="B17" s="108">
        <f>Datos!J21</f>
        <v>3000</v>
      </c>
    </row>
    <row r="18" spans="1:2" ht="15.75" thickBot="1">
      <c r="A18" s="121" t="s">
        <v>121</v>
      </c>
      <c r="B18" s="181">
        <f>Datos!J32</f>
        <v>30100</v>
      </c>
    </row>
    <row r="19" spans="1:2" ht="15.75" thickBot="1">
      <c r="A19" s="105" t="s">
        <v>48</v>
      </c>
      <c r="B19" s="106">
        <f>B18+B17+B16+B12+B11+B6+B2+B7</f>
        <v>58100</v>
      </c>
    </row>
    <row r="20" spans="1:2">
      <c r="B20" s="4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1F7B-B07D-4A80-A3A5-FE37B11BB1FE}">
  <dimension ref="A1:B6"/>
  <sheetViews>
    <sheetView workbookViewId="0"/>
    <sheetView workbookViewId="1">
      <selection activeCell="A11" sqref="A11"/>
    </sheetView>
    <sheetView workbookViewId="2">
      <selection activeCell="B6" sqref="A1:B6"/>
    </sheetView>
  </sheetViews>
  <sheetFormatPr defaultColWidth="11.42578125" defaultRowHeight="15"/>
  <cols>
    <col min="1" max="2" width="29.7109375" customWidth="1"/>
  </cols>
  <sheetData>
    <row r="1" spans="1:2" ht="15.75" thickBot="1">
      <c r="A1" s="232" t="s">
        <v>122</v>
      </c>
      <c r="B1" s="233"/>
    </row>
    <row r="2" spans="1:2" ht="15.75" thickBot="1">
      <c r="A2" s="74" t="s">
        <v>11</v>
      </c>
      <c r="B2" s="71" t="s">
        <v>12</v>
      </c>
    </row>
    <row r="3" spans="1:2">
      <c r="A3" s="75" t="s">
        <v>123</v>
      </c>
      <c r="B3" s="72">
        <f>'Plan de Inversiones'!B11/5</f>
        <v>3600</v>
      </c>
    </row>
    <row r="4" spans="1:2">
      <c r="A4" s="76" t="s">
        <v>108</v>
      </c>
      <c r="B4" s="73">
        <f>'Plan de Inversiones'!B5/5</f>
        <v>800</v>
      </c>
    </row>
    <row r="5" spans="1:2" ht="15.75" thickBot="1">
      <c r="A5" s="101" t="s">
        <v>64</v>
      </c>
      <c r="B5" s="102">
        <f>'Plan de Inversiones'!B17/3</f>
        <v>1000</v>
      </c>
    </row>
    <row r="6" spans="1:2" ht="15.75" thickBot="1">
      <c r="A6" s="103" t="s">
        <v>124</v>
      </c>
      <c r="B6" s="104">
        <f>SUM(B3:B5)</f>
        <v>5400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894D-91E9-4B4C-897A-681A60451DE6}">
  <dimension ref="A1:I9"/>
  <sheetViews>
    <sheetView workbookViewId="0">
      <selection activeCell="F4" sqref="F4"/>
    </sheetView>
    <sheetView workbookViewId="1">
      <selection activeCell="A10" sqref="A10"/>
    </sheetView>
    <sheetView workbookViewId="2">
      <selection activeCell="E18" sqref="E18"/>
    </sheetView>
  </sheetViews>
  <sheetFormatPr defaultColWidth="11.42578125" defaultRowHeight="15"/>
  <cols>
    <col min="1" max="2" width="35.7109375" customWidth="1"/>
    <col min="4" max="4" width="13.5703125" bestFit="1" customWidth="1"/>
    <col min="5" max="5" width="14.5703125" bestFit="1" customWidth="1"/>
    <col min="6" max="6" width="12.140625" bestFit="1" customWidth="1"/>
    <col min="7" max="7" width="11.5703125" bestFit="1" customWidth="1"/>
    <col min="8" max="8" width="18.28515625" bestFit="1" customWidth="1"/>
    <col min="9" max="9" width="12.5703125" bestFit="1" customWidth="1"/>
  </cols>
  <sheetData>
    <row r="1" spans="1:9" ht="15.75" thickBot="1">
      <c r="A1" s="234" t="s">
        <v>125</v>
      </c>
      <c r="B1" s="235"/>
      <c r="D1" s="89" t="s">
        <v>126</v>
      </c>
      <c r="E1" s="89" t="s">
        <v>127</v>
      </c>
      <c r="F1" s="89" t="s">
        <v>128</v>
      </c>
      <c r="G1" s="89" t="s">
        <v>129</v>
      </c>
      <c r="H1" s="89" t="s">
        <v>130</v>
      </c>
      <c r="I1" s="89" t="s">
        <v>131</v>
      </c>
    </row>
    <row r="2" spans="1:9" ht="15.75" thickBot="1">
      <c r="A2" s="78" t="s">
        <v>11</v>
      </c>
      <c r="B2" s="83" t="s">
        <v>12</v>
      </c>
      <c r="D2" s="90">
        <v>0</v>
      </c>
      <c r="E2" s="91"/>
      <c r="F2" s="92"/>
      <c r="G2" s="92"/>
      <c r="H2" s="92"/>
      <c r="I2" s="91">
        <v>150000</v>
      </c>
    </row>
    <row r="3" spans="1:9">
      <c r="A3" s="79" t="s">
        <v>132</v>
      </c>
      <c r="B3" s="84">
        <v>120000</v>
      </c>
      <c r="D3" s="93">
        <v>1</v>
      </c>
      <c r="E3" s="94">
        <v>150000</v>
      </c>
      <c r="F3" s="94">
        <v>35609.460064678453</v>
      </c>
      <c r="G3" s="94">
        <v>9000.0000000000091</v>
      </c>
      <c r="H3" s="94">
        <v>26609.460064678446</v>
      </c>
      <c r="I3" s="94">
        <v>123390.53993532155</v>
      </c>
    </row>
    <row r="4" spans="1:9">
      <c r="A4" s="80" t="s">
        <v>133</v>
      </c>
      <c r="B4" s="85">
        <v>150000</v>
      </c>
      <c r="D4" s="93">
        <v>2</v>
      </c>
      <c r="E4" s="94">
        <v>123390.53993532155</v>
      </c>
      <c r="F4" s="94">
        <v>35609.460064678453</v>
      </c>
      <c r="G4" s="94">
        <v>7403.4323961192995</v>
      </c>
      <c r="H4" s="94">
        <v>28206.027668559153</v>
      </c>
      <c r="I4" s="94">
        <v>95184.512266762395</v>
      </c>
    </row>
    <row r="5" spans="1:9">
      <c r="A5" s="81" t="s">
        <v>134</v>
      </c>
      <c r="B5" s="86">
        <f>G9</f>
        <v>0.18698200215594829</v>
      </c>
      <c r="D5" s="93">
        <v>3</v>
      </c>
      <c r="E5" s="94">
        <v>95184.512266762395</v>
      </c>
      <c r="F5" s="94">
        <v>35609.460064678453</v>
      </c>
      <c r="G5" s="94">
        <v>5711.0707360057486</v>
      </c>
      <c r="H5" s="94">
        <v>29898.389328672703</v>
      </c>
      <c r="I5" s="94">
        <v>65286.122938089691</v>
      </c>
    </row>
    <row r="6" spans="1:9">
      <c r="A6" s="81" t="s">
        <v>135</v>
      </c>
      <c r="B6" s="87">
        <v>5</v>
      </c>
      <c r="D6" s="93">
        <v>4</v>
      </c>
      <c r="E6" s="94">
        <v>65286.122938089691</v>
      </c>
      <c r="F6" s="94">
        <v>35609.460064678453</v>
      </c>
      <c r="G6" s="94">
        <v>3917.1673762853848</v>
      </c>
      <c r="H6" s="94">
        <v>31692.292688393067</v>
      </c>
      <c r="I6" s="94">
        <v>33593.830249696621</v>
      </c>
    </row>
    <row r="7" spans="1:9" ht="15.75" thickBot="1">
      <c r="A7" s="82" t="s">
        <v>136</v>
      </c>
      <c r="B7" s="77">
        <v>0</v>
      </c>
      <c r="D7" s="95">
        <v>5</v>
      </c>
      <c r="E7" s="96">
        <v>33593.830249696621</v>
      </c>
      <c r="F7" s="96">
        <v>35609.460064678453</v>
      </c>
      <c r="G7" s="96">
        <v>2015.629814981799</v>
      </c>
      <c r="H7" s="96">
        <v>33593.830249696657</v>
      </c>
      <c r="I7" s="96">
        <v>0</v>
      </c>
    </row>
    <row r="8" spans="1:9" ht="15.75" thickBot="1">
      <c r="D8" s="97"/>
      <c r="E8" s="98"/>
      <c r="F8" s="130" t="s">
        <v>137</v>
      </c>
      <c r="G8" s="131">
        <f>SUM(G3:G7)</f>
        <v>28047.300323392243</v>
      </c>
      <c r="H8" s="99"/>
      <c r="I8" s="100"/>
    </row>
    <row r="9" spans="1:9" ht="15.75" thickBot="1">
      <c r="E9" s="98"/>
      <c r="F9" s="132" t="s">
        <v>138</v>
      </c>
      <c r="G9" s="133">
        <f>G8/I2</f>
        <v>0.18698200215594829</v>
      </c>
      <c r="H9" s="99"/>
      <c r="I9" s="99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9B9A-4600-443F-9616-887CC481B04D}">
  <dimension ref="B1:H21"/>
  <sheetViews>
    <sheetView topLeftCell="C1" workbookViewId="0">
      <selection activeCell="M9" sqref="M9"/>
    </sheetView>
    <sheetView topLeftCell="A9" workbookViewId="1">
      <selection activeCell="A21" sqref="A21"/>
    </sheetView>
    <sheetView topLeftCell="A11" zoomScale="80" zoomScaleNormal="80" workbookViewId="2">
      <selection activeCell="B2" sqref="B2:H21"/>
    </sheetView>
  </sheetViews>
  <sheetFormatPr defaultColWidth="11.42578125" defaultRowHeight="15"/>
  <cols>
    <col min="2" max="2" width="15.7109375" customWidth="1"/>
    <col min="3" max="3" width="15.28515625" customWidth="1"/>
    <col min="4" max="4" width="10.42578125" customWidth="1"/>
    <col min="5" max="5" width="13.85546875" bestFit="1" customWidth="1"/>
    <col min="6" max="6" width="12.85546875" bestFit="1" customWidth="1"/>
    <col min="7" max="7" width="11.28515625" customWidth="1"/>
    <col min="8" max="8" width="14" customWidth="1"/>
  </cols>
  <sheetData>
    <row r="1" spans="2:8" ht="15.75" thickBot="1"/>
    <row r="2" spans="2:8" ht="15.75" thickBot="1">
      <c r="B2" s="240" t="s">
        <v>139</v>
      </c>
      <c r="C2" s="241"/>
      <c r="D2" s="241"/>
      <c r="E2" s="241"/>
      <c r="F2" s="241"/>
      <c r="G2" s="241"/>
      <c r="H2" s="242"/>
    </row>
    <row r="3" spans="2:8">
      <c r="B3" s="266" t="s">
        <v>140</v>
      </c>
      <c r="C3" s="267"/>
      <c r="D3" s="268"/>
      <c r="E3" s="236" t="s">
        <v>7</v>
      </c>
      <c r="F3" s="236" t="s">
        <v>141</v>
      </c>
      <c r="G3" s="238" t="s">
        <v>142</v>
      </c>
      <c r="H3" s="258" t="s">
        <v>143</v>
      </c>
    </row>
    <row r="4" spans="2:8" ht="23.25" customHeight="1" thickBot="1">
      <c r="B4" s="269"/>
      <c r="C4" s="270"/>
      <c r="D4" s="271"/>
      <c r="E4" s="237"/>
      <c r="F4" s="237"/>
      <c r="G4" s="239"/>
      <c r="H4" s="259"/>
    </row>
    <row r="5" spans="2:8" ht="15.75">
      <c r="B5" s="246" t="s">
        <v>144</v>
      </c>
      <c r="C5" s="247"/>
      <c r="D5" s="248"/>
      <c r="E5" s="144"/>
      <c r="F5" s="145"/>
      <c r="G5" s="145"/>
      <c r="H5" s="137"/>
    </row>
    <row r="6" spans="2:8" ht="15.75">
      <c r="B6" s="243" t="s">
        <v>16</v>
      </c>
      <c r="C6" s="244"/>
      <c r="D6" s="245"/>
      <c r="E6" s="134">
        <f>Datos!K3</f>
        <v>100000</v>
      </c>
      <c r="F6" s="134">
        <f>Datos!O3</f>
        <v>20000</v>
      </c>
      <c r="G6" s="141">
        <f>F6/E6</f>
        <v>0.2</v>
      </c>
      <c r="H6" s="138">
        <f>1-G6</f>
        <v>0.8</v>
      </c>
    </row>
    <row r="7" spans="2:8" ht="15.75">
      <c r="B7" s="243" t="s">
        <v>20</v>
      </c>
      <c r="C7" s="244"/>
      <c r="D7" s="245"/>
      <c r="E7" s="134">
        <f>Datos!K4</f>
        <v>30000</v>
      </c>
      <c r="F7" s="134">
        <f>Datos!O4</f>
        <v>5000</v>
      </c>
      <c r="G7" s="141">
        <f t="shared" ref="G7:G20" si="0">F7/E7</f>
        <v>0.16666666666666666</v>
      </c>
      <c r="H7" s="138">
        <f>1-G7</f>
        <v>0.83333333333333337</v>
      </c>
    </row>
    <row r="8" spans="2:8" ht="15.75">
      <c r="B8" s="243" t="s">
        <v>23</v>
      </c>
      <c r="C8" s="244"/>
      <c r="D8" s="245"/>
      <c r="E8" s="134">
        <f>Datos!K5</f>
        <v>30000</v>
      </c>
      <c r="F8" s="134">
        <f>Datos!O5</f>
        <v>7500</v>
      </c>
      <c r="G8" s="141">
        <f t="shared" si="0"/>
        <v>0.25</v>
      </c>
      <c r="H8" s="138">
        <f>1-G8</f>
        <v>0.75</v>
      </c>
    </row>
    <row r="9" spans="2:8" ht="32.25" customHeight="1">
      <c r="B9" s="249" t="s">
        <v>145</v>
      </c>
      <c r="C9" s="250"/>
      <c r="D9" s="251"/>
      <c r="E9" s="134">
        <f>Datos!K6</f>
        <v>40000</v>
      </c>
      <c r="F9" s="134">
        <f>Datos!O6</f>
        <v>7500</v>
      </c>
      <c r="G9" s="141">
        <f t="shared" si="0"/>
        <v>0.1875</v>
      </c>
      <c r="H9" s="138">
        <f t="shared" ref="H9:H20" si="1">1-G9</f>
        <v>0.8125</v>
      </c>
    </row>
    <row r="10" spans="2:8" ht="15.75">
      <c r="B10" s="252" t="s">
        <v>146</v>
      </c>
      <c r="C10" s="253"/>
      <c r="D10" s="254"/>
      <c r="E10" s="147"/>
      <c r="F10" s="148"/>
      <c r="G10" s="146"/>
      <c r="H10" s="138"/>
    </row>
    <row r="11" spans="2:8" ht="32.25" customHeight="1">
      <c r="B11" s="255" t="s">
        <v>28</v>
      </c>
      <c r="C11" s="256"/>
      <c r="D11" s="257"/>
      <c r="E11" s="134">
        <f>Datos!K7</f>
        <v>5000</v>
      </c>
      <c r="F11" s="134">
        <f>Datos!O8</f>
        <v>4000</v>
      </c>
      <c r="G11" s="141">
        <f t="shared" si="0"/>
        <v>0.8</v>
      </c>
      <c r="H11" s="138">
        <f t="shared" si="1"/>
        <v>0.19999999999999996</v>
      </c>
    </row>
    <row r="12" spans="2:8" ht="30.75" customHeight="1">
      <c r="B12" s="255" t="s">
        <v>31</v>
      </c>
      <c r="C12" s="256"/>
      <c r="D12" s="257"/>
      <c r="E12" s="134">
        <f>Datos!K8</f>
        <v>10000</v>
      </c>
      <c r="F12" s="134">
        <f>Datos!O9</f>
        <v>10000</v>
      </c>
      <c r="G12" s="141">
        <f t="shared" si="0"/>
        <v>1</v>
      </c>
      <c r="H12" s="138">
        <f t="shared" si="1"/>
        <v>0</v>
      </c>
    </row>
    <row r="13" spans="2:8" ht="29.25" customHeight="1">
      <c r="B13" s="255" t="s">
        <v>38</v>
      </c>
      <c r="C13" s="256"/>
      <c r="D13" s="257"/>
      <c r="E13" s="134">
        <f>Datos!K9</f>
        <v>25000</v>
      </c>
      <c r="F13" s="134">
        <f>Datos!O10</f>
        <v>6000</v>
      </c>
      <c r="G13" s="141">
        <f t="shared" si="0"/>
        <v>0.24</v>
      </c>
      <c r="H13" s="138">
        <f t="shared" si="1"/>
        <v>0.76</v>
      </c>
    </row>
    <row r="14" spans="2:8" ht="15.75">
      <c r="B14" s="252" t="s">
        <v>147</v>
      </c>
      <c r="C14" s="253"/>
      <c r="D14" s="254"/>
      <c r="E14" s="147"/>
      <c r="F14" s="148"/>
      <c r="G14" s="146"/>
      <c r="H14" s="138"/>
    </row>
    <row r="15" spans="2:8" ht="30.75" customHeight="1">
      <c r="B15" s="255" t="s">
        <v>148</v>
      </c>
      <c r="C15" s="256"/>
      <c r="D15" s="257"/>
      <c r="E15" s="134">
        <f>Datos!K10</f>
        <v>40000</v>
      </c>
      <c r="F15" s="134">
        <f>Datos!O12</f>
        <v>9000</v>
      </c>
      <c r="G15" s="141">
        <f t="shared" si="0"/>
        <v>0.22500000000000001</v>
      </c>
      <c r="H15" s="138">
        <f t="shared" si="1"/>
        <v>0.77500000000000002</v>
      </c>
    </row>
    <row r="16" spans="2:8" ht="15.75">
      <c r="B16" s="243" t="s">
        <v>40</v>
      </c>
      <c r="C16" s="244"/>
      <c r="D16" s="245"/>
      <c r="E16" s="134">
        <f>Datos!K11</f>
        <v>20000</v>
      </c>
      <c r="F16" s="134">
        <f>Datos!O13</f>
        <v>6000</v>
      </c>
      <c r="G16" s="141">
        <f t="shared" si="0"/>
        <v>0.3</v>
      </c>
      <c r="H16" s="138">
        <f t="shared" si="1"/>
        <v>0.7</v>
      </c>
    </row>
    <row r="17" spans="2:8" ht="15.75">
      <c r="B17" s="252" t="s">
        <v>149</v>
      </c>
      <c r="C17" s="253"/>
      <c r="D17" s="254"/>
      <c r="E17" s="147"/>
      <c r="F17" s="148"/>
      <c r="G17" s="146"/>
      <c r="H17" s="138"/>
    </row>
    <row r="18" spans="2:8" ht="30.75" customHeight="1">
      <c r="B18" s="255" t="s">
        <v>28</v>
      </c>
      <c r="C18" s="256"/>
      <c r="D18" s="257"/>
      <c r="E18" s="134">
        <f>Datos!K12</f>
        <v>35000</v>
      </c>
      <c r="F18" s="134">
        <f>Datos!O15</f>
        <v>8000</v>
      </c>
      <c r="G18" s="141">
        <f t="shared" si="0"/>
        <v>0.22857142857142856</v>
      </c>
      <c r="H18" s="138">
        <f t="shared" si="1"/>
        <v>0.77142857142857146</v>
      </c>
    </row>
    <row r="19" spans="2:8" ht="30" customHeight="1">
      <c r="B19" s="255" t="s">
        <v>31</v>
      </c>
      <c r="C19" s="256"/>
      <c r="D19" s="257"/>
      <c r="E19" s="134">
        <f>Datos!K13</f>
        <v>25000</v>
      </c>
      <c r="F19" s="134">
        <f>Datos!O16</f>
        <v>2000</v>
      </c>
      <c r="G19" s="141">
        <f t="shared" si="0"/>
        <v>0.08</v>
      </c>
      <c r="H19" s="138">
        <f t="shared" si="1"/>
        <v>0.92</v>
      </c>
    </row>
    <row r="20" spans="2:8" ht="29.25" customHeight="1" thickBot="1">
      <c r="B20" s="260" t="s">
        <v>38</v>
      </c>
      <c r="C20" s="261"/>
      <c r="D20" s="262"/>
      <c r="E20" s="135">
        <f>Datos!K14</f>
        <v>40000</v>
      </c>
      <c r="F20" s="135">
        <f>Datos!O17</f>
        <v>15000</v>
      </c>
      <c r="G20" s="142">
        <f t="shared" si="0"/>
        <v>0.375</v>
      </c>
      <c r="H20" s="139">
        <f t="shared" si="1"/>
        <v>0.625</v>
      </c>
    </row>
    <row r="21" spans="2:8" ht="16.5" thickBot="1">
      <c r="B21" s="263" t="s">
        <v>150</v>
      </c>
      <c r="C21" s="264"/>
      <c r="D21" s="265"/>
      <c r="E21" s="136">
        <f>SUM(E6:E20)</f>
        <v>400000</v>
      </c>
      <c r="F21" s="136">
        <f>SUM(F6:F20)</f>
        <v>100000</v>
      </c>
      <c r="G21" s="143">
        <f>F21/E21</f>
        <v>0.25</v>
      </c>
      <c r="H21" s="140">
        <f>1-G21</f>
        <v>0.75</v>
      </c>
    </row>
  </sheetData>
  <mergeCells count="23">
    <mergeCell ref="B20:D20"/>
    <mergeCell ref="B21:D21"/>
    <mergeCell ref="B3:D4"/>
    <mergeCell ref="E3:E4"/>
    <mergeCell ref="B17:D17"/>
    <mergeCell ref="B18:D18"/>
    <mergeCell ref="B19:D19"/>
    <mergeCell ref="F3:F4"/>
    <mergeCell ref="G3:G4"/>
    <mergeCell ref="B2:H2"/>
    <mergeCell ref="B16:D16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H3:H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33E9-B8E1-4979-939A-A4FEBE03AC67}">
  <dimension ref="B1:F19"/>
  <sheetViews>
    <sheetView zoomScale="90" zoomScaleNormal="90" workbookViewId="0">
      <selection activeCell="H13" sqref="H13"/>
    </sheetView>
    <sheetView zoomScale="90" zoomScaleNormal="90" workbookViewId="1">
      <selection activeCell="E7" sqref="E7"/>
    </sheetView>
    <sheetView topLeftCell="A19" workbookViewId="2">
      <selection activeCell="B40" sqref="B40"/>
    </sheetView>
  </sheetViews>
  <sheetFormatPr defaultColWidth="11.42578125" defaultRowHeight="15"/>
  <cols>
    <col min="4" max="4" width="14.85546875" customWidth="1"/>
  </cols>
  <sheetData>
    <row r="1" spans="2:6" ht="15.75" thickBot="1"/>
    <row r="2" spans="2:6" ht="19.5" thickBot="1">
      <c r="B2" s="272" t="s">
        <v>151</v>
      </c>
      <c r="C2" s="273"/>
      <c r="D2" s="273"/>
      <c r="E2" s="274"/>
    </row>
    <row r="3" spans="2:6" ht="16.5" thickBot="1">
      <c r="B3" s="275" t="s">
        <v>152</v>
      </c>
      <c r="C3" s="276"/>
      <c r="D3" s="277"/>
      <c r="E3" s="152" t="s">
        <v>153</v>
      </c>
    </row>
    <row r="4" spans="2:6" ht="15.75">
      <c r="B4" s="278" t="str">
        <f>+"+INGRESOS"</f>
        <v>+INGRESOS</v>
      </c>
      <c r="C4" s="279"/>
      <c r="D4" s="280"/>
      <c r="E4" s="153">
        <f>Datos!K15</f>
        <v>400000</v>
      </c>
    </row>
    <row r="5" spans="2:6" ht="16.5" thickBot="1">
      <c r="B5" s="287" t="str">
        <f>+"+SUBVENCIÓNS EXPLOTAC"</f>
        <v>+SUBVENCIÓNS EXPLOTAC</v>
      </c>
      <c r="C5" s="288"/>
      <c r="D5" s="289"/>
      <c r="E5" s="185">
        <v>150000</v>
      </c>
    </row>
    <row r="6" spans="2:6" ht="16.5" thickBot="1">
      <c r="B6" s="290" t="str">
        <f>+"=INGRESOS DE EXPLOTACIÓN"</f>
        <v>=INGRESOS DE EXPLOTACIÓN</v>
      </c>
      <c r="C6" s="291"/>
      <c r="D6" s="292"/>
      <c r="E6" s="155">
        <f>E4+E5</f>
        <v>550000</v>
      </c>
    </row>
    <row r="7" spans="2:6" ht="15.75">
      <c r="B7" s="293" t="str">
        <f>+"-COMPRAS"</f>
        <v>-COMPRAS</v>
      </c>
      <c r="C7" s="294"/>
      <c r="D7" s="295"/>
      <c r="E7" s="153">
        <v>0</v>
      </c>
    </row>
    <row r="8" spans="2:6" ht="15.75">
      <c r="B8" s="281" t="str">
        <f>+"+/-VARIAC. EXISTENCIAS"</f>
        <v>+/-VARIAC. EXISTENCIAS</v>
      </c>
      <c r="C8" s="282"/>
      <c r="D8" s="283"/>
      <c r="E8" s="154">
        <v>0</v>
      </c>
    </row>
    <row r="9" spans="2:6" ht="15.75">
      <c r="B9" s="281" t="str">
        <f>+"-GASTOS PERSONAL"</f>
        <v>-GASTOS PERSONAL</v>
      </c>
      <c r="C9" s="282"/>
      <c r="D9" s="283"/>
      <c r="E9" s="154">
        <f>-Datos!S46</f>
        <v>-104290</v>
      </c>
    </row>
    <row r="10" spans="2:6" ht="15.75">
      <c r="B10" s="281" t="str">
        <f>+"-GASTOS EXPLOTACIÓN"</f>
        <v>-GASTOS EXPLOTACIÓN</v>
      </c>
      <c r="C10" s="282"/>
      <c r="D10" s="283"/>
      <c r="E10" s="154">
        <f>-Datos!O18</f>
        <v>-100000</v>
      </c>
    </row>
    <row r="11" spans="2:6" ht="15.75">
      <c r="B11" s="281" t="str">
        <f>+"-AMORTIZACIONES"</f>
        <v>-AMORTIZACIONES</v>
      </c>
      <c r="C11" s="282"/>
      <c r="D11" s="283"/>
      <c r="E11" s="154">
        <f>-'Cuadro de amortización'!B6</f>
        <v>-5400</v>
      </c>
    </row>
    <row r="12" spans="2:6" ht="15.75">
      <c r="B12" s="281" t="str">
        <f>+"-DOTAC. INSOLVENCIAS"</f>
        <v>-DOTAC. INSOLVENCIAS</v>
      </c>
      <c r="C12" s="282"/>
      <c r="D12" s="283"/>
      <c r="E12" s="154">
        <v>0</v>
      </c>
    </row>
    <row r="13" spans="2:6" ht="15.75">
      <c r="B13" s="284" t="str">
        <f>"=RESULTADO DE EXPLOTACIÓN"</f>
        <v>=RESULTADO DE EXPLOTACIÓN</v>
      </c>
      <c r="C13" s="285"/>
      <c r="D13" s="286"/>
      <c r="E13" s="154">
        <f>E6+E7+E8+E9+E10+E11+E12</f>
        <v>340310</v>
      </c>
    </row>
    <row r="14" spans="2:6" ht="15.75">
      <c r="B14" s="281" t="str">
        <f>+"-RESULTADO FINANCIERO"</f>
        <v>-RESULTADO FINANCIERO</v>
      </c>
      <c r="C14" s="282"/>
      <c r="D14" s="283"/>
      <c r="E14" s="182">
        <f>-'Plan de financiación'!F3</f>
        <v>-35609.460064678453</v>
      </c>
    </row>
    <row r="15" spans="2:6" ht="15.75">
      <c r="B15" s="281" t="str">
        <f>+"-OTROS GASTOS"</f>
        <v>-OTROS GASTOS</v>
      </c>
      <c r="C15" s="282"/>
      <c r="D15" s="283"/>
      <c r="E15" s="182">
        <f>-Datos!J32</f>
        <v>-30100</v>
      </c>
    </row>
    <row r="16" spans="2:6" ht="15.75">
      <c r="B16" s="281" t="str">
        <f>"=RESULTADO ANTES IMPTOS."</f>
        <v>=RESULTADO ANTES IMPTOS.</v>
      </c>
      <c r="C16" s="282"/>
      <c r="D16" s="283"/>
      <c r="E16" s="182">
        <f>SUM(E13+E14+E15)</f>
        <v>274600.53993532155</v>
      </c>
      <c r="F16" s="4"/>
    </row>
    <row r="17" spans="2:5" ht="15.75">
      <c r="B17" s="281" t="str">
        <f>+"-IMPUESTOS"</f>
        <v>-IMPUESTOS</v>
      </c>
      <c r="C17" s="282"/>
      <c r="D17" s="283"/>
      <c r="E17" s="182">
        <f>-E16*0.3</f>
        <v>-82380.161980596458</v>
      </c>
    </row>
    <row r="18" spans="2:5" ht="15.75">
      <c r="B18" s="151" t="s">
        <v>154</v>
      </c>
      <c r="C18" s="150"/>
      <c r="D18" s="149"/>
      <c r="E18" s="183">
        <f>E16+E17</f>
        <v>192220.37795472509</v>
      </c>
    </row>
    <row r="19" spans="2:5" ht="16.5" thickBot="1">
      <c r="B19" s="296" t="s">
        <v>155</v>
      </c>
      <c r="C19" s="297"/>
      <c r="D19" s="298"/>
      <c r="E19" s="184">
        <f>E18+(-E11)+E8</f>
        <v>197620.37795472509</v>
      </c>
    </row>
  </sheetData>
  <mergeCells count="17">
    <mergeCell ref="B19:D19"/>
    <mergeCell ref="B14:D14"/>
    <mergeCell ref="B15:D15"/>
    <mergeCell ref="B16:D16"/>
    <mergeCell ref="B17:D17"/>
    <mergeCell ref="B2:E2"/>
    <mergeCell ref="B3:D3"/>
    <mergeCell ref="B4:D4"/>
    <mergeCell ref="B12:D12"/>
    <mergeCell ref="B13:D13"/>
    <mergeCell ref="B11:D11"/>
    <mergeCell ref="B10:D10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6B07-237A-4C5B-8057-A9B26F747DD4}">
  <dimension ref="C1:J11"/>
  <sheetViews>
    <sheetView topLeftCell="C1" zoomScale="90" zoomScaleNormal="90" workbookViewId="0">
      <selection activeCell="G8" sqref="G8:J8"/>
    </sheetView>
    <sheetView topLeftCell="B1" workbookViewId="1"/>
    <sheetView workbookViewId="2">
      <selection activeCell="C2" sqref="C2:J11"/>
    </sheetView>
  </sheetViews>
  <sheetFormatPr defaultColWidth="11.42578125" defaultRowHeight="15"/>
  <sheetData>
    <row r="1" spans="3:10" ht="15.75" thickBot="1"/>
    <row r="2" spans="3:10">
      <c r="C2" s="316" t="s">
        <v>156</v>
      </c>
      <c r="D2" s="317"/>
      <c r="E2" s="317"/>
      <c r="F2" s="317"/>
      <c r="G2" s="317"/>
      <c r="H2" s="317"/>
      <c r="I2" s="317"/>
      <c r="J2" s="318"/>
    </row>
    <row r="3" spans="3:10" ht="15.75" thickBot="1">
      <c r="C3" s="319"/>
      <c r="D3" s="320"/>
      <c r="E3" s="320"/>
      <c r="F3" s="320"/>
      <c r="G3" s="320"/>
      <c r="H3" s="320"/>
      <c r="I3" s="320"/>
      <c r="J3" s="321"/>
    </row>
    <row r="4" spans="3:10">
      <c r="C4" s="322" t="s">
        <v>11</v>
      </c>
      <c r="D4" s="323"/>
      <c r="E4" s="323"/>
      <c r="F4" s="324"/>
      <c r="G4" s="328" t="s">
        <v>12</v>
      </c>
      <c r="H4" s="323"/>
      <c r="I4" s="323"/>
      <c r="J4" s="324"/>
    </row>
    <row r="5" spans="3:10" ht="15.75" thickBot="1">
      <c r="C5" s="325"/>
      <c r="D5" s="326"/>
      <c r="E5" s="326"/>
      <c r="F5" s="327"/>
      <c r="G5" s="329"/>
      <c r="H5" s="326"/>
      <c r="I5" s="326"/>
      <c r="J5" s="327"/>
    </row>
    <row r="6" spans="3:10" ht="24" customHeight="1">
      <c r="C6" s="330" t="s">
        <v>157</v>
      </c>
      <c r="D6" s="331"/>
      <c r="E6" s="331"/>
      <c r="F6" s="331"/>
      <c r="G6" s="306">
        <f>Datos!K15</f>
        <v>400000</v>
      </c>
      <c r="H6" s="306"/>
      <c r="I6" s="306"/>
      <c r="J6" s="307"/>
    </row>
    <row r="7" spans="3:10" ht="24" customHeight="1">
      <c r="C7" s="299" t="s">
        <v>158</v>
      </c>
      <c r="D7" s="300"/>
      <c r="E7" s="300"/>
      <c r="F7" s="300"/>
      <c r="G7" s="308">
        <f>Datos!O18</f>
        <v>100000</v>
      </c>
      <c r="H7" s="308"/>
      <c r="I7" s="308"/>
      <c r="J7" s="309"/>
    </row>
    <row r="8" spans="3:10" ht="24" customHeight="1">
      <c r="C8" s="299" t="s">
        <v>159</v>
      </c>
      <c r="D8" s="300"/>
      <c r="E8" s="300"/>
      <c r="F8" s="300"/>
      <c r="G8" s="308">
        <f>G6-G7</f>
        <v>300000</v>
      </c>
      <c r="H8" s="308"/>
      <c r="I8" s="308"/>
      <c r="J8" s="309"/>
    </row>
    <row r="9" spans="3:10" ht="24" customHeight="1">
      <c r="C9" s="299" t="s">
        <v>160</v>
      </c>
      <c r="D9" s="301"/>
      <c r="E9" s="301"/>
      <c r="F9" s="301"/>
      <c r="G9" s="310">
        <f>(G6-G7)/G6</f>
        <v>0.75</v>
      </c>
      <c r="H9" s="310"/>
      <c r="I9" s="310"/>
      <c r="J9" s="311"/>
    </row>
    <row r="10" spans="3:10" ht="24" customHeight="1" thickBot="1">
      <c r="C10" s="302" t="s">
        <v>161</v>
      </c>
      <c r="D10" s="303"/>
      <c r="E10" s="303"/>
      <c r="F10" s="303"/>
      <c r="G10" s="312">
        <f>Datos!S22</f>
        <v>127279</v>
      </c>
      <c r="H10" s="312"/>
      <c r="I10" s="312"/>
      <c r="J10" s="313"/>
    </row>
    <row r="11" spans="3:10" ht="24" customHeight="1" thickBot="1">
      <c r="C11" s="304" t="s">
        <v>162</v>
      </c>
      <c r="D11" s="305"/>
      <c r="E11" s="305"/>
      <c r="F11" s="305"/>
      <c r="G11" s="314">
        <f>G10/G9</f>
        <v>169705.33333333334</v>
      </c>
      <c r="H11" s="314"/>
      <c r="I11" s="314"/>
      <c r="J11" s="315"/>
    </row>
  </sheetData>
  <mergeCells count="15">
    <mergeCell ref="C2:J3"/>
    <mergeCell ref="C4:F5"/>
    <mergeCell ref="G4:J5"/>
    <mergeCell ref="C6:F6"/>
    <mergeCell ref="C7:F7"/>
    <mergeCell ref="C8:F8"/>
    <mergeCell ref="C9:F9"/>
    <mergeCell ref="C10:F10"/>
    <mergeCell ref="C11:F11"/>
    <mergeCell ref="G6:J6"/>
    <mergeCell ref="G7:J7"/>
    <mergeCell ref="G8:J8"/>
    <mergeCell ref="G9:J9"/>
    <mergeCell ref="G10:J10"/>
    <mergeCell ref="G11:J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AD82-3C78-4D18-B857-F2997D5ED4BA}">
  <dimension ref="B1:I41"/>
  <sheetViews>
    <sheetView tabSelected="1" topLeftCell="A19" zoomScale="60" zoomScaleNormal="60" workbookViewId="0">
      <selection activeCell="A39" sqref="A39:XFD39"/>
    </sheetView>
    <sheetView tabSelected="1" topLeftCell="B16" zoomScale="70" zoomScaleNormal="70" workbookViewId="1">
      <selection activeCell="F22" sqref="F22"/>
    </sheetView>
    <sheetView topLeftCell="A5" zoomScale="70" zoomScaleNormal="70" workbookViewId="2">
      <selection activeCell="F41" sqref="B2:F41"/>
    </sheetView>
  </sheetViews>
  <sheetFormatPr defaultColWidth="11.42578125" defaultRowHeight="15"/>
  <cols>
    <col min="5" max="5" width="15.7109375" customWidth="1"/>
    <col min="6" max="6" width="51" customWidth="1"/>
    <col min="7" max="7" width="18.5703125" bestFit="1" customWidth="1"/>
    <col min="8" max="8" width="9.42578125" customWidth="1"/>
    <col min="9" max="9" width="15.28515625" customWidth="1"/>
  </cols>
  <sheetData>
    <row r="1" spans="2:9" ht="15.75" thickBot="1"/>
    <row r="2" spans="2:9" ht="15" customHeight="1">
      <c r="B2" s="332" t="s">
        <v>163</v>
      </c>
      <c r="C2" s="333"/>
      <c r="D2" s="333"/>
      <c r="E2" s="333"/>
      <c r="F2" s="334"/>
      <c r="G2" s="5"/>
      <c r="H2" s="5"/>
      <c r="I2" s="5"/>
    </row>
    <row r="3" spans="2:9" ht="15.75" customHeight="1" thickBot="1">
      <c r="B3" s="335"/>
      <c r="C3" s="336"/>
      <c r="D3" s="336"/>
      <c r="E3" s="336"/>
      <c r="F3" s="337"/>
      <c r="G3" s="5"/>
      <c r="H3" s="5"/>
      <c r="I3" s="5"/>
    </row>
    <row r="4" spans="2:9" ht="15" customHeight="1">
      <c r="B4" s="343" t="s">
        <v>164</v>
      </c>
      <c r="C4" s="344"/>
      <c r="D4" s="344"/>
      <c r="E4" s="345"/>
      <c r="F4" s="338" t="s">
        <v>165</v>
      </c>
      <c r="G4" s="6"/>
      <c r="H4" s="6"/>
      <c r="I4" s="6"/>
    </row>
    <row r="5" spans="2:9" ht="15.75" customHeight="1" thickBot="1">
      <c r="B5" s="346"/>
      <c r="C5" s="347"/>
      <c r="D5" s="347"/>
      <c r="E5" s="348"/>
      <c r="F5" s="339"/>
      <c r="G5" s="6"/>
      <c r="H5" s="6"/>
      <c r="I5" s="6"/>
    </row>
    <row r="6" spans="2:9" ht="18">
      <c r="B6" s="353" t="s">
        <v>166</v>
      </c>
      <c r="C6" s="354"/>
      <c r="D6" s="354"/>
      <c r="E6" s="354"/>
      <c r="F6" s="14">
        <f>F7+F8+F9+F10</f>
        <v>22300</v>
      </c>
      <c r="G6" s="12"/>
      <c r="H6" s="12"/>
      <c r="I6" s="12"/>
    </row>
    <row r="7" spans="2:9" ht="18">
      <c r="B7" s="299"/>
      <c r="C7" s="300"/>
      <c r="D7" s="300"/>
      <c r="E7" s="300"/>
      <c r="F7" s="15">
        <v>3200</v>
      </c>
      <c r="G7" s="13"/>
      <c r="H7" s="13"/>
      <c r="I7" s="13"/>
    </row>
    <row r="8" spans="2:9" ht="18">
      <c r="B8" s="299" t="s">
        <v>167</v>
      </c>
      <c r="C8" s="300"/>
      <c r="D8" s="300"/>
      <c r="E8" s="300"/>
      <c r="F8" s="15">
        <v>4000</v>
      </c>
      <c r="G8" s="13"/>
      <c r="H8" s="13"/>
      <c r="I8" s="13"/>
    </row>
    <row r="9" spans="2:9" ht="18">
      <c r="B9" s="299" t="s">
        <v>168</v>
      </c>
      <c r="C9" s="301"/>
      <c r="D9" s="301"/>
      <c r="E9" s="301"/>
      <c r="F9" s="15">
        <v>15900</v>
      </c>
      <c r="G9" s="13"/>
      <c r="H9" s="13"/>
      <c r="I9" s="13"/>
    </row>
    <row r="10" spans="2:9" ht="18">
      <c r="B10" s="299" t="str">
        <f>+"-Amortiz.acumulada"</f>
        <v>-Amortiz.acumulada</v>
      </c>
      <c r="C10" s="300"/>
      <c r="D10" s="300"/>
      <c r="E10" s="300"/>
      <c r="F10" s="175">
        <v>-800</v>
      </c>
      <c r="G10" s="13"/>
      <c r="H10" s="13"/>
      <c r="I10" s="13"/>
    </row>
    <row r="11" spans="2:9" ht="18">
      <c r="B11" s="342" t="s">
        <v>169</v>
      </c>
      <c r="C11" s="300"/>
      <c r="D11" s="300"/>
      <c r="E11" s="300"/>
      <c r="F11" s="16">
        <f>F13+F14+F16</f>
        <v>19100</v>
      </c>
      <c r="G11" s="12"/>
      <c r="H11" s="12"/>
      <c r="I11" s="12"/>
    </row>
    <row r="12" spans="2:9" ht="18">
      <c r="B12" s="299" t="s">
        <v>170</v>
      </c>
      <c r="C12" s="301"/>
      <c r="D12" s="301"/>
      <c r="E12" s="301"/>
      <c r="F12" s="15">
        <v>0</v>
      </c>
      <c r="G12" s="13"/>
      <c r="H12" s="13"/>
      <c r="I12" s="13"/>
    </row>
    <row r="13" spans="2:9" ht="18">
      <c r="B13" s="299" t="s">
        <v>123</v>
      </c>
      <c r="C13" s="301"/>
      <c r="D13" s="301"/>
      <c r="E13" s="301"/>
      <c r="F13" s="15">
        <v>18000</v>
      </c>
      <c r="G13" s="13"/>
      <c r="H13" s="13"/>
      <c r="I13" s="13"/>
    </row>
    <row r="14" spans="2:9" ht="18">
      <c r="B14" s="299" t="s">
        <v>171</v>
      </c>
      <c r="C14" s="301"/>
      <c r="D14" s="301"/>
      <c r="E14" s="301"/>
      <c r="F14" s="15">
        <v>6000</v>
      </c>
      <c r="G14" s="13"/>
      <c r="H14" s="13"/>
      <c r="I14" s="13"/>
    </row>
    <row r="15" spans="2:9" ht="18">
      <c r="B15" s="299" t="s">
        <v>172</v>
      </c>
      <c r="C15" s="301"/>
      <c r="D15" s="301"/>
      <c r="E15" s="301"/>
      <c r="F15" s="15">
        <v>0</v>
      </c>
      <c r="G15" s="13"/>
      <c r="H15" s="13"/>
      <c r="I15" s="13"/>
    </row>
    <row r="16" spans="2:9" ht="18">
      <c r="B16" s="299" t="str">
        <f>+"-Amortización acumulada"</f>
        <v>-Amortización acumulada</v>
      </c>
      <c r="C16" s="301"/>
      <c r="D16" s="301"/>
      <c r="E16" s="301"/>
      <c r="F16" s="15">
        <v>-4900</v>
      </c>
      <c r="G16" s="13"/>
      <c r="H16" s="13"/>
      <c r="I16" s="13"/>
    </row>
    <row r="17" spans="2:9" ht="18">
      <c r="B17" s="342" t="s">
        <v>173</v>
      </c>
      <c r="C17" s="300"/>
      <c r="D17" s="300"/>
      <c r="E17" s="300"/>
      <c r="F17" s="16">
        <f>SUM(F18:F19)</f>
        <v>380000</v>
      </c>
      <c r="G17" s="12"/>
      <c r="H17" s="12"/>
      <c r="I17" s="12"/>
    </row>
    <row r="18" spans="2:9" ht="18">
      <c r="B18" s="299" t="s">
        <v>174</v>
      </c>
      <c r="C18" s="301"/>
      <c r="D18" s="301"/>
      <c r="E18" s="301"/>
      <c r="F18" s="15">
        <v>320000</v>
      </c>
      <c r="G18" s="13"/>
      <c r="H18" s="13"/>
      <c r="I18" s="13"/>
    </row>
    <row r="19" spans="2:9" ht="18">
      <c r="B19" s="299" t="s">
        <v>175</v>
      </c>
      <c r="C19" s="300"/>
      <c r="D19" s="300"/>
      <c r="E19" s="300"/>
      <c r="F19" s="15">
        <v>60000</v>
      </c>
      <c r="G19" s="13"/>
      <c r="H19" s="13"/>
      <c r="I19" s="13"/>
    </row>
    <row r="20" spans="2:9" ht="18.75" thickBot="1">
      <c r="B20" s="342" t="s">
        <v>176</v>
      </c>
      <c r="C20" s="300"/>
      <c r="D20" s="300"/>
      <c r="E20" s="300"/>
      <c r="F20" s="15">
        <v>300000</v>
      </c>
      <c r="G20" s="13"/>
      <c r="H20" s="13"/>
      <c r="I20" s="13"/>
    </row>
    <row r="21" spans="2:9" ht="18">
      <c r="B21" s="299" t="str">
        <f>+"-Provisión insolvencias"</f>
        <v>-Provisión insolvencias</v>
      </c>
      <c r="C21" s="301"/>
      <c r="D21" s="301"/>
      <c r="E21" s="301"/>
      <c r="F21" s="15">
        <v>0</v>
      </c>
      <c r="G21" s="13"/>
      <c r="H21" s="13"/>
      <c r="I21" s="13"/>
    </row>
    <row r="22" spans="2:9" ht="18">
      <c r="B22" s="342" t="s">
        <v>177</v>
      </c>
      <c r="C22" s="300"/>
      <c r="D22" s="300"/>
      <c r="E22" s="300"/>
      <c r="F22" s="15">
        <v>135000</v>
      </c>
      <c r="G22" s="13"/>
      <c r="H22" s="13"/>
      <c r="I22" s="13"/>
    </row>
    <row r="23" spans="2:9" ht="18.75" thickBot="1">
      <c r="B23" s="349" t="s">
        <v>178</v>
      </c>
      <c r="C23" s="341"/>
      <c r="D23" s="341"/>
      <c r="E23" s="341"/>
      <c r="F23" s="17">
        <v>-175000</v>
      </c>
      <c r="G23" s="13"/>
      <c r="H23" s="13"/>
      <c r="I23" s="13"/>
    </row>
    <row r="24" spans="2:9" ht="18.75" thickBot="1">
      <c r="B24" s="350" t="s">
        <v>179</v>
      </c>
      <c r="C24" s="351"/>
      <c r="D24" s="351"/>
      <c r="E24" s="352"/>
      <c r="F24" s="18">
        <v>342300</v>
      </c>
      <c r="G24" s="176"/>
      <c r="H24" s="11"/>
    </row>
    <row r="26" spans="2:9" ht="15.75" thickBot="1"/>
    <row r="27" spans="2:9" ht="15" customHeight="1">
      <c r="B27" s="332" t="s">
        <v>180</v>
      </c>
      <c r="C27" s="333"/>
      <c r="D27" s="333"/>
      <c r="E27" s="333"/>
      <c r="F27" s="334"/>
      <c r="G27" s="5"/>
      <c r="H27" s="5"/>
      <c r="I27" s="5"/>
    </row>
    <row r="28" spans="2:9" ht="15.75" customHeight="1" thickBot="1">
      <c r="B28" s="335"/>
      <c r="C28" s="336"/>
      <c r="D28" s="336"/>
      <c r="E28" s="336"/>
      <c r="F28" s="337"/>
      <c r="G28" s="5"/>
      <c r="H28" s="5"/>
      <c r="I28" s="5"/>
    </row>
    <row r="29" spans="2:9" ht="15" customHeight="1">
      <c r="B29" s="343" t="s">
        <v>181</v>
      </c>
      <c r="C29" s="344"/>
      <c r="D29" s="344"/>
      <c r="E29" s="345"/>
      <c r="F29" s="338" t="s">
        <v>165</v>
      </c>
      <c r="G29" s="6"/>
      <c r="H29" s="6"/>
      <c r="I29" s="6"/>
    </row>
    <row r="30" spans="2:9" ht="15.75" customHeight="1" thickBot="1">
      <c r="B30" s="346"/>
      <c r="C30" s="347"/>
      <c r="D30" s="347"/>
      <c r="E30" s="348"/>
      <c r="F30" s="339"/>
      <c r="G30" s="6"/>
      <c r="H30" s="6"/>
      <c r="I30" s="6"/>
    </row>
    <row r="31" spans="2:9" ht="18">
      <c r="B31" s="342" t="s">
        <v>182</v>
      </c>
      <c r="C31" s="300"/>
      <c r="D31" s="300"/>
      <c r="E31" s="300"/>
      <c r="F31" s="177">
        <v>226142</v>
      </c>
      <c r="G31" s="7"/>
      <c r="H31" s="7"/>
      <c r="I31" s="7"/>
    </row>
    <row r="32" spans="2:9" ht="18">
      <c r="B32" s="299" t="s">
        <v>183</v>
      </c>
      <c r="C32" s="300"/>
      <c r="D32" s="300"/>
      <c r="E32" s="300"/>
      <c r="F32" s="15">
        <v>120000</v>
      </c>
      <c r="G32" s="8"/>
      <c r="H32" s="8"/>
      <c r="I32" s="8"/>
    </row>
    <row r="33" spans="2:9" ht="18.75" thickBot="1">
      <c r="B33" s="299" t="s">
        <v>184</v>
      </c>
      <c r="C33" s="300"/>
      <c r="D33" s="300"/>
      <c r="E33" s="300"/>
      <c r="F33" s="15"/>
      <c r="G33" s="9"/>
      <c r="H33" s="9"/>
      <c r="I33" s="9"/>
    </row>
    <row r="34" spans="2:9" ht="18">
      <c r="B34" s="299" t="s">
        <v>185</v>
      </c>
      <c r="C34" s="301"/>
      <c r="D34" s="301"/>
      <c r="E34" s="301"/>
      <c r="F34" s="15">
        <v>106142</v>
      </c>
      <c r="G34" s="10"/>
      <c r="H34" s="10"/>
      <c r="I34" s="10"/>
    </row>
    <row r="35" spans="2:9" ht="18">
      <c r="B35" s="299" t="s">
        <v>186</v>
      </c>
      <c r="C35" s="300"/>
      <c r="D35" s="300"/>
      <c r="E35" s="300"/>
      <c r="F35" s="15">
        <v>123479</v>
      </c>
      <c r="G35" s="8"/>
      <c r="H35" s="10"/>
      <c r="I35" s="10"/>
    </row>
    <row r="36" spans="2:9" ht="18">
      <c r="B36" s="342" t="s">
        <v>187</v>
      </c>
      <c r="C36" s="300"/>
      <c r="D36" s="300"/>
      <c r="E36" s="300"/>
      <c r="F36" s="16">
        <v>37000</v>
      </c>
      <c r="G36" s="7"/>
      <c r="H36" s="7"/>
      <c r="I36" s="7"/>
    </row>
    <row r="37" spans="2:9" ht="18">
      <c r="B37" s="299" t="s">
        <v>188</v>
      </c>
      <c r="C37" s="301"/>
      <c r="D37" s="301"/>
      <c r="E37" s="301"/>
      <c r="F37" s="16"/>
      <c r="G37" s="6"/>
      <c r="H37" s="6"/>
      <c r="I37" s="6"/>
    </row>
    <row r="38" spans="2:9" ht="18">
      <c r="B38" s="299" t="s">
        <v>189</v>
      </c>
      <c r="C38" s="301"/>
      <c r="D38" s="301"/>
      <c r="E38" s="301"/>
      <c r="F38" s="15"/>
      <c r="G38" s="9"/>
      <c r="H38" s="9"/>
      <c r="I38" s="9"/>
    </row>
    <row r="39" spans="2:9" ht="18">
      <c r="B39" s="299" t="s">
        <v>190</v>
      </c>
      <c r="C39" s="301"/>
      <c r="D39" s="301"/>
      <c r="E39" s="301"/>
      <c r="F39" s="15">
        <v>12000</v>
      </c>
      <c r="G39" s="8"/>
      <c r="H39" s="8"/>
      <c r="I39" s="8"/>
    </row>
    <row r="40" spans="2:9" ht="18">
      <c r="B40" s="299" t="s">
        <v>191</v>
      </c>
      <c r="C40" s="301"/>
      <c r="D40" s="301"/>
      <c r="E40" s="301"/>
      <c r="F40" s="178">
        <v>25000</v>
      </c>
      <c r="G40" s="8"/>
      <c r="H40" s="8"/>
      <c r="I40" s="8"/>
    </row>
    <row r="41" spans="2:9" ht="18.75" thickBot="1">
      <c r="B41" s="340" t="s">
        <v>192</v>
      </c>
      <c r="C41" s="341"/>
      <c r="D41" s="341"/>
      <c r="E41" s="341"/>
      <c r="F41" s="179">
        <v>386621</v>
      </c>
      <c r="G41" s="19"/>
      <c r="H41" s="11"/>
      <c r="I41" s="11"/>
    </row>
  </sheetData>
  <mergeCells count="36">
    <mergeCell ref="B4:E5"/>
    <mergeCell ref="B6:E6"/>
    <mergeCell ref="B2:F3"/>
    <mergeCell ref="F4:F5"/>
    <mergeCell ref="B11:E11"/>
    <mergeCell ref="B8:E8"/>
    <mergeCell ref="B9:E9"/>
    <mergeCell ref="B10:E10"/>
    <mergeCell ref="B7:E7"/>
    <mergeCell ref="B23:E23"/>
    <mergeCell ref="B24:E24"/>
    <mergeCell ref="B19:E19"/>
    <mergeCell ref="B20:E20"/>
    <mergeCell ref="B21:E21"/>
    <mergeCell ref="B12:E12"/>
    <mergeCell ref="B13:E13"/>
    <mergeCell ref="B14:E14"/>
    <mergeCell ref="B15:E15"/>
    <mergeCell ref="B22:E22"/>
    <mergeCell ref="B16:E16"/>
    <mergeCell ref="B17:E17"/>
    <mergeCell ref="B18:E18"/>
    <mergeCell ref="B27:F28"/>
    <mergeCell ref="F29:F30"/>
    <mergeCell ref="B41:E41"/>
    <mergeCell ref="B38:E38"/>
    <mergeCell ref="B39:E39"/>
    <mergeCell ref="B40:E40"/>
    <mergeCell ref="B35:E35"/>
    <mergeCell ref="B36:E36"/>
    <mergeCell ref="B37:E37"/>
    <mergeCell ref="B32:E32"/>
    <mergeCell ref="B33:E33"/>
    <mergeCell ref="B34:E34"/>
    <mergeCell ref="B31:E31"/>
    <mergeCell ref="B29:E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B152-B492-4E96-8A9C-F7188B51A3DA}">
  <dimension ref="A1:J27"/>
  <sheetViews>
    <sheetView topLeftCell="B1" zoomScale="70" zoomScaleNormal="70" workbookViewId="0">
      <selection activeCell="B4" sqref="B4:I5"/>
    </sheetView>
    <sheetView topLeftCell="B4" zoomScale="70" zoomScaleNormal="70" workbookViewId="1">
      <selection activeCell="G35" sqref="G35"/>
    </sheetView>
    <sheetView topLeftCell="A9" workbookViewId="2">
      <selection activeCell="B4" sqref="B4:I27"/>
    </sheetView>
  </sheetViews>
  <sheetFormatPr defaultColWidth="11.42578125" defaultRowHeight="15"/>
  <cols>
    <col min="5" max="5" width="15.42578125" customWidth="1"/>
    <col min="6" max="6" width="16.85546875" customWidth="1"/>
    <col min="7" max="7" width="16.7109375" customWidth="1"/>
    <col min="8" max="8" width="17" customWidth="1"/>
    <col min="9" max="9" width="25.7109375" bestFit="1" customWidth="1"/>
    <col min="10" max="10" width="15.7109375" bestFit="1" customWidth="1"/>
  </cols>
  <sheetData>
    <row r="1" spans="1:10" ht="18.75">
      <c r="A1" s="388"/>
      <c r="B1" s="388"/>
      <c r="C1" s="388"/>
      <c r="D1" s="388"/>
      <c r="E1" s="388"/>
      <c r="F1" s="388"/>
    </row>
    <row r="3" spans="1:10" ht="15.75" thickBot="1"/>
    <row r="4" spans="1:10">
      <c r="B4" s="389" t="s">
        <v>193</v>
      </c>
      <c r="C4" s="390"/>
      <c r="D4" s="390"/>
      <c r="E4" s="390"/>
      <c r="F4" s="390"/>
      <c r="G4" s="390"/>
      <c r="H4" s="390"/>
      <c r="I4" s="391"/>
    </row>
    <row r="5" spans="1:10" ht="15.75" thickBot="1">
      <c r="B5" s="392"/>
      <c r="C5" s="393"/>
      <c r="D5" s="393"/>
      <c r="E5" s="393"/>
      <c r="F5" s="393"/>
      <c r="G5" s="393"/>
      <c r="H5" s="393"/>
      <c r="I5" s="394"/>
    </row>
    <row r="6" spans="1:10">
      <c r="B6" s="395" t="s">
        <v>152</v>
      </c>
      <c r="C6" s="396"/>
      <c r="D6" s="396"/>
      <c r="E6" s="396"/>
      <c r="F6" s="396"/>
      <c r="G6" s="396"/>
      <c r="H6" s="397"/>
      <c r="I6" s="401">
        <v>1</v>
      </c>
    </row>
    <row r="7" spans="1:10" ht="15.75" thickBot="1">
      <c r="B7" s="398"/>
      <c r="C7" s="399"/>
      <c r="D7" s="399"/>
      <c r="E7" s="399"/>
      <c r="F7" s="399"/>
      <c r="G7" s="399"/>
      <c r="H7" s="400"/>
      <c r="I7" s="402"/>
    </row>
    <row r="8" spans="1:10" ht="18.75" thickBot="1">
      <c r="B8" s="403" t="s">
        <v>194</v>
      </c>
      <c r="C8" s="404"/>
      <c r="D8" s="404"/>
      <c r="E8" s="404"/>
      <c r="F8" s="404"/>
      <c r="G8" s="404"/>
      <c r="H8" s="405"/>
      <c r="I8" s="180"/>
    </row>
    <row r="9" spans="1:10">
      <c r="B9" s="371" t="s">
        <v>195</v>
      </c>
      <c r="C9" s="372"/>
      <c r="D9" s="372"/>
      <c r="E9" s="366" t="s">
        <v>196</v>
      </c>
      <c r="F9" s="366"/>
      <c r="G9" s="366"/>
      <c r="H9" s="367"/>
      <c r="I9" s="380">
        <f>'Balance de situación'!F19+'Balance de situación'!F20+'Balance de situación'!F23-'Balance de situación'!F36</f>
        <v>148000</v>
      </c>
    </row>
    <row r="10" spans="1:10">
      <c r="B10" s="373"/>
      <c r="C10" s="374"/>
      <c r="D10" s="374"/>
      <c r="E10" s="364"/>
      <c r="F10" s="364"/>
      <c r="G10" s="364"/>
      <c r="H10" s="365"/>
      <c r="I10" s="381"/>
      <c r="J10" s="20"/>
    </row>
    <row r="11" spans="1:10">
      <c r="B11" s="375" t="s">
        <v>197</v>
      </c>
      <c r="C11" s="376"/>
      <c r="D11" s="376"/>
      <c r="E11" s="364" t="s">
        <v>198</v>
      </c>
      <c r="F11" s="364"/>
      <c r="G11" s="364"/>
      <c r="H11" s="365"/>
      <c r="I11" s="379">
        <f>('Cuenta de resultados'!E16+Datos!S19)/'Balance de situación'!F24</f>
        <v>0.8264082381984269</v>
      </c>
    </row>
    <row r="12" spans="1:10">
      <c r="B12" s="375"/>
      <c r="C12" s="376"/>
      <c r="D12" s="376"/>
      <c r="E12" s="364" t="s">
        <v>199</v>
      </c>
      <c r="F12" s="364"/>
      <c r="G12" s="364"/>
      <c r="H12" s="365"/>
      <c r="I12" s="379"/>
    </row>
    <row r="13" spans="1:10" ht="15.75" customHeight="1">
      <c r="B13" s="375" t="s">
        <v>200</v>
      </c>
      <c r="C13" s="376"/>
      <c r="D13" s="376"/>
      <c r="E13" s="364" t="s">
        <v>198</v>
      </c>
      <c r="F13" s="364"/>
      <c r="G13" s="364"/>
      <c r="H13" s="365"/>
      <c r="I13" s="382">
        <f>('Cuenta de resultados'!E16+Datos!S19)/Datos!K15</f>
        <v>0.70719884983830383</v>
      </c>
    </row>
    <row r="14" spans="1:10" ht="15.75" customHeight="1">
      <c r="B14" s="375"/>
      <c r="C14" s="376"/>
      <c r="D14" s="376"/>
      <c r="E14" s="364" t="s">
        <v>201</v>
      </c>
      <c r="F14" s="364"/>
      <c r="G14" s="364"/>
      <c r="H14" s="365"/>
      <c r="I14" s="383"/>
    </row>
    <row r="15" spans="1:10" ht="15.75" customHeight="1">
      <c r="B15" s="375" t="s">
        <v>202</v>
      </c>
      <c r="C15" s="376"/>
      <c r="D15" s="376"/>
      <c r="E15" s="364" t="s">
        <v>201</v>
      </c>
      <c r="F15" s="364"/>
      <c r="G15" s="364"/>
      <c r="H15" s="365"/>
      <c r="I15" s="384">
        <f>Datos!K15/'Balance de situación'!F24</f>
        <v>1.1685655857434998</v>
      </c>
    </row>
    <row r="16" spans="1:10" ht="21.75" customHeight="1" thickBot="1">
      <c r="B16" s="377"/>
      <c r="C16" s="378"/>
      <c r="D16" s="378"/>
      <c r="E16" s="362" t="s">
        <v>199</v>
      </c>
      <c r="F16" s="362"/>
      <c r="G16" s="362"/>
      <c r="H16" s="363"/>
      <c r="I16" s="385"/>
    </row>
    <row r="17" spans="2:9" ht="18.75" thickBot="1">
      <c r="B17" s="355" t="s">
        <v>203</v>
      </c>
      <c r="C17" s="356"/>
      <c r="D17" s="356"/>
      <c r="E17" s="356"/>
      <c r="F17" s="356"/>
      <c r="G17" s="356"/>
      <c r="H17" s="357"/>
      <c r="I17" s="180"/>
    </row>
    <row r="18" spans="2:9" ht="15" customHeight="1">
      <c r="B18" s="386" t="s">
        <v>204</v>
      </c>
      <c r="C18" s="387"/>
      <c r="D18" s="387"/>
      <c r="E18" s="366" t="s">
        <v>205</v>
      </c>
      <c r="F18" s="366"/>
      <c r="G18" s="366"/>
      <c r="H18" s="367"/>
      <c r="I18" s="368">
        <f>'Cuenta de resultados'!E18/'Balance de situación'!F31</f>
        <v>0.84999857591568606</v>
      </c>
    </row>
    <row r="19" spans="2:9" ht="15" customHeight="1">
      <c r="B19" s="375"/>
      <c r="C19" s="376"/>
      <c r="D19" s="376"/>
      <c r="E19" s="364" t="s">
        <v>206</v>
      </c>
      <c r="F19" s="364"/>
      <c r="G19" s="364"/>
      <c r="H19" s="365"/>
      <c r="I19" s="369"/>
    </row>
    <row r="20" spans="2:9">
      <c r="B20" s="375" t="s">
        <v>207</v>
      </c>
      <c r="C20" s="376"/>
      <c r="D20" s="376"/>
      <c r="E20" s="364" t="s">
        <v>208</v>
      </c>
      <c r="F20" s="364"/>
      <c r="G20" s="364"/>
      <c r="H20" s="365"/>
      <c r="I20" s="370">
        <f>('Balance de situación'!F36+'Balance de situación'!F35)/'Balance de situación'!F31</f>
        <v>0.70963819193250255</v>
      </c>
    </row>
    <row r="21" spans="2:9">
      <c r="B21" s="375"/>
      <c r="C21" s="376"/>
      <c r="D21" s="376"/>
      <c r="E21" s="364" t="s">
        <v>206</v>
      </c>
      <c r="F21" s="364"/>
      <c r="G21" s="364"/>
      <c r="H21" s="365"/>
      <c r="I21" s="370"/>
    </row>
    <row r="22" spans="2:9">
      <c r="B22" s="375" t="s">
        <v>209</v>
      </c>
      <c r="C22" s="376"/>
      <c r="D22" s="376"/>
      <c r="E22" s="364" t="s">
        <v>210</v>
      </c>
      <c r="F22" s="364"/>
      <c r="G22" s="364"/>
      <c r="H22" s="365"/>
      <c r="I22" s="358">
        <f>Datos!S19/('Balance de situación'!F35+'Balance de situación'!F37)</f>
        <v>6.7047838093926906E-2</v>
      </c>
    </row>
    <row r="23" spans="2:9">
      <c r="B23" s="375"/>
      <c r="C23" s="376"/>
      <c r="D23" s="376"/>
      <c r="E23" s="364" t="s">
        <v>211</v>
      </c>
      <c r="F23" s="364"/>
      <c r="G23" s="364"/>
      <c r="H23" s="365"/>
      <c r="I23" s="358"/>
    </row>
    <row r="24" spans="2:9">
      <c r="B24" s="375" t="s">
        <v>212</v>
      </c>
      <c r="C24" s="376"/>
      <c r="D24" s="376"/>
      <c r="E24" s="364" t="s">
        <v>213</v>
      </c>
      <c r="F24" s="364"/>
      <c r="G24" s="364"/>
      <c r="H24" s="365"/>
      <c r="I24" s="359">
        <f>('Balance de situación'!F20+'Balance de situación'!F23)/'Balance de situación'!F36</f>
        <v>3.3783783783783785</v>
      </c>
    </row>
    <row r="25" spans="2:9">
      <c r="B25" s="375"/>
      <c r="C25" s="376"/>
      <c r="D25" s="376"/>
      <c r="E25" s="364" t="s">
        <v>214</v>
      </c>
      <c r="F25" s="364"/>
      <c r="G25" s="364"/>
      <c r="H25" s="365"/>
      <c r="I25" s="359"/>
    </row>
    <row r="26" spans="2:9">
      <c r="B26" s="375" t="s">
        <v>215</v>
      </c>
      <c r="C26" s="376"/>
      <c r="D26" s="376"/>
      <c r="E26" s="364" t="s">
        <v>216</v>
      </c>
      <c r="F26" s="364"/>
      <c r="G26" s="364"/>
      <c r="H26" s="365"/>
      <c r="I26" s="360">
        <f>'Balance de situación'!F19/'Balance de situación'!F36</f>
        <v>1.6216216216216217</v>
      </c>
    </row>
    <row r="27" spans="2:9" ht="15.75" thickBot="1">
      <c r="B27" s="377"/>
      <c r="C27" s="378"/>
      <c r="D27" s="378"/>
      <c r="E27" s="362" t="s">
        <v>214</v>
      </c>
      <c r="F27" s="362"/>
      <c r="G27" s="362"/>
      <c r="H27" s="363"/>
      <c r="I27" s="361"/>
    </row>
  </sheetData>
  <mergeCells count="41">
    <mergeCell ref="A1:F1"/>
    <mergeCell ref="B4:I5"/>
    <mergeCell ref="B6:H7"/>
    <mergeCell ref="I6:I7"/>
    <mergeCell ref="B8:H8"/>
    <mergeCell ref="B18:D19"/>
    <mergeCell ref="B20:D21"/>
    <mergeCell ref="B22:D23"/>
    <mergeCell ref="B24:D25"/>
    <mergeCell ref="B26:D27"/>
    <mergeCell ref="I11:I12"/>
    <mergeCell ref="E16:H16"/>
    <mergeCell ref="I9:I10"/>
    <mergeCell ref="E11:H11"/>
    <mergeCell ref="E12:H12"/>
    <mergeCell ref="I13:I14"/>
    <mergeCell ref="I15:I16"/>
    <mergeCell ref="B9:D10"/>
    <mergeCell ref="B11:D12"/>
    <mergeCell ref="B13:D14"/>
    <mergeCell ref="B15:D16"/>
    <mergeCell ref="E9:H10"/>
    <mergeCell ref="E13:H13"/>
    <mergeCell ref="E14:H14"/>
    <mergeCell ref="E15:H15"/>
    <mergeCell ref="B17:H17"/>
    <mergeCell ref="I22:I23"/>
    <mergeCell ref="I24:I25"/>
    <mergeCell ref="I26:I27"/>
    <mergeCell ref="E27:H27"/>
    <mergeCell ref="E22:H22"/>
    <mergeCell ref="E23:H23"/>
    <mergeCell ref="E24:H24"/>
    <mergeCell ref="E25:H25"/>
    <mergeCell ref="E26:H26"/>
    <mergeCell ref="E18:H18"/>
    <mergeCell ref="E19:H19"/>
    <mergeCell ref="E20:H20"/>
    <mergeCell ref="E21:H21"/>
    <mergeCell ref="I18:I19"/>
    <mergeCell ref="I20:I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9248B89D5BBB47B9607489864239B1" ma:contentTypeVersion="9" ma:contentTypeDescription="Crear nuevo documento." ma:contentTypeScope="" ma:versionID="ac6fb3000a5291b448094a03e5048819">
  <xsd:schema xmlns:xsd="http://www.w3.org/2001/XMLSchema" xmlns:xs="http://www.w3.org/2001/XMLSchema" xmlns:p="http://schemas.microsoft.com/office/2006/metadata/properties" xmlns:ns2="09644efa-05bd-4675-84f0-7e6d81260048" targetNamespace="http://schemas.microsoft.com/office/2006/metadata/properties" ma:root="true" ma:fieldsID="b0047653a038d5fb6f470e12675d08f6" ns2:_="">
    <xsd:import namespace="09644efa-05bd-4675-84f0-7e6d8126004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44efa-05bd-4675-84f0-7e6d8126004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9644efa-05bd-4675-84f0-7e6d81260048" xsi:nil="true"/>
  </documentManagement>
</p:properties>
</file>

<file path=customXml/itemProps1.xml><?xml version="1.0" encoding="utf-8"?>
<ds:datastoreItem xmlns:ds="http://schemas.openxmlformats.org/officeDocument/2006/customXml" ds:itemID="{FCF43FD1-69DB-48B6-BED4-50BB24DABA97}"/>
</file>

<file path=customXml/itemProps2.xml><?xml version="1.0" encoding="utf-8"?>
<ds:datastoreItem xmlns:ds="http://schemas.openxmlformats.org/officeDocument/2006/customXml" ds:itemID="{61C162E8-D024-4B9D-848B-71246F9CD771}"/>
</file>

<file path=customXml/itemProps3.xml><?xml version="1.0" encoding="utf-8"?>
<ds:datastoreItem xmlns:ds="http://schemas.openxmlformats.org/officeDocument/2006/customXml" ds:itemID="{7D998C11-9411-42FA-B58B-ACEF249305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TREJO CORTES</dc:creator>
  <cp:keywords/>
  <dc:description/>
  <cp:lastModifiedBy>JAVIER TREJO CORTES</cp:lastModifiedBy>
  <cp:revision/>
  <dcterms:created xsi:type="dcterms:W3CDTF">2021-11-10T02:21:44Z</dcterms:created>
  <dcterms:modified xsi:type="dcterms:W3CDTF">2021-11-22T18:02:15Z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0x010100849248B89D5BBB47B9607489864239B1</vt:lpwstr>
  </property>
</Properties>
</file>