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120" yWindow="75" windowWidth="16155" windowHeight="11760" activeTab="1" xr2:uid="{00000000-000D-0000-FFFF-FFFF00000000}"/>
  </bookViews>
  <sheets>
    <sheet name="AUDCurve" sheetId="4" r:id="rId1"/>
    <sheet name="aaSwap_cpn" sheetId="1" r:id="rId2"/>
    <sheet name="FincadCurve" sheetId="2" r:id="rId3"/>
  </sheets>
  <calcPr calcId="171027" calcOnSave="0"/>
</workbook>
</file>

<file path=xl/calcChain.xml><?xml version="1.0" encoding="utf-8"?>
<calcChain xmlns="http://schemas.openxmlformats.org/spreadsheetml/2006/main">
  <c r="B11" i="1" l="1"/>
  <c r="B7" i="1"/>
  <c r="B5" i="1"/>
  <c r="B3" i="1"/>
  <c r="B2" i="1"/>
  <c r="B1" i="1"/>
  <c r="B20" i="1"/>
  <c r="H3" i="4" l="1"/>
  <c r="D46" i="4" s="1"/>
  <c r="G46" i="4" s="1"/>
  <c r="C4" i="4"/>
  <c r="C48" i="4"/>
  <c r="C49" i="4" s="1"/>
  <c r="C50" i="4" s="1"/>
  <c r="C51" i="4" s="1"/>
  <c r="C52" i="4" s="1"/>
  <c r="C53" i="4" s="1"/>
  <c r="G6" i="2"/>
  <c r="G7" i="2" s="1"/>
  <c r="G11" i="2"/>
  <c r="D57" i="4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C56" i="4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B37" i="4"/>
  <c r="G45" i="4" s="1"/>
  <c r="B36" i="4"/>
  <c r="G42" i="4" s="1"/>
  <c r="B35" i="4"/>
  <c r="G41" i="4" s="1"/>
  <c r="B34" i="4"/>
  <c r="G38" i="4" s="1"/>
  <c r="B33" i="4"/>
  <c r="B32" i="4"/>
  <c r="B31" i="4"/>
  <c r="G33" i="4" s="1"/>
  <c r="B30" i="4"/>
  <c r="G31" i="4" s="1"/>
  <c r="C15" i="4"/>
  <c r="C16" i="4" s="1"/>
  <c r="C17" i="4" s="1"/>
  <c r="H14" i="4"/>
  <c r="H8" i="4"/>
  <c r="C8" i="4"/>
  <c r="G4" i="2"/>
  <c r="D42" i="4"/>
  <c r="G55" i="4" a="1"/>
  <c r="A55" i="4" a="1"/>
  <c r="H1" i="4"/>
  <c r="C1" i="4"/>
  <c r="F63" i="4"/>
  <c r="H55" i="4" l="1"/>
  <c r="H59" i="4"/>
  <c r="H63" i="4"/>
  <c r="H67" i="4"/>
  <c r="H71" i="4"/>
  <c r="H75" i="4"/>
  <c r="H79" i="4"/>
  <c r="H83" i="4"/>
  <c r="H87" i="4"/>
  <c r="H91" i="4"/>
  <c r="G60" i="4"/>
  <c r="G64" i="4"/>
  <c r="G72" i="4"/>
  <c r="G76" i="4"/>
  <c r="G84" i="4"/>
  <c r="G88" i="4"/>
  <c r="H72" i="4"/>
  <c r="H80" i="4"/>
  <c r="G57" i="4"/>
  <c r="G65" i="4"/>
  <c r="G77" i="4"/>
  <c r="H57" i="4"/>
  <c r="H69" i="4"/>
  <c r="H81" i="4"/>
  <c r="G56" i="4"/>
  <c r="G68" i="4"/>
  <c r="G80" i="4"/>
  <c r="H76" i="4"/>
  <c r="H88" i="4"/>
  <c r="G61" i="4"/>
  <c r="G69" i="4"/>
  <c r="G81" i="4"/>
  <c r="G89" i="4"/>
  <c r="H65" i="4"/>
  <c r="H73" i="4"/>
  <c r="H85" i="4"/>
  <c r="H62" i="4"/>
  <c r="H74" i="4"/>
  <c r="G59" i="4"/>
  <c r="G71" i="4"/>
  <c r="G83" i="4"/>
  <c r="H56" i="4"/>
  <c r="H60" i="4"/>
  <c r="H64" i="4"/>
  <c r="H68" i="4"/>
  <c r="H84" i="4"/>
  <c r="G73" i="4"/>
  <c r="G85" i="4"/>
  <c r="H61" i="4"/>
  <c r="H77" i="4"/>
  <c r="H89" i="4"/>
  <c r="H66" i="4"/>
  <c r="H78" i="4"/>
  <c r="H86" i="4"/>
  <c r="G63" i="4"/>
  <c r="G75" i="4"/>
  <c r="G87" i="4"/>
  <c r="G58" i="4"/>
  <c r="G62" i="4"/>
  <c r="G66" i="4"/>
  <c r="G70" i="4"/>
  <c r="G74" i="4"/>
  <c r="G78" i="4"/>
  <c r="G82" i="4"/>
  <c r="G86" i="4"/>
  <c r="G90" i="4"/>
  <c r="H58" i="4"/>
  <c r="H70" i="4"/>
  <c r="H82" i="4"/>
  <c r="H90" i="4"/>
  <c r="G55" i="4"/>
  <c r="G67" i="4"/>
  <c r="G79" i="4"/>
  <c r="G91" i="4"/>
  <c r="B55" i="4"/>
  <c r="B59" i="4"/>
  <c r="B63" i="4"/>
  <c r="B67" i="4"/>
  <c r="B71" i="4"/>
  <c r="B75" i="4"/>
  <c r="B79" i="4"/>
  <c r="B83" i="4"/>
  <c r="A60" i="4"/>
  <c r="A68" i="4"/>
  <c r="A76" i="4"/>
  <c r="A80" i="4"/>
  <c r="B56" i="4"/>
  <c r="B60" i="4"/>
  <c r="B64" i="4"/>
  <c r="B72" i="4"/>
  <c r="B80" i="4"/>
  <c r="A57" i="4"/>
  <c r="A65" i="4"/>
  <c r="A73" i="4"/>
  <c r="A81" i="4"/>
  <c r="B57" i="4"/>
  <c r="B65" i="4"/>
  <c r="B73" i="4"/>
  <c r="B77" i="4"/>
  <c r="B58" i="4"/>
  <c r="B62" i="4"/>
  <c r="B70" i="4"/>
  <c r="B74" i="4"/>
  <c r="B82" i="4"/>
  <c r="A55" i="4"/>
  <c r="A63" i="4"/>
  <c r="A71" i="4"/>
  <c r="A79" i="4"/>
  <c r="A56" i="4"/>
  <c r="A64" i="4"/>
  <c r="A72" i="4"/>
  <c r="B68" i="4"/>
  <c r="B76" i="4"/>
  <c r="A61" i="4"/>
  <c r="A69" i="4"/>
  <c r="A77" i="4"/>
  <c r="B61" i="4"/>
  <c r="B69" i="4"/>
  <c r="B81" i="4"/>
  <c r="B66" i="4"/>
  <c r="B78" i="4"/>
  <c r="A59" i="4"/>
  <c r="A67" i="4"/>
  <c r="A75" i="4"/>
  <c r="A83" i="4"/>
  <c r="A58" i="4"/>
  <c r="A62" i="4"/>
  <c r="A66" i="4"/>
  <c r="A70" i="4"/>
  <c r="A74" i="4"/>
  <c r="A78" i="4"/>
  <c r="A82" i="4"/>
  <c r="H4" i="4"/>
  <c r="H16" i="4"/>
  <c r="H15" i="4"/>
  <c r="G30" i="4"/>
  <c r="G39" i="4"/>
  <c r="G43" i="4"/>
  <c r="C18" i="4"/>
  <c r="H17" i="4"/>
  <c r="D48" i="4"/>
  <c r="G48" i="4" s="1"/>
  <c r="D51" i="4"/>
  <c r="G51" i="4" s="1"/>
  <c r="G35" i="4"/>
  <c r="G34" i="4"/>
  <c r="G32" i="4"/>
  <c r="D49" i="4"/>
  <c r="G49" i="4" s="1"/>
  <c r="D50" i="4"/>
  <c r="G50" i="4" s="1"/>
  <c r="D47" i="4"/>
  <c r="G47" i="4" s="1"/>
  <c r="G37" i="4"/>
  <c r="G36" i="4"/>
  <c r="D52" i="4"/>
  <c r="G52" i="4" s="1"/>
  <c r="G44" i="4"/>
  <c r="D53" i="4"/>
  <c r="G53" i="4" s="1"/>
  <c r="G40" i="4"/>
  <c r="D11" i="1"/>
  <c r="B6" i="1" s="1"/>
  <c r="F2" i="1" a="1"/>
  <c r="B17" i="1"/>
  <c r="F7" i="1" l="1"/>
  <c r="J19" i="1"/>
  <c r="F4" i="1"/>
  <c r="J16" i="1"/>
  <c r="I29" i="1"/>
  <c r="F11" i="1"/>
  <c r="G8" i="1"/>
  <c r="I3" i="1"/>
  <c r="F26" i="1"/>
  <c r="G12" i="1"/>
  <c r="F25" i="1"/>
  <c r="G9" i="1"/>
  <c r="F3" i="1"/>
  <c r="I28" i="1"/>
  <c r="F2" i="1"/>
  <c r="G3" i="1"/>
  <c r="F16" i="1"/>
  <c r="J28" i="1"/>
  <c r="I8" i="1"/>
  <c r="H21" i="1"/>
  <c r="I5" i="1"/>
  <c r="H18" i="1"/>
  <c r="F14" i="1"/>
  <c r="G14" i="1"/>
  <c r="H11" i="1"/>
  <c r="G5" i="1"/>
  <c r="G29" i="1"/>
  <c r="J13" i="1"/>
  <c r="I26" i="1"/>
  <c r="J10" i="1"/>
  <c r="G6" i="1"/>
  <c r="F5" i="1"/>
  <c r="J6" i="1"/>
  <c r="J4" i="1"/>
  <c r="I17" i="1"/>
  <c r="G10" i="1"/>
  <c r="F23" i="1"/>
  <c r="G7" i="1"/>
  <c r="F20" i="1"/>
  <c r="J18" i="1"/>
  <c r="H17" i="1"/>
  <c r="I14" i="1"/>
  <c r="H8" i="1"/>
  <c r="I2" i="1"/>
  <c r="H15" i="1"/>
  <c r="G28" i="1"/>
  <c r="H12" i="1"/>
  <c r="H9" i="1"/>
  <c r="J9" i="1"/>
  <c r="I11" i="1"/>
  <c r="H6" i="1"/>
  <c r="G19" i="1"/>
  <c r="J11" i="1"/>
  <c r="I24" i="1"/>
  <c r="J8" i="1"/>
  <c r="I21" i="1"/>
  <c r="F22" i="1"/>
  <c r="I20" i="1"/>
  <c r="J17" i="1"/>
  <c r="F10" i="1"/>
  <c r="G4" i="1"/>
  <c r="F17" i="1"/>
  <c r="J29" i="1"/>
  <c r="I15" i="1"/>
  <c r="I12" i="1"/>
  <c r="F13" i="1"/>
  <c r="H16" i="1"/>
  <c r="F8" i="1"/>
  <c r="J20" i="1"/>
  <c r="H13" i="1"/>
  <c r="G26" i="1"/>
  <c r="H10" i="1"/>
  <c r="G23" i="1"/>
  <c r="G25" i="1"/>
  <c r="J23" i="1"/>
  <c r="F21" i="1"/>
  <c r="G13" i="1"/>
  <c r="J5" i="1"/>
  <c r="I18" i="1"/>
  <c r="J2" i="1"/>
  <c r="G17" i="1"/>
  <c r="J15" i="1"/>
  <c r="G16" i="1"/>
  <c r="I19" i="1"/>
  <c r="I9" i="1"/>
  <c r="H22" i="1"/>
  <c r="G2" i="1"/>
  <c r="F15" i="1"/>
  <c r="J27" i="1"/>
  <c r="F12" i="1"/>
  <c r="J24" i="1"/>
  <c r="H28" i="1"/>
  <c r="F27" i="1"/>
  <c r="I22" i="1"/>
  <c r="J14" i="1"/>
  <c r="H7" i="1"/>
  <c r="G20" i="1"/>
  <c r="H4" i="1"/>
  <c r="H20" i="1"/>
  <c r="F19" i="1"/>
  <c r="H19" i="1"/>
  <c r="J22" i="1"/>
  <c r="G11" i="1"/>
  <c r="F24" i="1"/>
  <c r="J3" i="1"/>
  <c r="I16" i="1"/>
  <c r="H29" i="1"/>
  <c r="I13" i="1"/>
  <c r="H26" i="1"/>
  <c r="I4" i="1"/>
  <c r="H3" i="1"/>
  <c r="J25" i="1"/>
  <c r="F18" i="1"/>
  <c r="F9" i="1"/>
  <c r="J21" i="1"/>
  <c r="F6" i="1"/>
  <c r="I23" i="1"/>
  <c r="G22" i="1"/>
  <c r="G24" i="1"/>
  <c r="H24" i="1"/>
  <c r="J12" i="1"/>
  <c r="I25" i="1"/>
  <c r="H5" i="1"/>
  <c r="G18" i="1"/>
  <c r="H2" i="1"/>
  <c r="G15" i="1"/>
  <c r="F28" i="1"/>
  <c r="J7" i="1"/>
  <c r="I6" i="1"/>
  <c r="F29" i="1"/>
  <c r="G21" i="1"/>
  <c r="I10" i="1"/>
  <c r="H23" i="1"/>
  <c r="I7" i="1"/>
  <c r="J26" i="1"/>
  <c r="H25" i="1"/>
  <c r="H27" i="1"/>
  <c r="I27" i="1"/>
  <c r="H14" i="1"/>
  <c r="G27" i="1"/>
  <c r="H18" i="4"/>
  <c r="C19" i="4"/>
  <c r="C20" i="4" l="1"/>
  <c r="C30" i="4"/>
  <c r="H19" i="4"/>
  <c r="H30" i="4" l="1"/>
  <c r="C31" i="4"/>
  <c r="C21" i="4"/>
  <c r="H20" i="4"/>
  <c r="C22" i="4" l="1"/>
  <c r="H21" i="4"/>
  <c r="H32" i="4"/>
  <c r="C32" i="4"/>
  <c r="H34" i="4" l="1"/>
  <c r="C33" i="4"/>
  <c r="H22" i="4"/>
  <c r="C23" i="4"/>
  <c r="C34" i="4" l="1"/>
  <c r="H36" i="4"/>
  <c r="C24" i="4"/>
  <c r="H23" i="4"/>
  <c r="H24" i="4" l="1"/>
  <c r="C25" i="4"/>
  <c r="H38" i="4"/>
  <c r="C35" i="4"/>
  <c r="H25" i="4" l="1"/>
  <c r="C26" i="4"/>
  <c r="H40" i="4"/>
  <c r="C36" i="4"/>
  <c r="H26" i="4" l="1"/>
  <c r="C27" i="4"/>
  <c r="H42" i="4"/>
  <c r="C37" i="4"/>
  <c r="H44" i="4" l="1"/>
  <c r="C28" i="4"/>
  <c r="H27" i="4"/>
  <c r="H28" i="4" l="1"/>
  <c r="C29" i="4"/>
  <c r="A16" i="1" l="1"/>
  <c r="H29" i="4"/>
  <c r="J1" i="4"/>
  <c r="B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N1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Sukhov</author>
  </authors>
  <commentList>
    <comment ref="C1" authorId="0" shapeId="0" xr:uid="{00000000-0006-0000-0100-000001000000}">
      <text>
        <r>
          <rPr>
            <sz val="8"/>
            <color indexed="81"/>
            <rFont val="Tahoma"/>
            <family val="2"/>
          </rPr>
          <t>Calculate the par swap rate or coupon for a generic swap</t>
        </r>
      </text>
    </comment>
  </commentList>
</comments>
</file>

<file path=xl/sharedStrings.xml><?xml version="1.0" encoding="utf-8"?>
<sst xmlns="http://schemas.openxmlformats.org/spreadsheetml/2006/main" count="319" uniqueCount="123">
  <si>
    <t>grid date</t>
  </si>
  <si>
    <t>discount factor</t>
  </si>
  <si>
    <t>aaSwp_cpn</t>
  </si>
  <si>
    <t>fair swap value</t>
  </si>
  <si>
    <t>structure</t>
  </si>
  <si>
    <t>exchange of principal</t>
  </si>
  <si>
    <t>FX spot - pay / receive</t>
  </si>
  <si>
    <t>business day convention (see Glossary) - pay leg</t>
  </si>
  <si>
    <t>odd date list - pay leg</t>
  </si>
  <si>
    <t>See table_32 below</t>
  </si>
  <si>
    <t>See table_26 below</t>
  </si>
  <si>
    <t>notional principal - pay leg</t>
  </si>
  <si>
    <t>discount factor curve - pay leg</t>
  </si>
  <si>
    <t>See table_43 below</t>
  </si>
  <si>
    <t>business day convention (see Glossary) - receive leg</t>
  </si>
  <si>
    <t>cash flow frequency - receive leg</t>
  </si>
  <si>
    <t>odd date list - receive leg</t>
  </si>
  <si>
    <t>accrual method - receive leg</t>
  </si>
  <si>
    <t>holiday list - receive leg</t>
  </si>
  <si>
    <t>notional principal - receive leg</t>
  </si>
  <si>
    <t>discount factor curve - receive leg</t>
  </si>
  <si>
    <t>table_32 - odd date list - pay leg</t>
  </si>
  <si>
    <t>non-cycle dates on which a cash flow occurs</t>
  </si>
  <si>
    <t>table_26 - holiday list - pay leg</t>
  </si>
  <si>
    <t>holiday date</t>
  </si>
  <si>
    <t>table_43 - discount factor curve - pay leg</t>
  </si>
  <si>
    <t>table_32 - odd date list - receive leg</t>
  </si>
  <si>
    <t>table_26 - holiday list - receive leg</t>
  </si>
  <si>
    <t>table_43 - discount factor curve - receive leg</t>
  </si>
  <si>
    <t>par swap rate</t>
  </si>
  <si>
    <t>(fincad - HL difference)</t>
  </si>
  <si>
    <t>GBLO-AUSY</t>
  </si>
  <si>
    <t>Linear</t>
  </si>
  <si>
    <t>3M</t>
  </si>
  <si>
    <t>ACT/365.FIXED</t>
  </si>
  <si>
    <t>Curve Characteristics</t>
  </si>
  <si>
    <t>PricingStructureType</t>
  </si>
  <si>
    <t>RateCurve</t>
  </si>
  <si>
    <t>BuildDateTime</t>
  </si>
  <si>
    <t>MarketName</t>
  </si>
  <si>
    <t>LIVE</t>
  </si>
  <si>
    <t>IndexName</t>
  </si>
  <si>
    <t>AUD-LIBOR-BBA</t>
  </si>
  <si>
    <t>IndexTenor</t>
  </si>
  <si>
    <t>6M</t>
  </si>
  <si>
    <t>CurveName</t>
  </si>
  <si>
    <t>Algorithm</t>
  </si>
  <si>
    <t>FastLinearZero</t>
  </si>
  <si>
    <t>IR Term Structure</t>
  </si>
  <si>
    <t>Instrument</t>
  </si>
  <si>
    <t>AdjRate</t>
  </si>
  <si>
    <t>Additional</t>
  </si>
  <si>
    <t>Diff</t>
  </si>
  <si>
    <t>Values</t>
  </si>
  <si>
    <t>MeasureTpe</t>
  </si>
  <si>
    <t>Units</t>
  </si>
  <si>
    <t>AUD-Deposit-1D</t>
  </si>
  <si>
    <t>MarketQuote</t>
  </si>
  <si>
    <t>DecimalRate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</si>
  <si>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</si>
  <si>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</si>
  <si>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</si>
  <si>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</si>
  <si>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</si>
  <si>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</si>
  <si>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</si>
  <si>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</si>
  <si>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</si>
  <si>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</si>
  <si>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</si>
  <si>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</si>
  <si>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</si>
  <si>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</si>
  <si>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</si>
  <si>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Volatility</t>
  </si>
  <si>
    <t>LogNormalVolatility</t>
  </si>
  <si>
    <t>Continuous</t>
  </si>
  <si>
    <t>FlatForward</t>
  </si>
  <si>
    <t>10Y</t>
  </si>
  <si>
    <t>LinearZero</t>
  </si>
  <si>
    <t>Base algorithm</t>
  </si>
  <si>
    <t>COE</t>
  </si>
  <si>
    <t>SimpleGapStep</t>
  </si>
  <si>
    <t>3D</t>
  </si>
  <si>
    <t>DecimalSpread</t>
  </si>
  <si>
    <t>Contiuous</t>
  </si>
  <si>
    <t>Daily</t>
  </si>
  <si>
    <t>Quarterly</t>
  </si>
  <si>
    <t>Semi</t>
  </si>
  <si>
    <t>Annual</t>
  </si>
  <si>
    <t>AUD</t>
  </si>
  <si>
    <t>FOLLOWING</t>
  </si>
  <si>
    <t>AUSY</t>
  </si>
  <si>
    <t>AccrualFactor</t>
  </si>
  <si>
    <t>DeltaR</t>
  </si>
  <si>
    <t>"QR.PricingStructures.PerturbRateCurve" $H$1, AJ12:AJ43, "MarketQuote")</t>
  </si>
  <si>
    <t>"QR.PricingStructures.ReCalculateRateCurve" C1, C13:C36)</t>
  </si>
  <si>
    <t>BaseDate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</si>
  <si>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</si>
  <si>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</si>
  <si>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</si>
  <si>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</si>
  <si>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</si>
  <si>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</si>
  <si>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</si>
  <si>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</si>
  <si>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/>
  </si>
  <si>
    <t>ValueDate</t>
  </si>
  <si>
    <t>EffectiveDate</t>
  </si>
  <si>
    <t>TerminationDate</t>
  </si>
  <si>
    <t>InterpolationMethod</t>
  </si>
  <si>
    <t>MargineAboveFloatingRate</t>
  </si>
  <si>
    <t>ResetRate</t>
  </si>
  <si>
    <t>DirectionDateGenerationPayLeg</t>
  </si>
  <si>
    <t>CashFlowFrequencyPayLeg</t>
  </si>
  <si>
    <t>AccrualMethodPayLeg</t>
  </si>
  <si>
    <t>HolidaysPayLeg</t>
  </si>
  <si>
    <t>DirectionDateGenerationRecLeg</t>
  </si>
  <si>
    <t>=FincadSwapCpn(D2,D3,D4,D5,D6,D7,D8,D9,D10,D11,D12,D13,D14,C31,D16,C35:C43,D18,C47:D69,D20,D21,D22,C73,D24,C77:C85,D26,C89:D111)</t>
  </si>
  <si>
    <t>=(D113 - B20) * 10000</t>
  </si>
  <si>
    <t>CashFlowFrequencyRecLeg</t>
  </si>
  <si>
    <t>AccrualMethodRecLeg</t>
  </si>
  <si>
    <t>HolidaysRecLeg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</si>
</sst>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\-mmm\-yyyy"/>
    <numFmt numFmtId="165" formatCode="0.000%"/>
    <numFmt numFmtId="166" formatCode="0.0000%"/>
    <numFmt numFmtId="167" formatCode="_-* #,##0.00000_-;\-* #,##0.00000_-;_-* &quot;-&quot;??_-;_-@_-"/>
    <numFmt numFmtId="168" formatCode="dd/mm/yyyy;@"/>
    <numFmt numFmtId="169" formatCode="0.0000"/>
    <numFmt numFmtId="170" formatCode="d/mm/yyyy;@"/>
    <numFmt numFmtId="171" formatCode="&quot;$&quot;#,##0\ ;\(&quot;$&quot;#,##0\)"/>
    <numFmt numFmtId="172" formatCode="0.00_)"/>
    <numFmt numFmtId="173" formatCode="#,##0.0;#,##0.0"/>
    <numFmt numFmtId="174" formatCode="\+#,##0.00;\-#,##0.00"/>
    <numFmt numFmtId="175" formatCode="d/m/yyyy;@"/>
  </numFmts>
  <fonts count="3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14"/>
      <color indexed="9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indexed="9"/>
      <name val="Times New Roman"/>
      <family val="1"/>
    </font>
    <font>
      <sz val="8"/>
      <name val="Verdana"/>
      <family val="2"/>
    </font>
    <font>
      <b/>
      <i/>
      <sz val="8"/>
      <color indexed="9"/>
      <name val="Verdana"/>
      <family val="2"/>
    </font>
    <font>
      <sz val="10"/>
      <name val="Times New Roman"/>
      <family val="1"/>
    </font>
    <font>
      <b/>
      <sz val="10"/>
      <name val="Verdana"/>
      <family val="2"/>
    </font>
    <font>
      <b/>
      <sz val="9"/>
      <color indexed="16"/>
      <name val="Tahoma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8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8" borderId="0"/>
    <xf numFmtId="0" fontId="7" fillId="0" borderId="0" applyNumberFormat="0" applyFill="0" applyBorder="0" applyAlignment="0" applyProtection="0">
      <alignment horizontal="left" wrapText="1"/>
    </xf>
    <xf numFmtId="0" fontId="15" fillId="11" borderId="0" applyAlignment="0"/>
    <xf numFmtId="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16" fillId="12" borderId="0" applyNumberFormat="0" applyBorder="0">
      <alignment horizontal="right" vertical="center"/>
    </xf>
    <xf numFmtId="19" fontId="16" fillId="12" borderId="10" applyNumberFormat="0" applyBorder="0">
      <alignment horizontal="left" vertical="center"/>
    </xf>
    <xf numFmtId="2" fontId="17" fillId="13" borderId="0">
      <alignment horizontal="center" vertical="center"/>
    </xf>
    <xf numFmtId="2" fontId="17" fillId="13" borderId="1" applyBorder="0">
      <alignment horizontal="left" vertical="center"/>
    </xf>
    <xf numFmtId="0" fontId="16" fillId="12" borderId="0">
      <alignment horizontal="right" vertical="center"/>
    </xf>
    <xf numFmtId="19" fontId="18" fillId="12" borderId="22" applyNumberFormat="0" applyBorder="0">
      <alignment horizontal="left" vertical="center" indent="1"/>
    </xf>
    <xf numFmtId="2" fontId="19" fillId="13" borderId="25" applyBorder="0">
      <alignment horizontal="left" vertical="center" indent="1"/>
    </xf>
    <xf numFmtId="2" fontId="19" fillId="13" borderId="14" applyBorder="0">
      <alignment horizontal="center" vertical="center"/>
    </xf>
    <xf numFmtId="2" fontId="7" fillId="14" borderId="26" applyBorder="0">
      <alignment horizontal="left" vertical="center" indent="1"/>
    </xf>
    <xf numFmtId="0" fontId="7" fillId="14" borderId="0">
      <alignment horizontal="right" vertical="center"/>
    </xf>
    <xf numFmtId="2" fontId="7" fillId="14" borderId="10" applyNumberFormat="0" applyBorder="0">
      <alignment horizontal="right" vertical="center"/>
    </xf>
    <xf numFmtId="2" fontId="20" fillId="15" borderId="22" applyBorder="0">
      <alignment horizontal="left" vertical="center" indent="1"/>
    </xf>
    <xf numFmtId="2" fontId="20" fillId="15" borderId="0">
      <alignment horizontal="right" vertical="center"/>
    </xf>
    <xf numFmtId="2" fontId="20" fillId="15" borderId="1" applyBorder="0">
      <alignment horizontal="left" vertical="center"/>
    </xf>
    <xf numFmtId="2" fontId="20" fillId="15" borderId="5" applyBorder="0">
      <alignment horizontal="center" vertical="center"/>
    </xf>
    <xf numFmtId="19" fontId="18" fillId="16" borderId="27" applyNumberFormat="0" applyBorder="0">
      <alignment horizontal="left" vertical="center"/>
    </xf>
    <xf numFmtId="15" fontId="18" fillId="16" borderId="14" applyNumberFormat="0" applyBorder="0">
      <alignment horizontal="right" vertical="center"/>
    </xf>
    <xf numFmtId="19" fontId="18" fillId="16" borderId="9" applyNumberFormat="0" applyBorder="0">
      <alignment horizontal="right" vertical="center"/>
    </xf>
    <xf numFmtId="2" fontId="19" fillId="17" borderId="28" applyBorder="0">
      <alignment horizontal="left" vertical="center" indent="1"/>
    </xf>
    <xf numFmtId="2" fontId="19" fillId="17" borderId="1" applyNumberFormat="0">
      <alignment horizontal="center" vertical="center"/>
    </xf>
    <xf numFmtId="2" fontId="19" fillId="17" borderId="1" applyNumberFormat="0" applyBorder="0">
      <alignment horizontal="left" vertical="center"/>
    </xf>
    <xf numFmtId="2" fontId="7" fillId="18" borderId="9" applyNumberFormat="0" applyBorder="0">
      <alignment horizontal="right" vertical="center"/>
    </xf>
    <xf numFmtId="0" fontId="7" fillId="0" borderId="0" applyNumberFormat="0" applyFont="0" applyFill="0" applyBorder="0" applyAlignment="0"/>
    <xf numFmtId="172" fontId="21" fillId="0" borderId="0"/>
    <xf numFmtId="0" fontId="3" fillId="19" borderId="8" applyNumberFormat="0" applyBorder="0">
      <alignment horizontal="left" vertical="center"/>
    </xf>
    <xf numFmtId="2" fontId="3" fillId="19" borderId="1" applyNumberFormat="0" applyBorder="0">
      <alignment horizontal="left" vertical="center"/>
    </xf>
    <xf numFmtId="2" fontId="20" fillId="15" borderId="6" applyNumberFormat="0" applyBorder="0">
      <alignment horizontal="left" vertical="center"/>
    </xf>
    <xf numFmtId="2" fontId="20" fillId="15" borderId="1" applyNumberFormat="0" applyBorder="0">
      <alignment horizontal="left" vertical="center"/>
    </xf>
    <xf numFmtId="19" fontId="7" fillId="20" borderId="23" applyNumberFormat="0" applyBorder="0">
      <alignment horizontal="left" vertical="center" indent="1"/>
    </xf>
    <xf numFmtId="0" fontId="7" fillId="20" borderId="0">
      <alignment horizontal="right" vertical="center"/>
    </xf>
    <xf numFmtId="19" fontId="7" fillId="20" borderId="9" applyNumberFormat="0" applyBorder="0">
      <alignment horizontal="right" vertical="center"/>
    </xf>
    <xf numFmtId="2" fontId="22" fillId="21" borderId="25" applyBorder="0">
      <alignment horizontal="left" vertical="center" indent="1"/>
    </xf>
    <xf numFmtId="2" fontId="22" fillId="21" borderId="0">
      <alignment horizontal="center" vertical="center"/>
    </xf>
    <xf numFmtId="2" fontId="22" fillId="21" borderId="2">
      <alignment horizontal="left" vertical="center"/>
    </xf>
    <xf numFmtId="0" fontId="23" fillId="22" borderId="5">
      <alignment horizontal="center"/>
    </xf>
    <xf numFmtId="165" fontId="24" fillId="23" borderId="0" applyNumberFormat="0" applyBorder="0">
      <alignment horizontal="right" vertical="center"/>
    </xf>
    <xf numFmtId="165" fontId="24" fillId="23" borderId="0" applyNumberFormat="0" applyBorder="0">
      <alignment horizontal="right" vertical="center"/>
    </xf>
    <xf numFmtId="0" fontId="25" fillId="24" borderId="5" applyNumberFormat="0">
      <alignment horizontal="center" vertical="center"/>
    </xf>
    <xf numFmtId="0" fontId="25" fillId="24" borderId="0" applyNumberFormat="0" applyBorder="0">
      <alignment horizontal="left" vertical="center" indent="1"/>
    </xf>
    <xf numFmtId="173" fontId="26" fillId="25" borderId="0">
      <alignment horizontal="center" vertical="center"/>
    </xf>
    <xf numFmtId="174" fontId="27" fillId="26" borderId="0">
      <alignment horizontal="center" vertical="center"/>
      <protection locked="0"/>
    </xf>
    <xf numFmtId="0" fontId="7" fillId="0" borderId="0">
      <alignment horizontal="left" wrapText="1"/>
    </xf>
    <xf numFmtId="2" fontId="28" fillId="27" borderId="8" applyNumberFormat="0" applyFill="0" applyBorder="0" applyAlignment="0">
      <alignment horizontal="center"/>
      <protection locked="0"/>
    </xf>
    <xf numFmtId="2" fontId="7" fillId="28" borderId="1" applyNumberFormat="0" applyBorder="0">
      <alignment horizontal="right" vertical="center"/>
    </xf>
    <xf numFmtId="2" fontId="7" fillId="28" borderId="0">
      <alignment horizontal="right" vertical="center"/>
    </xf>
    <xf numFmtId="2" fontId="20" fillId="29" borderId="5">
      <alignment horizontal="center" vertical="center"/>
    </xf>
    <xf numFmtId="2" fontId="20" fillId="29" borderId="0" applyNumberFormat="0" applyBorder="0">
      <alignment horizontal="left" vertical="center"/>
    </xf>
    <xf numFmtId="2" fontId="20" fillId="29" borderId="5">
      <alignment horizontal="center" vertical="center"/>
    </xf>
    <xf numFmtId="38" fontId="29" fillId="0" borderId="0" applyFont="0" applyFill="0" applyBorder="0" applyAlignment="0" applyProtection="0"/>
    <xf numFmtId="0" fontId="29" fillId="0" borderId="0"/>
  </cellStyleXfs>
  <cellXfs count="104">
    <xf numFmtId="0" fontId="0" fillId="0" borderId="0" xfId="0"/>
    <xf numFmtId="0" fontId="3" fillId="2" borderId="0" xfId="0" applyFont="1" applyFill="1" applyAlignment="1">
      <alignment wrapText="1"/>
    </xf>
    <xf numFmtId="164" fontId="0" fillId="3" borderId="1" xfId="0" applyNumberForma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5" fillId="4" borderId="0" xfId="0" applyFont="1" applyFill="1"/>
    <xf numFmtId="0" fontId="0" fillId="2" borderId="0" xfId="0" applyFill="1"/>
    <xf numFmtId="0" fontId="0" fillId="0" borderId="4" xfId="0" applyFill="1" applyBorder="1"/>
    <xf numFmtId="0" fontId="0" fillId="2" borderId="0" xfId="0" applyFill="1" applyAlignment="1">
      <alignment wrapText="1"/>
    </xf>
    <xf numFmtId="164" fontId="0" fillId="0" borderId="4" xfId="0" applyNumberFormat="1" applyFill="1" applyBorder="1"/>
    <xf numFmtId="165" fontId="0" fillId="0" borderId="4" xfId="0" applyNumberFormat="1" applyFill="1" applyBorder="1"/>
    <xf numFmtId="0" fontId="3" fillId="2" borderId="0" xfId="0" applyFont="1" applyFill="1"/>
    <xf numFmtId="164" fontId="0" fillId="3" borderId="5" xfId="0" applyNumberFormat="1" applyFill="1" applyBorder="1"/>
    <xf numFmtId="0" fontId="3" fillId="6" borderId="0" xfId="0" applyFont="1" applyFill="1"/>
    <xf numFmtId="0" fontId="3" fillId="7" borderId="0" xfId="0" applyFont="1" applyFill="1"/>
    <xf numFmtId="166" fontId="0" fillId="6" borderId="5" xfId="2" applyNumberFormat="1" applyFont="1" applyFill="1" applyBorder="1"/>
    <xf numFmtId="0" fontId="8" fillId="9" borderId="6" xfId="3" applyFont="1" applyFill="1" applyBorder="1" applyAlignment="1">
      <alignment horizontal="center"/>
    </xf>
    <xf numFmtId="0" fontId="9" fillId="9" borderId="7" xfId="3" applyFont="1" applyFill="1" applyBorder="1" applyAlignment="1">
      <alignment horizontal="center"/>
    </xf>
    <xf numFmtId="0" fontId="10" fillId="0" borderId="0" xfId="0" applyFont="1"/>
    <xf numFmtId="0" fontId="0" fillId="0" borderId="0" xfId="0" applyAlignment="1">
      <alignment horizontal="center"/>
    </xf>
    <xf numFmtId="165" fontId="0" fillId="0" borderId="0" xfId="4" applyNumberFormat="1" applyFont="1"/>
    <xf numFmtId="0" fontId="8" fillId="9" borderId="8" xfId="3" applyFont="1" applyFill="1" applyBorder="1" applyAlignment="1">
      <alignment horizontal="center"/>
    </xf>
    <xf numFmtId="0" fontId="8" fillId="9" borderId="9" xfId="3" applyFont="1" applyFill="1" applyBorder="1" applyAlignment="1">
      <alignment horizontal="center"/>
    </xf>
    <xf numFmtId="0" fontId="10" fillId="10" borderId="11" xfId="3" applyFont="1" applyFill="1" applyBorder="1" applyAlignment="1">
      <alignment horizontal="center"/>
    </xf>
    <xf numFmtId="168" fontId="10" fillId="3" borderId="9" xfId="3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4" fontId="10" fillId="10" borderId="11" xfId="3" applyNumberFormat="1" applyFont="1" applyFill="1" applyBorder="1" applyAlignment="1">
      <alignment horizontal="center"/>
    </xf>
    <xf numFmtId="0" fontId="10" fillId="3" borderId="9" xfId="3" applyFont="1" applyFill="1" applyBorder="1" applyAlignment="1">
      <alignment horizontal="center"/>
    </xf>
    <xf numFmtId="22" fontId="10" fillId="3" borderId="9" xfId="3" applyNumberFormat="1" applyFont="1" applyFill="1" applyBorder="1" applyAlignment="1">
      <alignment horizontal="center"/>
    </xf>
    <xf numFmtId="0" fontId="10" fillId="10" borderId="12" xfId="3" applyFont="1" applyFill="1" applyBorder="1" applyAlignment="1">
      <alignment horizontal="center"/>
    </xf>
    <xf numFmtId="0" fontId="10" fillId="3" borderId="13" xfId="3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8" fillId="9" borderId="14" xfId="3" applyFont="1" applyFill="1" applyBorder="1" applyAlignment="1">
      <alignment horizontal="center"/>
    </xf>
    <xf numFmtId="0" fontId="9" fillId="9" borderId="15" xfId="3" applyFont="1" applyFill="1" applyBorder="1" applyAlignment="1">
      <alignment horizontal="center"/>
    </xf>
    <xf numFmtId="0" fontId="9" fillId="9" borderId="10" xfId="3" applyFont="1" applyFill="1" applyBorder="1"/>
    <xf numFmtId="0" fontId="9" fillId="9" borderId="10" xfId="3" applyFont="1" applyFill="1" applyBorder="1" applyAlignment="1">
      <alignment horizontal="center"/>
    </xf>
    <xf numFmtId="0" fontId="8" fillId="9" borderId="16" xfId="3" applyFont="1" applyFill="1" applyBorder="1" applyAlignment="1">
      <alignment horizontal="center"/>
    </xf>
    <xf numFmtId="0" fontId="9" fillId="9" borderId="17" xfId="3" applyFont="1" applyFill="1" applyBorder="1" applyAlignment="1">
      <alignment horizontal="center"/>
    </xf>
    <xf numFmtId="0" fontId="9" fillId="9" borderId="13" xfId="3" applyFont="1" applyFill="1" applyBorder="1"/>
    <xf numFmtId="0" fontId="9" fillId="9" borderId="13" xfId="3" applyFont="1" applyFill="1" applyBorder="1" applyAlignment="1">
      <alignment horizontal="center"/>
    </xf>
    <xf numFmtId="0" fontId="11" fillId="9" borderId="18" xfId="3" applyFont="1" applyFill="1" applyBorder="1" applyAlignment="1">
      <alignment horizontal="center"/>
    </xf>
    <xf numFmtId="0" fontId="11" fillId="9" borderId="17" xfId="3" applyFont="1" applyFill="1" applyBorder="1" applyAlignment="1">
      <alignment horizontal="center"/>
    </xf>
    <xf numFmtId="0" fontId="10" fillId="3" borderId="19" xfId="3" applyFont="1" applyFill="1" applyBorder="1" applyAlignment="1">
      <alignment horizontal="center"/>
    </xf>
    <xf numFmtId="10" fontId="10" fillId="3" borderId="20" xfId="3" applyNumberFormat="1" applyFont="1" applyFill="1" applyBorder="1" applyAlignment="1">
      <alignment horizontal="center"/>
    </xf>
    <xf numFmtId="10" fontId="10" fillId="3" borderId="10" xfId="4" applyNumberFormat="1" applyFont="1" applyFill="1" applyBorder="1" applyAlignment="1">
      <alignment horizontal="right"/>
    </xf>
    <xf numFmtId="2" fontId="10" fillId="3" borderId="10" xfId="3" applyNumberFormat="1" applyFont="1" applyFill="1" applyBorder="1" applyAlignment="1">
      <alignment horizontal="right"/>
    </xf>
    <xf numFmtId="2" fontId="10" fillId="3" borderId="10" xfId="3" applyNumberFormat="1" applyFont="1" applyFill="1" applyBorder="1" applyAlignment="1">
      <alignment horizontal="center"/>
    </xf>
    <xf numFmtId="0" fontId="10" fillId="3" borderId="11" xfId="3" applyFont="1" applyFill="1" applyBorder="1" applyAlignment="1">
      <alignment horizontal="center"/>
    </xf>
    <xf numFmtId="10" fontId="10" fillId="3" borderId="21" xfId="3" applyNumberFormat="1" applyFont="1" applyFill="1" applyBorder="1" applyAlignment="1">
      <alignment horizontal="center"/>
    </xf>
    <xf numFmtId="10" fontId="10" fillId="3" borderId="9" xfId="4" applyNumberFormat="1" applyFont="1" applyFill="1" applyBorder="1" applyAlignment="1">
      <alignment horizontal="right"/>
    </xf>
    <xf numFmtId="2" fontId="10" fillId="3" borderId="9" xfId="3" applyNumberFormat="1" applyFont="1" applyFill="1" applyBorder="1" applyAlignment="1">
      <alignment horizontal="right"/>
    </xf>
    <xf numFmtId="2" fontId="10" fillId="3" borderId="9" xfId="3" applyNumberFormat="1" applyFont="1" applyFill="1" applyBorder="1" applyAlignment="1">
      <alignment horizontal="center"/>
    </xf>
    <xf numFmtId="0" fontId="10" fillId="3" borderId="12" xfId="3" applyFont="1" applyFill="1" applyBorder="1" applyAlignment="1">
      <alignment horizontal="center"/>
    </xf>
    <xf numFmtId="10" fontId="10" fillId="3" borderId="18" xfId="3" applyNumberFormat="1" applyFont="1" applyFill="1" applyBorder="1" applyAlignment="1">
      <alignment horizontal="center"/>
    </xf>
    <xf numFmtId="10" fontId="10" fillId="3" borderId="13" xfId="4" applyNumberFormat="1" applyFont="1" applyFill="1" applyBorder="1" applyAlignment="1">
      <alignment horizontal="right"/>
    </xf>
    <xf numFmtId="2" fontId="10" fillId="3" borderId="13" xfId="3" applyNumberFormat="1" applyFont="1" applyFill="1" applyBorder="1" applyAlignment="1">
      <alignment horizontal="right"/>
    </xf>
    <xf numFmtId="0" fontId="10" fillId="0" borderId="8" xfId="0" applyFont="1" applyBorder="1" applyAlignment="1">
      <alignment horizontal="center"/>
    </xf>
    <xf numFmtId="10" fontId="12" fillId="3" borderId="1" xfId="6" applyNumberFormat="1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10" fontId="12" fillId="3" borderId="15" xfId="6" applyNumberFormat="1" applyFont="1" applyFill="1" applyBorder="1" applyAlignment="1">
      <alignment horizontal="center"/>
    </xf>
    <xf numFmtId="2" fontId="10" fillId="3" borderId="1" xfId="3" applyNumberFormat="1" applyFont="1" applyFill="1" applyBorder="1" applyAlignment="1">
      <alignment horizontal="center"/>
    </xf>
    <xf numFmtId="10" fontId="12" fillId="3" borderId="2" xfId="6" applyNumberFormat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10" fontId="12" fillId="3" borderId="0" xfId="6" applyNumberFormat="1" applyFont="1" applyFill="1" applyBorder="1" applyAlignment="1">
      <alignment horizontal="center"/>
    </xf>
    <xf numFmtId="2" fontId="10" fillId="3" borderId="2" xfId="3" applyNumberFormat="1" applyFont="1" applyFill="1" applyBorder="1" applyAlignment="1">
      <alignment horizontal="center"/>
    </xf>
    <xf numFmtId="0" fontId="7" fillId="0" borderId="0" xfId="0" applyFont="1"/>
    <xf numFmtId="0" fontId="10" fillId="0" borderId="16" xfId="0" applyFont="1" applyBorder="1" applyAlignment="1">
      <alignment horizontal="center"/>
    </xf>
    <xf numFmtId="10" fontId="12" fillId="3" borderId="3" xfId="6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0" fillId="3" borderId="22" xfId="3" applyFont="1" applyFill="1" applyBorder="1" applyAlignment="1">
      <alignment horizontal="center"/>
    </xf>
    <xf numFmtId="0" fontId="10" fillId="3" borderId="23" xfId="3" applyFont="1" applyFill="1" applyBorder="1" applyAlignment="1">
      <alignment horizontal="center"/>
    </xf>
    <xf numFmtId="0" fontId="13" fillId="0" borderId="0" xfId="0" applyFont="1"/>
    <xf numFmtId="0" fontId="0" fillId="0" borderId="23" xfId="0" applyBorder="1" applyAlignment="1">
      <alignment horizontal="center"/>
    </xf>
    <xf numFmtId="0" fontId="10" fillId="0" borderId="12" xfId="0" applyFont="1" applyBorder="1" applyAlignment="1">
      <alignment horizontal="center"/>
    </xf>
    <xf numFmtId="10" fontId="12" fillId="3" borderId="17" xfId="6" applyNumberFormat="1" applyFont="1" applyFill="1" applyBorder="1" applyAlignment="1">
      <alignment horizontal="center"/>
    </xf>
    <xf numFmtId="2" fontId="10" fillId="3" borderId="3" xfId="3" applyNumberFormat="1" applyFont="1" applyFill="1" applyBorder="1" applyAlignment="1">
      <alignment horizontal="center"/>
    </xf>
    <xf numFmtId="2" fontId="10" fillId="3" borderId="13" xfId="3" applyNumberFormat="1" applyFont="1" applyFill="1" applyBorder="1" applyAlignment="1">
      <alignment horizontal="center"/>
    </xf>
    <xf numFmtId="0" fontId="10" fillId="3" borderId="24" xfId="3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165" fontId="0" fillId="0" borderId="0" xfId="4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/>
    <xf numFmtId="0" fontId="10" fillId="0" borderId="2" xfId="0" applyFont="1" applyFill="1" applyBorder="1"/>
    <xf numFmtId="0" fontId="2" fillId="0" borderId="2" xfId="0" applyFont="1" applyBorder="1"/>
    <xf numFmtId="175" fontId="0" fillId="0" borderId="0" xfId="0" applyNumberFormat="1"/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5" fillId="4" borderId="0" xfId="0" quotePrefix="1" applyFont="1" applyFill="1"/>
    <xf numFmtId="165" fontId="6" fillId="5" borderId="5" xfId="0" quotePrefix="1" applyNumberFormat="1" applyFont="1" applyFill="1" applyBorder="1"/>
    <xf numFmtId="167" fontId="0" fillId="7" borderId="5" xfId="1" quotePrefix="1" applyNumberFormat="1" applyFont="1" applyFill="1" applyBorder="1"/>
    <xf numFmtId="0" fontId="0" fillId="30" borderId="0" xfId="0" applyFill="1"/>
    <xf numFmtId="0" fontId="0" fillId="30" borderId="0" xfId="0" applyFill="1" applyAlignment="1">
      <alignment wrapText="1"/>
    </xf>
    <xf numFmtId="0" fontId="0" fillId="31" borderId="0" xfId="0" applyFill="1"/>
    <xf numFmtId="0" fontId="0" fillId="31" borderId="0" xfId="0" applyFill="1" applyAlignment="1">
      <alignment wrapText="1"/>
    </xf>
    <xf numFmtId="10" fontId="0" fillId="0" borderId="0" xfId="2" applyNumberFormat="1" applyFont="1"/>
  </cellXfs>
  <cellStyles count="63">
    <cellStyle name="_Copy of Portfolios to Archeus 6-3-04 (2)" xfId="7" xr:uid="{00000000-0005-0000-0000-000000000000}"/>
    <cellStyle name="back" xfId="8" xr:uid="{00000000-0005-0000-0000-000001000000}"/>
    <cellStyle name="Comma" xfId="1" builtinId="3"/>
    <cellStyle name="Comma0" xfId="9" xr:uid="{00000000-0005-0000-0000-000003000000}"/>
    <cellStyle name="Currency 2" xfId="5" xr:uid="{00000000-0005-0000-0000-000004000000}"/>
    <cellStyle name="Currency0" xfId="10" xr:uid="{00000000-0005-0000-0000-000005000000}"/>
    <cellStyle name="Date" xfId="11" xr:uid="{00000000-0005-0000-0000-000006000000}"/>
    <cellStyle name="Fixed" xfId="12" xr:uid="{00000000-0005-0000-0000-000007000000}"/>
    <cellStyle name="InfoDataColumn" xfId="13" xr:uid="{00000000-0005-0000-0000-000008000000}"/>
    <cellStyle name="InfoDataRow" xfId="14" xr:uid="{00000000-0005-0000-0000-000009000000}"/>
    <cellStyle name="InfoLabelColumn" xfId="15" xr:uid="{00000000-0005-0000-0000-00000A000000}"/>
    <cellStyle name="InfoLabelRow" xfId="16" xr:uid="{00000000-0005-0000-0000-00000B000000}"/>
    <cellStyle name="InfolDataColumn" xfId="17" xr:uid="{00000000-0005-0000-0000-00000C000000}"/>
    <cellStyle name="InformationalData" xfId="18" xr:uid="{00000000-0005-0000-0000-00000D000000}"/>
    <cellStyle name="InformationalLabel" xfId="19" xr:uid="{00000000-0005-0000-0000-00000E000000}"/>
    <cellStyle name="InformationalLabelTop" xfId="20" xr:uid="{00000000-0005-0000-0000-00000F000000}"/>
    <cellStyle name="InputData" xfId="21" xr:uid="{00000000-0005-0000-0000-000010000000}"/>
    <cellStyle name="InputDataColumn" xfId="22" xr:uid="{00000000-0005-0000-0000-000011000000}"/>
    <cellStyle name="InputDataRow" xfId="23" xr:uid="{00000000-0005-0000-0000-000012000000}"/>
    <cellStyle name="InputLabel" xfId="24" xr:uid="{00000000-0005-0000-0000-000013000000}"/>
    <cellStyle name="InputLabelColumn" xfId="25" xr:uid="{00000000-0005-0000-0000-000014000000}"/>
    <cellStyle name="InputLabelRow" xfId="26" xr:uid="{00000000-0005-0000-0000-000015000000}"/>
    <cellStyle name="InputLabelTop" xfId="27" xr:uid="{00000000-0005-0000-0000-000016000000}"/>
    <cellStyle name="IntermediateData" xfId="28" xr:uid="{00000000-0005-0000-0000-000017000000}"/>
    <cellStyle name="IntermediateDataColumn" xfId="29" xr:uid="{00000000-0005-0000-0000-000018000000}"/>
    <cellStyle name="IntermediateDataRow" xfId="30" xr:uid="{00000000-0005-0000-0000-000019000000}"/>
    <cellStyle name="IntermediateLabel" xfId="31" xr:uid="{00000000-0005-0000-0000-00001A000000}"/>
    <cellStyle name="IntermediateLabelColumn" xfId="32" xr:uid="{00000000-0005-0000-0000-00001B000000}"/>
    <cellStyle name="IntermediateLabelRow" xfId="33" xr:uid="{00000000-0005-0000-0000-00001C000000}"/>
    <cellStyle name="InvalidCell" xfId="34" xr:uid="{00000000-0005-0000-0000-00001D000000}"/>
    <cellStyle name="NewSheet" xfId="35" xr:uid="{00000000-0005-0000-0000-00001E000000}"/>
    <cellStyle name="Normal" xfId="0" builtinId="0"/>
    <cellStyle name="Normal - Style1" xfId="36" xr:uid="{00000000-0005-0000-0000-000020000000}"/>
    <cellStyle name="Normal_Curves" xfId="6" xr:uid="{00000000-0005-0000-0000-000021000000}"/>
    <cellStyle name="Normal_Sheet1" xfId="3" xr:uid="{00000000-0005-0000-0000-000022000000}"/>
    <cellStyle name="ObjectDataColumn" xfId="37" xr:uid="{00000000-0005-0000-0000-000023000000}"/>
    <cellStyle name="ObjectDataRow" xfId="38" xr:uid="{00000000-0005-0000-0000-000024000000}"/>
    <cellStyle name="ObjectLabelColumn" xfId="39" xr:uid="{00000000-0005-0000-0000-000025000000}"/>
    <cellStyle name="ObjectLabelRow" xfId="40" xr:uid="{00000000-0005-0000-0000-000026000000}"/>
    <cellStyle name="OutputData" xfId="41" xr:uid="{00000000-0005-0000-0000-000027000000}"/>
    <cellStyle name="OutputDataColumn" xfId="42" xr:uid="{00000000-0005-0000-0000-000028000000}"/>
    <cellStyle name="OutputDataRow" xfId="43" xr:uid="{00000000-0005-0000-0000-000029000000}"/>
    <cellStyle name="OutputLabel" xfId="44" xr:uid="{00000000-0005-0000-0000-00002A000000}"/>
    <cellStyle name="OutputLabelColumn" xfId="45" xr:uid="{00000000-0005-0000-0000-00002B000000}"/>
    <cellStyle name="OutputLabelRow" xfId="46" xr:uid="{00000000-0005-0000-0000-00002C000000}"/>
    <cellStyle name="PanelLabel" xfId="47" xr:uid="{00000000-0005-0000-0000-00002D000000}"/>
    <cellStyle name="Percent" xfId="2" builtinId="5"/>
    <cellStyle name="Percent 2" xfId="4" xr:uid="{00000000-0005-0000-0000-00002F000000}"/>
    <cellStyle name="PersonalDataColumn" xfId="48" xr:uid="{00000000-0005-0000-0000-000030000000}"/>
    <cellStyle name="PersonalDataRow" xfId="49" xr:uid="{00000000-0005-0000-0000-000031000000}"/>
    <cellStyle name="PersonalLabelColumn" xfId="50" xr:uid="{00000000-0005-0000-0000-000032000000}"/>
    <cellStyle name="PersonalLabelRow" xfId="51" xr:uid="{00000000-0005-0000-0000-000033000000}"/>
    <cellStyle name="result" xfId="52" xr:uid="{00000000-0005-0000-0000-000034000000}"/>
    <cellStyle name="spreads" xfId="53" xr:uid="{00000000-0005-0000-0000-000035000000}"/>
    <cellStyle name="Style 1" xfId="54" xr:uid="{00000000-0005-0000-0000-000036000000}"/>
    <cellStyle name="swaptn" xfId="55" xr:uid="{00000000-0005-0000-0000-000037000000}"/>
    <cellStyle name="TableDataColumn" xfId="56" xr:uid="{00000000-0005-0000-0000-000038000000}"/>
    <cellStyle name="TableDataRow" xfId="57" xr:uid="{00000000-0005-0000-0000-000039000000}"/>
    <cellStyle name="TableLabelColumn" xfId="58" xr:uid="{00000000-0005-0000-0000-00003A000000}"/>
    <cellStyle name="TableLabelRow" xfId="59" xr:uid="{00000000-0005-0000-0000-00003B000000}"/>
    <cellStyle name="TableLabelTop" xfId="60" xr:uid="{00000000-0005-0000-0000-00003C000000}"/>
    <cellStyle name="桁区切り_NewDemo" xfId="61" xr:uid="{00000000-0005-0000-0000-00003D000000}"/>
    <cellStyle name="標準_NewDemo" xfId="62" xr:uid="{00000000-0005-0000-0000-00003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$D$6" sel="1" val="0">
  <itemLst>
    <item val="pay floating and receive fixed"/>
    <item val="pay fixed and receive floating"/>
  </itemLst>
</formControlPr>
</file>

<file path=xl/ctrlProps/ctrlProp2.xml><?xml version="1.0" encoding="utf-8"?>
<formControlPr xmlns="http://schemas.microsoft.com/office/spreadsheetml/2009/9/main" objectType="Drop" dropStyle="combo" dx="16" fmlaLink="$D$7" sel="1" val="0">
  <itemLst>
    <item val="linear"/>
    <item val="cubic spline"/>
    <item val="exponential"/>
    <item val="linear spot rates"/>
  </itemLst>
</formControlPr>
</file>

<file path=xl/ctrlProps/ctrlProp3.xml><?xml version="1.0" encoding="utf-8"?>
<formControlPr xmlns="http://schemas.microsoft.com/office/spreadsheetml/2009/9/main" objectType="Drop" dropStyle="combo" dx="16" fmlaLink="$D$8" sel="1" val="0">
  <itemLst>
    <item val="no exchange"/>
    <item val="front and back"/>
    <item val="at maturity"/>
  </itemLst>
</formControlPr>
</file>

<file path=xl/ctrlProps/ctrlProp4.xml><?xml version="1.0" encoding="utf-8"?>
<formControlPr xmlns="http://schemas.microsoft.com/office/spreadsheetml/2009/9/main" objectType="Drop" dropStyle="combo" dx="16" fmlaLink="$D$12" sel="1" val="0">
  <itemLst>
    <item val="no date adjustment"/>
    <item val="next good business day"/>
    <item val="previous good business day"/>
    <item val="modified following business day"/>
    <item val="end of month - no adjustment"/>
    <item val="end of month - next good business day"/>
    <item val="end of month - previous good business day"/>
    <item val="two business days prior to third Wednesday"/>
    <item val="strip of cash deposits"/>
    <item val="third Wednesday"/>
    <item val="end of month - ignore leap years"/>
  </itemLst>
</formControlPr>
</file>

<file path=xl/ctrlProps/ctrlProp5.xml><?xml version="1.0" encoding="utf-8"?>
<formControlPr xmlns="http://schemas.microsoft.com/office/spreadsheetml/2009/9/main" objectType="Drop" dropStyle="combo" dx="16" fmlaLink="$D$13" sel="1" val="0">
  <itemLst>
    <item val="forward from effective date"/>
    <item val="backward from terminating date"/>
  </itemLst>
</formControlPr>
</file>

<file path=xl/ctrlProps/ctrlProp6.xml><?xml version="1.0" encoding="utf-8"?>
<formControlPr xmlns="http://schemas.microsoft.com/office/spreadsheetml/2009/9/main" objectType="Drop" dropStyle="combo" dx="16" fmlaLink="$D$14" sel="3" val="0">
  <itemLst>
    <item val="annual"/>
    <item val="semi-annual"/>
    <item val="quarterly"/>
    <item val="monthly"/>
  </itemLst>
</formControlPr>
</file>

<file path=xl/ctrlProps/ctrlProp7.xml><?xml version="1.0" encoding="utf-8"?>
<formControlPr xmlns="http://schemas.microsoft.com/office/spreadsheetml/2009/9/main" objectType="Drop" dropStyle="combo" dx="16" fmlaLink="$D$16" sel="1" val="0">
  <itemLst>
    <item val="actual/365 (fixed)"/>
    <item val="actual/360"/>
    <item val="actual/365 (actual)"/>
    <item val="30/360 (ISDA)"/>
    <item val="30E/360 (30/360 ISMA)"/>
    <item val="30E+/360"/>
    <item val="actual/actual (ISMA-99)"/>
    <item val="actual/actual (ISDA)"/>
    <item val="30/360 (old)"/>
    <item val="30E/360 (old)"/>
    <item val="30/360 (SIA)"/>
    <item val="30/360 (BMA)"/>
    <item val="30/360 (German)"/>
    <item val="actual/365L"/>
    <item val="NL/365"/>
  </itemLst>
</formControlPr>
</file>

<file path=xl/ctrlProps/ctrlProp8.xml><?xml version="1.0" encoding="utf-8"?>
<formControlPr xmlns="http://schemas.microsoft.com/office/spreadsheetml/2009/9/main" objectType="Drop" dropStyle="combo" dx="16" fmlaLink="$D$20" sel="1" val="0">
  <itemLst>
    <item val="no date adjustment"/>
    <item val="next good business day"/>
    <item val="previous good business day"/>
    <item val="modified following business day"/>
    <item val="end of month - no adjustment"/>
    <item val="end of month - next good business day"/>
    <item val="end of month - previous good business day"/>
    <item val="two business days prior to third Wednesday"/>
    <item val="strip of cash deposits"/>
    <item val="third Wednesday"/>
    <item val="end of month - ignore leap years"/>
  </itemLst>
</formControlPr>
</file>

<file path=xl/ctrlProps/ctrlProp9.xml><?xml version="1.0" encoding="utf-8"?>
<formControlPr xmlns="http://schemas.microsoft.com/office/spreadsheetml/2009/9/main" objectType="Drop" dropStyle="combo" dx="16" fmlaLink="$D$21" sel="1" val="0">
  <itemLst>
    <item val="forward from effective date"/>
    <item val="backward from terminating date"/>
  </itemLst>
</formControlPr>
</file>

<file path=xl/ctrlProps/ctrlProp10.xml><?xml version="1.0" encoding="utf-8"?>
<formControlPr xmlns="http://schemas.microsoft.com/office/spreadsheetml/2009/9/main" objectType="Drop" dropStyle="combo" dx="16" fmlaLink="$D$22" sel="4" val="0">
  <itemLst>
    <item val="annual"/>
    <item val="semi-annual"/>
    <item val="quarterly"/>
    <item val="monthly"/>
  </itemLst>
</formControlPr>
</file>

<file path=xl/ctrlProps/ctrlProp11.xml><?xml version="1.0" encoding="utf-8"?>
<formControlPr xmlns="http://schemas.microsoft.com/office/spreadsheetml/2009/9/main" objectType="Drop" dropStyle="combo" dx="16" fmlaLink="$D$24" sel="1" val="0">
  <itemLst>
    <item val="actual/365 (fixed)"/>
    <item val="actual/360"/>
    <item val="actual/365 (actual)"/>
    <item val="30/360 (ISDA)"/>
    <item val="30E/360 (30/360 ISMA)"/>
    <item val="30E+/360"/>
    <item val="actual/actual (ISMA-99)"/>
    <item val="actual/actual (ISDA)"/>
    <item val="30/360 (old)"/>
    <item val="30E/360 (old)"/>
    <item val="30/360 (SIA)"/>
    <item val="30/360 (BMA)"/>
    <item val="30/360 (German)"/>
    <item val="actual/365L"/>
    <item val="NL/365"/>
  </itemLst>
</formControlPr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2238375</xdr:colOff>
          <xdr:row>6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2238375</xdr:colOff>
          <xdr:row>7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2238375</xdr:colOff>
          <xdr:row>8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2238375</xdr:colOff>
          <xdr:row>12</xdr:row>
          <xdr:rowOff>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2238375</xdr:colOff>
          <xdr:row>13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2238375</xdr:colOff>
          <xdr:row>14</xdr:row>
          <xdr:rowOff>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4</xdr:col>
          <xdr:colOff>2238375</xdr:colOff>
          <xdr:row>16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4</xdr:col>
          <xdr:colOff>2238375</xdr:colOff>
          <xdr:row>20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4</xdr:col>
          <xdr:colOff>2238375</xdr:colOff>
          <xdr:row>21</xdr:row>
          <xdr:rowOff>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4</xdr:col>
          <xdr:colOff>2238375</xdr:colOff>
          <xdr:row>22</xdr:row>
          <xdr:rowOff>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4</xdr:col>
          <xdr:colOff>2238375</xdr:colOff>
          <xdr:row>24</xdr:row>
          <xdr:rowOff>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.watt@nab.com.au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omments" Target="../comments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workbookViewId="0">
      <selection activeCell="C1" sqref="C1"/>
    </sheetView>
  </sheetViews>
  <sheetFormatPr defaultRowHeight="12.75"/>
  <cols>
    <col min="2" max="2" width="21.42578125" style="22" bestFit="1" customWidth="1"/>
    <col min="3" max="3" width="36.28515625" style="22" bestFit="1" customWidth="1"/>
    <col min="4" max="4" width="10.85546875" bestFit="1" customWidth="1"/>
    <col min="5" max="5" width="6.28515625" bestFit="1" customWidth="1"/>
    <col min="6" max="6" width="8.5703125" customWidth="1"/>
    <col min="7" max="7" width="23.140625" style="22" bestFit="1" customWidth="1"/>
    <col min="8" max="8" width="36.28515625" style="22" bestFit="1" customWidth="1"/>
    <col min="9" max="9" width="12.85546875" style="22" bestFit="1" customWidth="1"/>
    <col min="10" max="10" width="16.85546875" style="22" bestFit="1" customWidth="1"/>
    <col min="11" max="11" width="4.85546875" style="22" bestFit="1" customWidth="1"/>
    <col min="12" max="12" width="1.42578125" customWidth="1"/>
    <col min="14" max="14" width="23.140625" bestFit="1" customWidth="1"/>
    <col min="15" max="15" width="9.140625" style="23"/>
  </cols>
  <sheetData>
    <row r="1" spans="2:14" ht="13.5" thickBot="1">
      <c r="B1" s="19" t="s">
        <v>35</v>
      </c>
      <c r="C1" s="20" t="str">
        <f>_xll.HLV5r3.Financial.Cache.CreateCurve( B2:C9, B14:D37)</f>
        <v>Market.LIVE.RateCurve.AUD-LIBOR-BBA-3M</v>
      </c>
      <c r="D1" s="21"/>
      <c r="G1" s="19" t="s">
        <v>35</v>
      </c>
      <c r="H1" s="20" t="str">
        <f>_xll.HLV5r3.Financial.Cache.CreateCurve(G2:H9, G14:J45)</f>
        <v>Market.LIVE.RateCurve.AUD-LIBOR-BBA-6M</v>
      </c>
      <c r="J1" s="22" t="str">
        <f>_xll.Orion.ExcelAPI.Cache.CreateRateCurveWithUnits(G2:H9, G14:G53, H14:H53, I14:I53, J14:J53)</f>
        <v>Market.LIVE.RateCurve.AUD-LIBOR-BBA-6M</v>
      </c>
    </row>
    <row r="2" spans="2:14">
      <c r="B2" s="24" t="s">
        <v>36</v>
      </c>
      <c r="C2" s="25" t="s">
        <v>37</v>
      </c>
      <c r="D2" s="21"/>
      <c r="G2" s="24" t="s">
        <v>36</v>
      </c>
      <c r="H2" s="25" t="s">
        <v>37</v>
      </c>
    </row>
    <row r="3" spans="2:14">
      <c r="B3" s="26" t="s">
        <v>38</v>
      </c>
      <c r="C3" s="27">
        <v>36427</v>
      </c>
      <c r="D3" s="21"/>
      <c r="G3" s="26" t="s">
        <v>38</v>
      </c>
      <c r="H3" s="27">
        <f>C3</f>
        <v>36427</v>
      </c>
      <c r="J3" s="28" t="s">
        <v>95</v>
      </c>
    </row>
    <row r="4" spans="2:14">
      <c r="B4" s="26" t="s">
        <v>97</v>
      </c>
      <c r="C4" s="27">
        <f>C3</f>
        <v>36427</v>
      </c>
      <c r="D4" s="21"/>
      <c r="G4" s="26" t="s">
        <v>97</v>
      </c>
      <c r="H4" s="27">
        <f>H3</f>
        <v>36427</v>
      </c>
      <c r="J4" s="28"/>
    </row>
    <row r="5" spans="2:14">
      <c r="B5" s="29" t="s">
        <v>39</v>
      </c>
      <c r="C5" s="30" t="s">
        <v>40</v>
      </c>
      <c r="D5" s="21"/>
      <c r="G5" s="29" t="s">
        <v>39</v>
      </c>
      <c r="H5" s="30" t="s">
        <v>40</v>
      </c>
    </row>
    <row r="6" spans="2:14">
      <c r="B6" s="26" t="s">
        <v>41</v>
      </c>
      <c r="C6" s="31" t="s">
        <v>42</v>
      </c>
      <c r="D6" s="21"/>
      <c r="G6" s="26" t="s">
        <v>41</v>
      </c>
      <c r="H6" s="31" t="s">
        <v>42</v>
      </c>
    </row>
    <row r="7" spans="2:14">
      <c r="B7" s="26" t="s">
        <v>43</v>
      </c>
      <c r="C7" s="30" t="s">
        <v>33</v>
      </c>
      <c r="D7" s="21"/>
      <c r="G7" s="26" t="s">
        <v>43</v>
      </c>
      <c r="H7" s="30" t="s">
        <v>44</v>
      </c>
      <c r="J7" s="28" t="s">
        <v>96</v>
      </c>
    </row>
    <row r="8" spans="2:14">
      <c r="B8" s="26" t="s">
        <v>45</v>
      </c>
      <c r="C8" s="30" t="str">
        <f>C6&amp;"-"&amp;C7</f>
        <v>AUD-LIBOR-BBA-3M</v>
      </c>
      <c r="D8" s="21"/>
      <c r="G8" s="26" t="s">
        <v>45</v>
      </c>
      <c r="H8" s="30" t="str">
        <f>H6&amp;"-"&amp;H7</f>
        <v>AUD-LIBOR-BBA-6M</v>
      </c>
    </row>
    <row r="9" spans="2:14" ht="13.5" thickBot="1">
      <c r="B9" s="32" t="s">
        <v>46</v>
      </c>
      <c r="C9" s="33" t="s">
        <v>47</v>
      </c>
      <c r="D9" s="21"/>
      <c r="G9" s="32" t="s">
        <v>46</v>
      </c>
      <c r="H9" s="33" t="s">
        <v>47</v>
      </c>
    </row>
    <row r="10" spans="2:14" ht="13.5" thickBot="1">
      <c r="B10" s="34"/>
      <c r="C10" s="34"/>
      <c r="D10" s="21"/>
    </row>
    <row r="11" spans="2:14">
      <c r="B11" s="35" t="s">
        <v>48</v>
      </c>
      <c r="C11" s="36"/>
      <c r="D11" s="37"/>
      <c r="E11" s="37"/>
      <c r="G11" s="35" t="s">
        <v>48</v>
      </c>
      <c r="H11" s="36"/>
      <c r="I11" s="38"/>
      <c r="J11" s="38"/>
      <c r="K11" s="38"/>
    </row>
    <row r="12" spans="2:14" ht="13.5" thickBot="1">
      <c r="B12" s="39"/>
      <c r="C12" s="40"/>
      <c r="D12" s="41"/>
      <c r="E12" s="41"/>
      <c r="G12" s="39"/>
      <c r="H12" s="40"/>
      <c r="I12" s="42"/>
      <c r="J12" s="42"/>
      <c r="K12" s="42"/>
    </row>
    <row r="13" spans="2:14" ht="13.5" thickBot="1">
      <c r="B13" s="39" t="s">
        <v>49</v>
      </c>
      <c r="C13" s="43" t="s">
        <v>50</v>
      </c>
      <c r="D13" s="44" t="s">
        <v>51</v>
      </c>
      <c r="E13" s="44" t="s">
        <v>52</v>
      </c>
      <c r="G13" s="39" t="s">
        <v>49</v>
      </c>
      <c r="H13" s="43" t="s">
        <v>53</v>
      </c>
      <c r="I13" s="44" t="s">
        <v>54</v>
      </c>
      <c r="J13" s="44" t="s">
        <v>55</v>
      </c>
      <c r="K13" s="44" t="s">
        <v>52</v>
      </c>
    </row>
    <row r="14" spans="2:14">
      <c r="B14" s="45" t="s">
        <v>56</v>
      </c>
      <c r="C14" s="46">
        <v>0.02</v>
      </c>
      <c r="D14" s="47">
        <v>0</v>
      </c>
      <c r="E14" s="48">
        <v>-1.04638520070921E-10</v>
      </c>
      <c r="G14" s="45" t="s">
        <v>56</v>
      </c>
      <c r="H14" s="46">
        <f>C14</f>
        <v>0.02</v>
      </c>
      <c r="I14" s="49" t="s">
        <v>57</v>
      </c>
      <c r="J14" s="49" t="s">
        <v>58</v>
      </c>
      <c r="K14" s="49">
        <v>0</v>
      </c>
    </row>
    <row r="15" spans="2:14">
      <c r="B15" s="50" t="s">
        <v>59</v>
      </c>
      <c r="C15" s="51">
        <f>C14+0.001</f>
        <v>2.1000000000000001E-2</v>
      </c>
      <c r="D15" s="52">
        <v>0</v>
      </c>
      <c r="E15" s="53">
        <v>1.2614909117303341E-10</v>
      </c>
      <c r="G15" s="50" t="s">
        <v>59</v>
      </c>
      <c r="H15" s="51">
        <f t="shared" ref="H15:H29" si="0">C15</f>
        <v>2.1000000000000001E-2</v>
      </c>
      <c r="I15" s="54" t="s">
        <v>57</v>
      </c>
      <c r="J15" s="54" t="s">
        <v>58</v>
      </c>
      <c r="K15" s="54">
        <v>0</v>
      </c>
    </row>
    <row r="16" spans="2:14">
      <c r="B16" s="50" t="s">
        <v>60</v>
      </c>
      <c r="C16" s="51">
        <f t="shared" ref="C16:C28" si="1">C15+0.001</f>
        <v>2.2000000000000002E-2</v>
      </c>
      <c r="D16" s="52">
        <v>0</v>
      </c>
      <c r="E16" s="53">
        <v>9.3640373233228047E-11</v>
      </c>
      <c r="G16" s="50" t="s">
        <v>60</v>
      </c>
      <c r="H16" s="51">
        <f t="shared" si="0"/>
        <v>2.2000000000000002E-2</v>
      </c>
      <c r="I16" s="54" t="s">
        <v>57</v>
      </c>
      <c r="J16" s="54" t="s">
        <v>58</v>
      </c>
      <c r="K16" s="54">
        <v>0</v>
      </c>
    </row>
    <row r="17" spans="1:11">
      <c r="B17" s="50" t="s">
        <v>61</v>
      </c>
      <c r="C17" s="51">
        <f t="shared" si="1"/>
        <v>2.3000000000000003E-2</v>
      </c>
      <c r="D17" s="52">
        <v>0</v>
      </c>
      <c r="E17" s="53">
        <v>3.6984304507825527E-11</v>
      </c>
      <c r="G17" s="50" t="s">
        <v>61</v>
      </c>
      <c r="H17" s="51">
        <f t="shared" si="0"/>
        <v>2.3000000000000003E-2</v>
      </c>
      <c r="I17" s="54" t="s">
        <v>57</v>
      </c>
      <c r="J17" s="54" t="s">
        <v>58</v>
      </c>
      <c r="K17" s="54">
        <v>0</v>
      </c>
    </row>
    <row r="18" spans="1:11">
      <c r="B18" s="50" t="s">
        <v>62</v>
      </c>
      <c r="C18" s="51">
        <f t="shared" si="1"/>
        <v>2.4000000000000004E-2</v>
      </c>
      <c r="D18" s="52">
        <v>0</v>
      </c>
      <c r="E18" s="53">
        <v>1.0755285551056204E-12</v>
      </c>
      <c r="G18" s="50" t="s">
        <v>62</v>
      </c>
      <c r="H18" s="51">
        <f t="shared" si="0"/>
        <v>2.4000000000000004E-2</v>
      </c>
      <c r="I18" s="54" t="s">
        <v>57</v>
      </c>
      <c r="J18" s="54" t="s">
        <v>58</v>
      </c>
      <c r="K18" s="54">
        <v>0</v>
      </c>
    </row>
    <row r="19" spans="1:11">
      <c r="B19" s="50" t="s">
        <v>63</v>
      </c>
      <c r="C19" s="51">
        <f t="shared" si="1"/>
        <v>2.5000000000000005E-2</v>
      </c>
      <c r="D19" s="52">
        <v>0</v>
      </c>
      <c r="E19" s="53">
        <v>1.5092094240998222E-11</v>
      </c>
      <c r="G19" s="50" t="s">
        <v>63</v>
      </c>
      <c r="H19" s="51">
        <f t="shared" si="0"/>
        <v>2.5000000000000005E-2</v>
      </c>
      <c r="I19" s="54" t="s">
        <v>57</v>
      </c>
      <c r="J19" s="54" t="s">
        <v>58</v>
      </c>
      <c r="K19" s="54">
        <v>0</v>
      </c>
    </row>
    <row r="20" spans="1:11">
      <c r="B20" s="50" t="s">
        <v>64</v>
      </c>
      <c r="C20" s="51">
        <f t="shared" si="1"/>
        <v>2.6000000000000006E-2</v>
      </c>
      <c r="D20" s="52">
        <v>0</v>
      </c>
      <c r="E20" s="53">
        <v>6.6790163677499237E-6</v>
      </c>
      <c r="G20" s="50" t="s">
        <v>64</v>
      </c>
      <c r="H20" s="51">
        <f t="shared" si="0"/>
        <v>2.6000000000000006E-2</v>
      </c>
      <c r="I20" s="54" t="s">
        <v>57</v>
      </c>
      <c r="J20" s="54" t="s">
        <v>58</v>
      </c>
      <c r="K20" s="54">
        <v>0</v>
      </c>
    </row>
    <row r="21" spans="1:11">
      <c r="B21" s="50" t="s">
        <v>65</v>
      </c>
      <c r="C21" s="51">
        <f t="shared" si="1"/>
        <v>2.7000000000000007E-2</v>
      </c>
      <c r="D21" s="52">
        <v>0</v>
      </c>
      <c r="E21" s="53">
        <v>3.9970241665077122E-5</v>
      </c>
      <c r="G21" s="50" t="s">
        <v>65</v>
      </c>
      <c r="H21" s="51">
        <f t="shared" si="0"/>
        <v>2.7000000000000007E-2</v>
      </c>
      <c r="I21" s="54" t="s">
        <v>57</v>
      </c>
      <c r="J21" s="54" t="s">
        <v>58</v>
      </c>
      <c r="K21" s="54">
        <v>0</v>
      </c>
    </row>
    <row r="22" spans="1:11">
      <c r="B22" s="50" t="s">
        <v>66</v>
      </c>
      <c r="C22" s="51">
        <f t="shared" si="1"/>
        <v>2.8000000000000008E-2</v>
      </c>
      <c r="D22" s="52">
        <v>0</v>
      </c>
      <c r="E22" s="53">
        <v>2.2991955561657562E-8</v>
      </c>
      <c r="G22" s="50" t="s">
        <v>66</v>
      </c>
      <c r="H22" s="51">
        <f t="shared" si="0"/>
        <v>2.8000000000000008E-2</v>
      </c>
      <c r="I22" s="54" t="s">
        <v>57</v>
      </c>
      <c r="J22" s="54" t="s">
        <v>58</v>
      </c>
      <c r="K22" s="54">
        <v>0</v>
      </c>
    </row>
    <row r="23" spans="1:11">
      <c r="B23" s="50" t="s">
        <v>67</v>
      </c>
      <c r="C23" s="51">
        <f t="shared" si="1"/>
        <v>2.9000000000000008E-2</v>
      </c>
      <c r="D23" s="52">
        <v>0</v>
      </c>
      <c r="E23" s="53">
        <v>1.0956086732294423E-7</v>
      </c>
      <c r="G23" s="50" t="s">
        <v>67</v>
      </c>
      <c r="H23" s="51">
        <f t="shared" si="0"/>
        <v>2.9000000000000008E-2</v>
      </c>
      <c r="I23" s="54" t="s">
        <v>57</v>
      </c>
      <c r="J23" s="54" t="s">
        <v>58</v>
      </c>
      <c r="K23" s="54">
        <v>0</v>
      </c>
    </row>
    <row r="24" spans="1:11">
      <c r="B24" s="50" t="s">
        <v>68</v>
      </c>
      <c r="C24" s="51">
        <f t="shared" si="1"/>
        <v>3.0000000000000009E-2</v>
      </c>
      <c r="D24" s="52">
        <v>0</v>
      </c>
      <c r="E24" s="53">
        <v>1.159121756910686E-7</v>
      </c>
      <c r="G24" s="50" t="s">
        <v>68</v>
      </c>
      <c r="H24" s="51">
        <f t="shared" si="0"/>
        <v>3.0000000000000009E-2</v>
      </c>
      <c r="I24" s="54" t="s">
        <v>57</v>
      </c>
      <c r="J24" s="54" t="s">
        <v>58</v>
      </c>
      <c r="K24" s="54">
        <v>0</v>
      </c>
    </row>
    <row r="25" spans="1:11">
      <c r="B25" s="50" t="s">
        <v>69</v>
      </c>
      <c r="C25" s="51">
        <f t="shared" si="1"/>
        <v>3.100000000000001E-2</v>
      </c>
      <c r="D25" s="52">
        <v>0</v>
      </c>
      <c r="E25" s="53">
        <v>1.0919076094684232E-5</v>
      </c>
      <c r="G25" s="50" t="s">
        <v>69</v>
      </c>
      <c r="H25" s="51">
        <f t="shared" si="0"/>
        <v>3.100000000000001E-2</v>
      </c>
      <c r="I25" s="54" t="s">
        <v>57</v>
      </c>
      <c r="J25" s="54" t="s">
        <v>58</v>
      </c>
      <c r="K25" s="54">
        <v>0</v>
      </c>
    </row>
    <row r="26" spans="1:11">
      <c r="B26" s="50" t="s">
        <v>70</v>
      </c>
      <c r="C26" s="51">
        <f t="shared" si="1"/>
        <v>3.2000000000000008E-2</v>
      </c>
      <c r="D26" s="52">
        <v>0</v>
      </c>
      <c r="E26" s="53">
        <v>5.320025184274435E-6</v>
      </c>
      <c r="G26" s="50" t="s">
        <v>70</v>
      </c>
      <c r="H26" s="51">
        <f t="shared" si="0"/>
        <v>3.2000000000000008E-2</v>
      </c>
      <c r="I26" s="54" t="s">
        <v>57</v>
      </c>
      <c r="J26" s="54" t="s">
        <v>58</v>
      </c>
      <c r="K26" s="54">
        <v>0</v>
      </c>
    </row>
    <row r="27" spans="1:11">
      <c r="B27" s="50" t="s">
        <v>71</v>
      </c>
      <c r="C27" s="51">
        <f t="shared" si="1"/>
        <v>3.3000000000000008E-2</v>
      </c>
      <c r="D27" s="52">
        <v>0</v>
      </c>
      <c r="E27" s="53">
        <v>2.6961084059751173E-6</v>
      </c>
      <c r="G27" s="50" t="s">
        <v>71</v>
      </c>
      <c r="H27" s="51">
        <f t="shared" si="0"/>
        <v>3.3000000000000008E-2</v>
      </c>
      <c r="I27" s="54" t="s">
        <v>57</v>
      </c>
      <c r="J27" s="54" t="s">
        <v>58</v>
      </c>
      <c r="K27" s="54">
        <v>0</v>
      </c>
    </row>
    <row r="28" spans="1:11">
      <c r="B28" s="50" t="s">
        <v>72</v>
      </c>
      <c r="C28" s="51">
        <f t="shared" si="1"/>
        <v>3.4000000000000009E-2</v>
      </c>
      <c r="D28" s="52">
        <v>0</v>
      </c>
      <c r="E28" s="53">
        <v>2.1320704070293406E-4</v>
      </c>
      <c r="G28" s="50" t="s">
        <v>72</v>
      </c>
      <c r="H28" s="51">
        <f t="shared" si="0"/>
        <v>3.4000000000000009E-2</v>
      </c>
      <c r="I28" s="54" t="s">
        <v>57</v>
      </c>
      <c r="J28" s="54" t="s">
        <v>58</v>
      </c>
      <c r="K28" s="54">
        <v>0</v>
      </c>
    </row>
    <row r="29" spans="1:11" ht="13.5" thickBot="1">
      <c r="B29" s="55" t="s">
        <v>73</v>
      </c>
      <c r="C29" s="56">
        <f>C28+0.0001</f>
        <v>3.4100000000000012E-2</v>
      </c>
      <c r="D29" s="57">
        <v>0</v>
      </c>
      <c r="E29" s="58">
        <v>2.1667279082038249E-7</v>
      </c>
      <c r="G29" s="50" t="s">
        <v>73</v>
      </c>
      <c r="H29" s="51">
        <f t="shared" si="0"/>
        <v>3.4100000000000012E-2</v>
      </c>
      <c r="I29" s="54" t="s">
        <v>57</v>
      </c>
      <c r="J29" s="54" t="s">
        <v>58</v>
      </c>
      <c r="K29" s="54">
        <v>0</v>
      </c>
    </row>
    <row r="30" spans="1:11">
      <c r="A30">
        <v>1</v>
      </c>
      <c r="B30" s="59" t="str">
        <f>"AUD-IRFuture-IR-"&amp;$A30</f>
        <v>AUD-IRFuture-IR-1</v>
      </c>
      <c r="C30" s="60">
        <f>C19</f>
        <v>2.5000000000000005E-2</v>
      </c>
      <c r="D30" s="52">
        <v>0.15</v>
      </c>
      <c r="E30" s="53">
        <v>-3.160952901995473E-3</v>
      </c>
      <c r="G30" s="61" t="str">
        <f>B30</f>
        <v>AUD-IRFuture-IR-1</v>
      </c>
      <c r="H30" s="62">
        <f>C30</f>
        <v>2.5000000000000005E-2</v>
      </c>
      <c r="I30" s="63" t="s">
        <v>57</v>
      </c>
      <c r="J30" s="63" t="s">
        <v>58</v>
      </c>
      <c r="K30" s="49">
        <v>0</v>
      </c>
    </row>
    <row r="31" spans="1:11">
      <c r="A31">
        <v>2</v>
      </c>
      <c r="B31" s="59" t="str">
        <f t="shared" ref="B31:B37" si="2">"AUD-IRFuture-IR-"&amp;$A31</f>
        <v>AUD-IRFuture-IR-2</v>
      </c>
      <c r="C31" s="64">
        <f t="shared" ref="C31:C37" si="3">C30+0.001</f>
        <v>2.6000000000000006E-2</v>
      </c>
      <c r="D31" s="52">
        <v>0.15</v>
      </c>
      <c r="E31" s="53">
        <v>-5.889071300058113E-5</v>
      </c>
      <c r="G31" s="65" t="str">
        <f>B30</f>
        <v>AUD-IRFuture-IR-1</v>
      </c>
      <c r="H31" s="66">
        <v>0.15</v>
      </c>
      <c r="I31" s="67" t="s">
        <v>74</v>
      </c>
      <c r="J31" s="67" t="s">
        <v>75</v>
      </c>
      <c r="K31" s="54"/>
    </row>
    <row r="32" spans="1:11">
      <c r="A32">
        <v>3</v>
      </c>
      <c r="B32" s="59" t="str">
        <f t="shared" si="2"/>
        <v>AUD-IRFuture-IR-3</v>
      </c>
      <c r="C32" s="64">
        <f t="shared" si="3"/>
        <v>2.7000000000000007E-2</v>
      </c>
      <c r="D32" s="52">
        <v>0.15</v>
      </c>
      <c r="E32" s="53">
        <v>-8.5658328100729486E-4</v>
      </c>
      <c r="G32" s="65" t="str">
        <f>B31</f>
        <v>AUD-IRFuture-IR-2</v>
      </c>
      <c r="H32" s="66">
        <f>C31</f>
        <v>2.6000000000000006E-2</v>
      </c>
      <c r="I32" s="67" t="s">
        <v>57</v>
      </c>
      <c r="J32" s="67" t="s">
        <v>58</v>
      </c>
      <c r="K32" s="54">
        <v>0</v>
      </c>
    </row>
    <row r="33" spans="1:11">
      <c r="A33">
        <v>4</v>
      </c>
      <c r="B33" s="59" t="str">
        <f t="shared" si="2"/>
        <v>AUD-IRFuture-IR-4</v>
      </c>
      <c r="C33" s="64">
        <f t="shared" si="3"/>
        <v>2.8000000000000008E-2</v>
      </c>
      <c r="D33" s="52">
        <v>0.15</v>
      </c>
      <c r="E33" s="53">
        <v>-2.0793998467549812E-7</v>
      </c>
      <c r="G33" s="65" t="str">
        <f>B31</f>
        <v>AUD-IRFuture-IR-2</v>
      </c>
      <c r="H33" s="66">
        <v>0.15</v>
      </c>
      <c r="I33" s="67" t="s">
        <v>74</v>
      </c>
      <c r="J33" s="67" t="s">
        <v>75</v>
      </c>
      <c r="K33" s="54"/>
    </row>
    <row r="34" spans="1:11">
      <c r="A34">
        <v>5</v>
      </c>
      <c r="B34" s="59" t="str">
        <f t="shared" si="2"/>
        <v>AUD-IRFuture-IR-5</v>
      </c>
      <c r="C34" s="64">
        <f t="shared" si="3"/>
        <v>2.9000000000000008E-2</v>
      </c>
      <c r="D34" s="52">
        <v>0.15</v>
      </c>
      <c r="E34" s="53">
        <v>-3.9514884889874091E-3</v>
      </c>
      <c r="G34" s="65" t="str">
        <f>B32</f>
        <v>AUD-IRFuture-IR-3</v>
      </c>
      <c r="H34" s="66">
        <f>C32</f>
        <v>2.7000000000000007E-2</v>
      </c>
      <c r="I34" s="67" t="s">
        <v>57</v>
      </c>
      <c r="J34" s="67" t="s">
        <v>58</v>
      </c>
      <c r="K34" s="54">
        <v>0</v>
      </c>
    </row>
    <row r="35" spans="1:11">
      <c r="A35">
        <v>6</v>
      </c>
      <c r="B35" s="59" t="str">
        <f t="shared" si="2"/>
        <v>AUD-IRFuture-IR-6</v>
      </c>
      <c r="C35" s="64">
        <f t="shared" si="3"/>
        <v>3.0000000000000009E-2</v>
      </c>
      <c r="D35" s="52">
        <v>0.15</v>
      </c>
      <c r="E35" s="53">
        <v>1.0302083204988266E-2</v>
      </c>
      <c r="G35" s="65" t="str">
        <f>B32</f>
        <v>AUD-IRFuture-IR-3</v>
      </c>
      <c r="H35" s="66">
        <v>0.15</v>
      </c>
      <c r="I35" s="67" t="s">
        <v>74</v>
      </c>
      <c r="J35" s="67" t="s">
        <v>75</v>
      </c>
      <c r="K35" s="54"/>
    </row>
    <row r="36" spans="1:11">
      <c r="A36" s="68">
        <v>7</v>
      </c>
      <c r="B36" s="59" t="str">
        <f t="shared" si="2"/>
        <v>AUD-IRFuture-IR-7</v>
      </c>
      <c r="C36" s="64">
        <f t="shared" si="3"/>
        <v>3.100000000000001E-2</v>
      </c>
      <c r="D36" s="52">
        <v>0.15</v>
      </c>
      <c r="E36" s="53">
        <v>1.9076898984116131E-5</v>
      </c>
      <c r="G36" s="65" t="str">
        <f>B33</f>
        <v>AUD-IRFuture-IR-4</v>
      </c>
      <c r="H36" s="66">
        <f>C33</f>
        <v>2.8000000000000008E-2</v>
      </c>
      <c r="I36" s="67" t="s">
        <v>57</v>
      </c>
      <c r="J36" s="67" t="s">
        <v>58</v>
      </c>
      <c r="K36" s="54">
        <v>0</v>
      </c>
    </row>
    <row r="37" spans="1:11" ht="13.5" thickBot="1">
      <c r="A37" s="68">
        <v>8</v>
      </c>
      <c r="B37" s="69" t="str">
        <f t="shared" si="2"/>
        <v>AUD-IRFuture-IR-8</v>
      </c>
      <c r="C37" s="70">
        <f t="shared" si="3"/>
        <v>3.2000000000000008E-2</v>
      </c>
      <c r="D37" s="57">
        <v>0.15</v>
      </c>
      <c r="E37" s="58">
        <v>6.4722988982190977E-5</v>
      </c>
      <c r="G37" s="65" t="str">
        <f>B33</f>
        <v>AUD-IRFuture-IR-4</v>
      </c>
      <c r="H37" s="66">
        <v>0.15</v>
      </c>
      <c r="I37" s="67" t="s">
        <v>74</v>
      </c>
      <c r="J37" s="67" t="s">
        <v>75</v>
      </c>
      <c r="K37" s="54"/>
    </row>
    <row r="38" spans="1:11">
      <c r="B38" s="71"/>
      <c r="C38" s="71"/>
      <c r="D38" s="72"/>
      <c r="G38" s="65" t="str">
        <f>B34</f>
        <v>AUD-IRFuture-IR-5</v>
      </c>
      <c r="H38" s="66">
        <f>C34</f>
        <v>2.9000000000000008E-2</v>
      </c>
      <c r="I38" s="67" t="s">
        <v>57</v>
      </c>
      <c r="J38" s="67" t="s">
        <v>58</v>
      </c>
      <c r="K38" s="54">
        <v>0</v>
      </c>
    </row>
    <row r="39" spans="1:11">
      <c r="B39" s="71"/>
      <c r="C39" s="71"/>
      <c r="D39" s="72"/>
      <c r="G39" s="65" t="str">
        <f>B34</f>
        <v>AUD-IRFuture-IR-5</v>
      </c>
      <c r="H39" s="66">
        <v>0.15</v>
      </c>
      <c r="I39" s="67" t="s">
        <v>74</v>
      </c>
      <c r="J39" s="67" t="s">
        <v>75</v>
      </c>
      <c r="K39" s="54"/>
    </row>
    <row r="40" spans="1:11">
      <c r="B40" s="22" t="s">
        <v>76</v>
      </c>
      <c r="C40" s="22" t="b">
        <v>1</v>
      </c>
      <c r="G40" s="65" t="str">
        <f>B35</f>
        <v>AUD-IRFuture-IR-6</v>
      </c>
      <c r="H40" s="66">
        <f>C35</f>
        <v>3.0000000000000009E-2</v>
      </c>
      <c r="I40" s="67" t="s">
        <v>57</v>
      </c>
      <c r="J40" s="67" t="s">
        <v>58</v>
      </c>
      <c r="K40" s="54">
        <v>0</v>
      </c>
    </row>
    <row r="41" spans="1:11">
      <c r="B41" s="73" t="s">
        <v>47</v>
      </c>
      <c r="E41" s="68" t="s">
        <v>44</v>
      </c>
      <c r="G41" s="65" t="str">
        <f>B35</f>
        <v>AUD-IRFuture-IR-6</v>
      </c>
      <c r="H41" s="66">
        <v>0.15</v>
      </c>
      <c r="I41" s="67" t="s">
        <v>74</v>
      </c>
      <c r="J41" s="67" t="s">
        <v>75</v>
      </c>
      <c r="K41" s="54"/>
    </row>
    <row r="42" spans="1:11">
      <c r="B42" s="73" t="s">
        <v>77</v>
      </c>
      <c r="C42" s="22" t="b">
        <v>1</v>
      </c>
      <c r="D42">
        <f>_xll.HLV5r3.Financial.Cache.GetSwapImpliedQuote( $C$1, "AUD", $C$3, $C$3, $E$43, $E$42, $E$41, $E$44)</f>
        <v>3.3000000109571659E-2</v>
      </c>
      <c r="E42" t="s">
        <v>78</v>
      </c>
      <c r="G42" s="65" t="str">
        <f>B36</f>
        <v>AUD-IRFuture-IR-7</v>
      </c>
      <c r="H42" s="66">
        <f>C36</f>
        <v>3.100000000000001E-2</v>
      </c>
      <c r="I42" s="67" t="s">
        <v>57</v>
      </c>
      <c r="J42" s="67" t="s">
        <v>58</v>
      </c>
      <c r="K42" s="54">
        <v>0</v>
      </c>
    </row>
    <row r="43" spans="1:11">
      <c r="B43" s="74" t="s">
        <v>79</v>
      </c>
      <c r="C43" s="22" t="b">
        <v>0</v>
      </c>
      <c r="E43" s="75" t="s">
        <v>34</v>
      </c>
      <c r="G43" s="65" t="str">
        <f>B36</f>
        <v>AUD-IRFuture-IR-7</v>
      </c>
      <c r="H43" s="66">
        <v>0.15</v>
      </c>
      <c r="I43" s="67" t="s">
        <v>74</v>
      </c>
      <c r="J43" s="67" t="s">
        <v>75</v>
      </c>
      <c r="K43" s="54"/>
    </row>
    <row r="44" spans="1:11">
      <c r="B44" s="76" t="s">
        <v>80</v>
      </c>
      <c r="E44">
        <v>3</v>
      </c>
      <c r="G44" s="65" t="str">
        <f>B37</f>
        <v>AUD-IRFuture-IR-8</v>
      </c>
      <c r="H44" s="66">
        <f>C37</f>
        <v>3.2000000000000008E-2</v>
      </c>
      <c r="I44" s="67" t="s">
        <v>57</v>
      </c>
      <c r="J44" s="67" t="s">
        <v>58</v>
      </c>
      <c r="K44" s="54">
        <v>0</v>
      </c>
    </row>
    <row r="45" spans="1:11" ht="13.5" thickBot="1">
      <c r="B45" s="76" t="s">
        <v>81</v>
      </c>
      <c r="G45" s="77" t="str">
        <f>B37</f>
        <v>AUD-IRFuture-IR-8</v>
      </c>
      <c r="H45" s="78">
        <v>0.15</v>
      </c>
      <c r="I45" s="79" t="s">
        <v>74</v>
      </c>
      <c r="J45" s="79" t="s">
        <v>75</v>
      </c>
      <c r="K45" s="80">
        <v>0</v>
      </c>
    </row>
    <row r="46" spans="1:11">
      <c r="B46" s="81" t="s">
        <v>82</v>
      </c>
      <c r="C46" s="82">
        <v>41636</v>
      </c>
      <c r="D46" t="str">
        <f>(C46-$H$3)&amp;"D"</f>
        <v>5209D</v>
      </c>
      <c r="E46" t="s">
        <v>83</v>
      </c>
      <c r="G46" s="65" t="str">
        <f>"AUD-SpreadFra-"&amp;D46&amp;"-"&amp;E46</f>
        <v>AUD-SpreadFra-5209D-3D</v>
      </c>
      <c r="H46" s="66">
        <v>0.01</v>
      </c>
      <c r="I46" s="67" t="s">
        <v>57</v>
      </c>
      <c r="J46" s="67" t="s">
        <v>84</v>
      </c>
      <c r="K46" s="54">
        <v>0</v>
      </c>
    </row>
    <row r="47" spans="1:11">
      <c r="C47" s="82">
        <v>42001</v>
      </c>
      <c r="D47" t="str">
        <f t="shared" ref="D47:D53" si="4">(C47-$H$3)&amp;"D"</f>
        <v>5574D</v>
      </c>
      <c r="E47" t="s">
        <v>83</v>
      </c>
      <c r="G47" s="65" t="str">
        <f t="shared" ref="G47:G53" si="5">"AUD-SpreadFra-"&amp;D47&amp;"-"&amp;E47</f>
        <v>AUD-SpreadFra-5574D-3D</v>
      </c>
      <c r="H47" s="66">
        <v>0.01</v>
      </c>
      <c r="I47" s="67" t="s">
        <v>57</v>
      </c>
      <c r="J47" s="67" t="s">
        <v>84</v>
      </c>
      <c r="K47" s="54">
        <v>0</v>
      </c>
    </row>
    <row r="48" spans="1:11">
      <c r="B48" s="83" t="s">
        <v>85</v>
      </c>
      <c r="C48" s="82">
        <f>C47+365</f>
        <v>42366</v>
      </c>
      <c r="D48" t="str">
        <f t="shared" si="4"/>
        <v>5939D</v>
      </c>
      <c r="E48" t="s">
        <v>83</v>
      </c>
      <c r="G48" s="65" t="str">
        <f t="shared" si="5"/>
        <v>AUD-SpreadFra-5939D-3D</v>
      </c>
      <c r="H48" s="66">
        <v>0.01</v>
      </c>
      <c r="I48" s="67" t="s">
        <v>57</v>
      </c>
      <c r="J48" s="67" t="s">
        <v>84</v>
      </c>
      <c r="K48" s="54">
        <v>0</v>
      </c>
    </row>
    <row r="49" spans="1:11">
      <c r="B49" s="84" t="s">
        <v>86</v>
      </c>
      <c r="C49" s="82">
        <f>C48+365</f>
        <v>42731</v>
      </c>
      <c r="D49" t="str">
        <f t="shared" si="4"/>
        <v>6304D</v>
      </c>
      <c r="E49" t="s">
        <v>83</v>
      </c>
      <c r="G49" s="65" t="str">
        <f t="shared" si="5"/>
        <v>AUD-SpreadFra-6304D-3D</v>
      </c>
      <c r="H49" s="66">
        <v>0.01</v>
      </c>
      <c r="I49" s="67" t="s">
        <v>57</v>
      </c>
      <c r="J49" s="67" t="s">
        <v>84</v>
      </c>
      <c r="K49" s="54">
        <v>0</v>
      </c>
    </row>
    <row r="50" spans="1:11">
      <c r="B50" s="84" t="s">
        <v>87</v>
      </c>
      <c r="C50" s="82">
        <f>C49+365</f>
        <v>43096</v>
      </c>
      <c r="D50" t="str">
        <f t="shared" si="4"/>
        <v>6669D</v>
      </c>
      <c r="E50" t="s">
        <v>83</v>
      </c>
      <c r="G50" s="65" t="str">
        <f t="shared" si="5"/>
        <v>AUD-SpreadFra-6669D-3D</v>
      </c>
      <c r="H50" s="66">
        <v>0.01</v>
      </c>
      <c r="I50" s="67" t="s">
        <v>57</v>
      </c>
      <c r="J50" s="67" t="s">
        <v>84</v>
      </c>
      <c r="K50" s="54">
        <v>0</v>
      </c>
    </row>
    <row r="51" spans="1:11">
      <c r="B51" s="84" t="s">
        <v>88</v>
      </c>
      <c r="C51" s="82">
        <f>C50+365</f>
        <v>43461</v>
      </c>
      <c r="D51" t="str">
        <f t="shared" si="4"/>
        <v>7034D</v>
      </c>
      <c r="E51" t="s">
        <v>83</v>
      </c>
      <c r="G51" s="65" t="str">
        <f t="shared" si="5"/>
        <v>AUD-SpreadFra-7034D-3D</v>
      </c>
      <c r="H51" s="66">
        <v>0.01</v>
      </c>
      <c r="I51" s="67" t="s">
        <v>57</v>
      </c>
      <c r="J51" s="67" t="s">
        <v>84</v>
      </c>
      <c r="K51" s="54">
        <v>0</v>
      </c>
    </row>
    <row r="52" spans="1:11">
      <c r="B52" s="85" t="s">
        <v>89</v>
      </c>
      <c r="C52" s="82">
        <f>C51+365</f>
        <v>43826</v>
      </c>
      <c r="D52" t="str">
        <f t="shared" si="4"/>
        <v>7399D</v>
      </c>
      <c r="E52" t="s">
        <v>83</v>
      </c>
      <c r="G52" s="65" t="str">
        <f t="shared" si="5"/>
        <v>AUD-SpreadFra-7399D-3D</v>
      </c>
      <c r="H52" s="66">
        <v>0.01</v>
      </c>
      <c r="I52" s="67" t="s">
        <v>57</v>
      </c>
      <c r="J52" s="67" t="s">
        <v>84</v>
      </c>
      <c r="K52" s="54">
        <v>0</v>
      </c>
    </row>
    <row r="53" spans="1:11" ht="13.5" thickBot="1">
      <c r="B53" s="28" t="s">
        <v>87</v>
      </c>
      <c r="C53" s="82">
        <f>C52+366</f>
        <v>44192</v>
      </c>
      <c r="D53" t="str">
        <f t="shared" si="4"/>
        <v>7765D</v>
      </c>
      <c r="E53" t="s">
        <v>83</v>
      </c>
      <c r="G53" s="77" t="str">
        <f t="shared" si="5"/>
        <v>AUD-SpreadFra-7765D-3D</v>
      </c>
      <c r="H53" s="78">
        <v>0.01</v>
      </c>
      <c r="I53" s="79" t="s">
        <v>57</v>
      </c>
      <c r="J53" s="79" t="s">
        <v>84</v>
      </c>
      <c r="K53" s="80">
        <v>0</v>
      </c>
    </row>
    <row r="55" spans="1:11">
      <c r="A55">
        <f t="array" ref="A55:B83">_xll.HLV5r3.Financial.Cache.GetDaysAndZeroRates($C$1, $C$3, $B$53)</f>
        <v>0</v>
      </c>
      <c r="B55" s="86">
        <v>2.0048431543632894E-2</v>
      </c>
      <c r="C55" s="87" t="s">
        <v>90</v>
      </c>
      <c r="D55">
        <v>1000000</v>
      </c>
      <c r="F55" s="88"/>
      <c r="G55" s="87">
        <f t="array" ref="G55:H91">_xll.HLV5r3.Financial.Cache.GetTermCurve($C$1)</f>
        <v>36427</v>
      </c>
      <c r="H55">
        <v>1</v>
      </c>
      <c r="I55" s="87"/>
    </row>
    <row r="56" spans="1:11">
      <c r="A56">
        <v>3</v>
      </c>
      <c r="B56" s="86">
        <v>2.0048431543632894E-2</v>
      </c>
      <c r="C56" s="87">
        <f ca="1">TODAY()</f>
        <v>43134</v>
      </c>
      <c r="D56">
        <v>1</v>
      </c>
      <c r="F56" s="88" t="s">
        <v>91</v>
      </c>
      <c r="G56" s="87">
        <v>36430</v>
      </c>
      <c r="H56">
        <v>0.99983564345586995</v>
      </c>
      <c r="I56" s="87"/>
    </row>
    <row r="57" spans="1:11">
      <c r="A57">
        <v>10</v>
      </c>
      <c r="B57" s="86">
        <v>2.0750183412561185E-2</v>
      </c>
      <c r="C57" s="87">
        <f ca="1">C56+90</f>
        <v>43224</v>
      </c>
      <c r="D57">
        <f>D56*0.95</f>
        <v>0.95</v>
      </c>
      <c r="F57" s="88">
        <v>0.05</v>
      </c>
      <c r="G57" s="87">
        <v>36437</v>
      </c>
      <c r="H57">
        <v>0.99943313203009299</v>
      </c>
      <c r="I57" s="87"/>
    </row>
    <row r="58" spans="1:11">
      <c r="A58">
        <v>17</v>
      </c>
      <c r="B58" s="86">
        <v>2.1697766084223247E-2</v>
      </c>
      <c r="C58" s="87">
        <f t="shared" ref="C58:C76" ca="1" si="6">C57+90</f>
        <v>43314</v>
      </c>
      <c r="D58">
        <f t="shared" ref="D58:D76" si="7">D57*0.95</f>
        <v>0.90249999999999997</v>
      </c>
      <c r="F58" s="88" t="s">
        <v>92</v>
      </c>
      <c r="G58" s="87">
        <v>36444</v>
      </c>
      <c r="H58">
        <v>0.99899265787059799</v>
      </c>
      <c r="I58" s="87"/>
    </row>
    <row r="59" spans="1:11">
      <c r="A59">
        <v>33</v>
      </c>
      <c r="B59" s="86">
        <v>2.2771960091129806E-2</v>
      </c>
      <c r="C59" s="87">
        <f t="shared" ca="1" si="6"/>
        <v>43404</v>
      </c>
      <c r="D59">
        <f t="shared" si="7"/>
        <v>0.85737499999999989</v>
      </c>
      <c r="F59" s="88"/>
      <c r="G59" s="87">
        <v>36460</v>
      </c>
      <c r="H59">
        <v>0.99794910952279903</v>
      </c>
      <c r="I59" s="87"/>
    </row>
    <row r="60" spans="1:11">
      <c r="A60">
        <v>66</v>
      </c>
      <c r="B60" s="86">
        <v>2.3841559093626508E-2</v>
      </c>
      <c r="C60" s="87">
        <f t="shared" ca="1" si="6"/>
        <v>43494</v>
      </c>
      <c r="D60">
        <f t="shared" si="7"/>
        <v>0.81450624999999988</v>
      </c>
      <c r="F60" s="89" t="s">
        <v>93</v>
      </c>
      <c r="G60" s="87">
        <v>36493</v>
      </c>
      <c r="H60">
        <v>0.99571094496603796</v>
      </c>
      <c r="I60" s="87"/>
    </row>
    <row r="61" spans="1:11">
      <c r="A61">
        <v>94</v>
      </c>
      <c r="B61" s="86">
        <v>2.4842083815828531E-2</v>
      </c>
      <c r="C61" s="87">
        <f t="shared" ca="1" si="6"/>
        <v>43584</v>
      </c>
      <c r="D61">
        <f t="shared" si="7"/>
        <v>0.77378093749999988</v>
      </c>
      <c r="F61" s="90" t="s">
        <v>94</v>
      </c>
      <c r="G61" s="87">
        <v>36521</v>
      </c>
      <c r="H61">
        <v>0.99364239292462697</v>
      </c>
      <c r="I61" s="87"/>
    </row>
    <row r="62" spans="1:11">
      <c r="A62">
        <v>167</v>
      </c>
      <c r="B62" s="86">
        <v>2.464747709496784E-2</v>
      </c>
      <c r="C62" s="87">
        <f t="shared" ca="1" si="6"/>
        <v>43674</v>
      </c>
      <c r="D62">
        <f t="shared" si="7"/>
        <v>0.7350918906249998</v>
      </c>
      <c r="F62" s="90"/>
      <c r="G62" s="87">
        <v>36594</v>
      </c>
      <c r="H62">
        <v>0.98882049729213795</v>
      </c>
      <c r="I62" s="87"/>
    </row>
    <row r="63" spans="1:11">
      <c r="A63">
        <v>258</v>
      </c>
      <c r="B63" s="86">
        <v>2.5122480596809105E-2</v>
      </c>
      <c r="C63" s="87">
        <f t="shared" ca="1" si="6"/>
        <v>43764</v>
      </c>
      <c r="D63">
        <f t="shared" si="7"/>
        <v>0.69833729609374973</v>
      </c>
      <c r="F63" s="88" t="e">
        <f ca="1">_xll.HLV5r3.Financial.Cache.GetStructuredSwapMetric($C$1, C55, C56, D55, C56:C76, D56:D76, E43, F57, F56, F58, F60)</f>
        <v>#VALUE!</v>
      </c>
      <c r="G63" s="87">
        <v>36685</v>
      </c>
      <c r="H63">
        <v>0.98245348921863096</v>
      </c>
      <c r="I63" s="87"/>
    </row>
    <row r="64" spans="1:11">
      <c r="A64">
        <v>349</v>
      </c>
      <c r="B64" s="86">
        <v>2.5609816393691531E-2</v>
      </c>
      <c r="C64" s="87">
        <f t="shared" ca="1" si="6"/>
        <v>43854</v>
      </c>
      <c r="D64">
        <f t="shared" si="7"/>
        <v>0.66342043128906225</v>
      </c>
      <c r="F64" s="88"/>
      <c r="G64" s="87">
        <v>36776</v>
      </c>
      <c r="H64">
        <v>0.97588635565538695</v>
      </c>
      <c r="I64" s="87"/>
    </row>
    <row r="65" spans="1:9">
      <c r="A65">
        <v>440</v>
      </c>
      <c r="B65" s="86">
        <v>2.610154816653143E-2</v>
      </c>
      <c r="C65" s="87">
        <f t="shared" ca="1" si="6"/>
        <v>43944</v>
      </c>
      <c r="D65">
        <f t="shared" si="7"/>
        <v>0.63024940972460908</v>
      </c>
      <c r="F65" s="88"/>
      <c r="G65" s="87">
        <v>36867</v>
      </c>
      <c r="H65">
        <v>0.96912404279299103</v>
      </c>
      <c r="I65" s="87"/>
    </row>
    <row r="66" spans="1:9">
      <c r="A66">
        <v>531</v>
      </c>
      <c r="B66" s="86">
        <v>2.6595134763598871E-2</v>
      </c>
      <c r="C66" s="87">
        <f t="shared" ca="1" si="6"/>
        <v>44034</v>
      </c>
      <c r="D66">
        <f t="shared" si="7"/>
        <v>0.59873693923837856</v>
      </c>
      <c r="F66" s="88"/>
      <c r="G66" s="87">
        <v>36958</v>
      </c>
      <c r="H66">
        <v>0.96217166202422</v>
      </c>
      <c r="I66" s="87"/>
    </row>
    <row r="67" spans="1:9">
      <c r="A67">
        <v>622</v>
      </c>
      <c r="B67" s="86">
        <v>2.7089482162484302E-2</v>
      </c>
      <c r="C67" s="87">
        <f t="shared" ca="1" si="6"/>
        <v>44124</v>
      </c>
      <c r="D67">
        <f t="shared" si="7"/>
        <v>0.56880009227645956</v>
      </c>
      <c r="F67" s="88"/>
      <c r="G67" s="87">
        <v>37049</v>
      </c>
      <c r="H67">
        <v>0.95503448373520505</v>
      </c>
      <c r="I67" s="87"/>
    </row>
    <row r="68" spans="1:9">
      <c r="A68">
        <v>713</v>
      </c>
      <c r="B68" s="86">
        <v>2.7584027846161874E-2</v>
      </c>
      <c r="C68" s="87">
        <f t="shared" ca="1" si="6"/>
        <v>44214</v>
      </c>
      <c r="D68">
        <f t="shared" si="7"/>
        <v>0.54036008766263655</v>
      </c>
      <c r="F68" s="88"/>
      <c r="G68" s="87">
        <v>37140</v>
      </c>
      <c r="H68">
        <v>0.94771791405637296</v>
      </c>
      <c r="I68" s="87"/>
    </row>
    <row r="69" spans="1:9">
      <c r="A69">
        <v>804</v>
      </c>
      <c r="B69" s="86">
        <v>2.8078436620882385E-2</v>
      </c>
      <c r="C69" s="87">
        <f t="shared" ca="1" si="6"/>
        <v>44304</v>
      </c>
      <c r="D69">
        <f t="shared" si="7"/>
        <v>0.5133420832795047</v>
      </c>
      <c r="F69" s="88"/>
      <c r="G69" s="87">
        <v>37231</v>
      </c>
      <c r="H69">
        <v>0.94022749341099399</v>
      </c>
      <c r="I69" s="87"/>
    </row>
    <row r="70" spans="1:9">
      <c r="A70">
        <v>1099</v>
      </c>
      <c r="B70" s="86">
        <v>2.5951413366371412E-2</v>
      </c>
      <c r="C70" s="87">
        <f t="shared" ca="1" si="6"/>
        <v>44394</v>
      </c>
      <c r="D70">
        <f t="shared" si="7"/>
        <v>0.48767497911552943</v>
      </c>
      <c r="F70" s="88"/>
      <c r="G70" s="87">
        <v>37526</v>
      </c>
      <c r="H70">
        <v>0.92506964337339104</v>
      </c>
      <c r="I70" s="87"/>
    </row>
    <row r="71" spans="1:9">
      <c r="A71">
        <v>1466</v>
      </c>
      <c r="B71" s="86">
        <v>2.6909994292003248E-2</v>
      </c>
      <c r="C71" s="87">
        <f t="shared" ca="1" si="6"/>
        <v>44484</v>
      </c>
      <c r="D71">
        <f t="shared" si="7"/>
        <v>0.46329123015975293</v>
      </c>
      <c r="F71" s="88"/>
      <c r="G71" s="87">
        <v>37893</v>
      </c>
      <c r="H71">
        <v>0.89787861380016898</v>
      </c>
      <c r="I71" s="87"/>
    </row>
    <row r="72" spans="1:9">
      <c r="A72">
        <v>1830</v>
      </c>
      <c r="B72" s="86">
        <v>2.7960524452700142E-2</v>
      </c>
      <c r="C72" s="87">
        <f t="shared" ca="1" si="6"/>
        <v>44574</v>
      </c>
      <c r="D72">
        <f t="shared" si="7"/>
        <v>0.44012666865176525</v>
      </c>
      <c r="F72" s="88"/>
      <c r="G72" s="87">
        <v>38257</v>
      </c>
      <c r="H72">
        <v>0.86962085908278697</v>
      </c>
      <c r="I72" s="87"/>
    </row>
    <row r="73" spans="1:9">
      <c r="A73">
        <v>2195</v>
      </c>
      <c r="B73" s="86">
        <v>2.9021131748849349E-2</v>
      </c>
      <c r="C73" s="87">
        <f t="shared" ca="1" si="6"/>
        <v>44664</v>
      </c>
      <c r="D73">
        <f t="shared" si="7"/>
        <v>0.41812033521917696</v>
      </c>
      <c r="F73" s="88"/>
      <c r="G73" s="87">
        <v>38622</v>
      </c>
      <c r="H73">
        <v>0.84038574340674699</v>
      </c>
      <c r="I73" s="87"/>
    </row>
    <row r="74" spans="1:9">
      <c r="A74">
        <v>2560</v>
      </c>
      <c r="B74" s="86">
        <v>3.0095183122118563E-2</v>
      </c>
      <c r="C74" s="87">
        <f t="shared" ca="1" si="6"/>
        <v>44754</v>
      </c>
      <c r="D74">
        <f t="shared" si="7"/>
        <v>0.39721431845821809</v>
      </c>
      <c r="F74" s="88"/>
      <c r="G74" s="87">
        <v>38987</v>
      </c>
      <c r="H74">
        <v>0.81035046727737203</v>
      </c>
      <c r="I74" s="87"/>
    </row>
    <row r="75" spans="1:9">
      <c r="A75">
        <v>2925</v>
      </c>
      <c r="B75" s="86">
        <v>3.1185244497818232E-2</v>
      </c>
      <c r="C75" s="87">
        <f t="shared" ca="1" si="6"/>
        <v>44844</v>
      </c>
      <c r="D75">
        <f t="shared" si="7"/>
        <v>0.37735360253530714</v>
      </c>
      <c r="F75" s="88"/>
      <c r="G75" s="87">
        <v>39352</v>
      </c>
      <c r="H75">
        <v>0.77962674934710297</v>
      </c>
      <c r="I75" s="87"/>
    </row>
    <row r="76" spans="1:9">
      <c r="A76">
        <v>3293</v>
      </c>
      <c r="B76" s="86">
        <v>3.2293169807205757E-2</v>
      </c>
      <c r="C76" s="87">
        <f t="shared" ca="1" si="6"/>
        <v>44934</v>
      </c>
      <c r="D76">
        <f t="shared" si="7"/>
        <v>0.35848592240854177</v>
      </c>
      <c r="F76" s="88"/>
      <c r="G76" s="87">
        <v>39720</v>
      </c>
      <c r="H76">
        <v>0.74813147073043595</v>
      </c>
      <c r="I76" s="87"/>
    </row>
    <row r="77" spans="1:9">
      <c r="A77">
        <v>3657</v>
      </c>
      <c r="B77" s="86">
        <v>3.3422911093601293E-2</v>
      </c>
      <c r="C77" s="87"/>
      <c r="F77" s="88"/>
      <c r="G77" s="87">
        <v>40084</v>
      </c>
      <c r="H77">
        <v>0.71642708572470104</v>
      </c>
      <c r="I77" s="87"/>
    </row>
    <row r="78" spans="1:9">
      <c r="A78">
        <v>5484</v>
      </c>
      <c r="B78" s="86">
        <v>3.4449504019861799E-2</v>
      </c>
      <c r="C78" s="87"/>
      <c r="F78" s="88"/>
      <c r="G78" s="87">
        <v>41911</v>
      </c>
      <c r="H78">
        <v>0.59727605624961599</v>
      </c>
      <c r="I78" s="87"/>
    </row>
    <row r="79" spans="1:9">
      <c r="A79">
        <v>7308</v>
      </c>
      <c r="B79" s="86">
        <v>3.4433958073938342E-2</v>
      </c>
      <c r="C79" s="87"/>
      <c r="F79" s="88"/>
      <c r="G79" s="87">
        <v>43735</v>
      </c>
      <c r="H79">
        <v>0.50334306307062404</v>
      </c>
      <c r="I79" s="87"/>
    </row>
    <row r="80" spans="1:9">
      <c r="A80" t="e">
        <v>#N/A</v>
      </c>
      <c r="B80" s="22" t="e">
        <v>#N/A</v>
      </c>
      <c r="G80" s="22" t="e">
        <v>#N/A</v>
      </c>
      <c r="H80" t="e">
        <v>#N/A</v>
      </c>
      <c r="I80" s="87"/>
    </row>
    <row r="81" spans="1:9">
      <c r="A81" t="e">
        <v>#N/A</v>
      </c>
      <c r="B81" s="22" t="e">
        <v>#N/A</v>
      </c>
      <c r="G81" s="22" t="e">
        <v>#N/A</v>
      </c>
      <c r="H81" t="e">
        <v>#N/A</v>
      </c>
      <c r="I81" s="87"/>
    </row>
    <row r="82" spans="1:9">
      <c r="A82" t="e">
        <v>#N/A</v>
      </c>
      <c r="B82" s="22" t="e">
        <v>#N/A</v>
      </c>
      <c r="G82" s="22" t="e">
        <v>#N/A</v>
      </c>
      <c r="H82" t="e">
        <v>#N/A</v>
      </c>
      <c r="I82" s="87"/>
    </row>
    <row r="83" spans="1:9">
      <c r="A83" t="e">
        <v>#N/A</v>
      </c>
      <c r="B83" s="22" t="e">
        <v>#N/A</v>
      </c>
      <c r="G83" s="22" t="e">
        <v>#N/A</v>
      </c>
      <c r="H83" t="e">
        <v>#N/A</v>
      </c>
      <c r="I83" s="87"/>
    </row>
    <row r="84" spans="1:9">
      <c r="G84" s="22" t="e">
        <v>#N/A</v>
      </c>
      <c r="H84" t="e">
        <v>#N/A</v>
      </c>
      <c r="I84" s="87"/>
    </row>
    <row r="85" spans="1:9">
      <c r="G85" s="22" t="e">
        <v>#N/A</v>
      </c>
      <c r="H85" t="e">
        <v>#N/A</v>
      </c>
      <c r="I85" s="87"/>
    </row>
    <row r="86" spans="1:9">
      <c r="G86" s="22" t="e">
        <v>#N/A</v>
      </c>
      <c r="H86" t="e">
        <v>#N/A</v>
      </c>
      <c r="I86" s="87"/>
    </row>
    <row r="87" spans="1:9">
      <c r="G87" s="22" t="e">
        <v>#N/A</v>
      </c>
      <c r="H87" t="e">
        <v>#N/A</v>
      </c>
      <c r="I87" s="87"/>
    </row>
    <row r="88" spans="1:9">
      <c r="G88" s="22" t="e">
        <v>#N/A</v>
      </c>
      <c r="H88" t="e">
        <v>#N/A</v>
      </c>
      <c r="I88" s="87"/>
    </row>
    <row r="89" spans="1:9">
      <c r="G89" s="22" t="e">
        <v>#N/A</v>
      </c>
      <c r="H89" t="e">
        <v>#N/A</v>
      </c>
      <c r="I89" s="87"/>
    </row>
    <row r="90" spans="1:9">
      <c r="G90" s="22" t="e">
        <v>#N/A</v>
      </c>
      <c r="H90" t="e">
        <v>#N/A</v>
      </c>
      <c r="I90" s="87"/>
    </row>
    <row r="91" spans="1:9">
      <c r="G91" s="22" t="e">
        <v>#N/A</v>
      </c>
      <c r="H91" t="e">
        <v>#N/A</v>
      </c>
      <c r="I91" s="87"/>
    </row>
  </sheetData>
  <protectedRanges>
    <protectedRange sqref="B41:B43 B46 C9 H9" name="Range2_1"/>
  </protectedRanges>
  <dataValidations count="3">
    <dataValidation type="list" allowBlank="1" showInputMessage="1" showErrorMessage="1" sqref="B53" xr:uid="{00000000-0002-0000-0000-000000000000}">
      <formula1>$B$48:$B$52</formula1>
    </dataValidation>
    <dataValidation type="list" allowBlank="1" showInputMessage="1" showErrorMessage="1" sqref="C40" xr:uid="{00000000-0002-0000-0000-000001000000}">
      <formula1>$C$42:$C$43</formula1>
    </dataValidation>
    <dataValidation type="list" allowBlank="1" showInputMessage="1" showErrorMessage="1" sqref="C9 H9" xr:uid="{00000000-0002-0000-0000-000002000000}">
      <formula1>$B$41:$B$46</formula1>
    </dataValidation>
  </dataValidations>
  <hyperlinks>
    <hyperlink ref="H64" r:id="rId1" display="alex.watt@nab.com.au" xr:uid="{00000000-0004-0000-0000-000000000000}"/>
  </hyperlinks>
  <pageMargins left="0.75" right="0.75" top="1" bottom="1" header="0.5" footer="0.5"/>
  <pageSetup paperSize="9" scale="60" orientation="landscape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4"/>
  <sheetViews>
    <sheetView tabSelected="1" workbookViewId="0">
      <selection activeCell="G35" sqref="G35"/>
    </sheetView>
  </sheetViews>
  <sheetFormatPr defaultRowHeight="12.75"/>
  <cols>
    <col min="1" max="1" width="31" customWidth="1"/>
    <col min="2" max="2" width="17.42578125" customWidth="1"/>
    <col min="3" max="3" width="45.5703125" bestFit="1" customWidth="1"/>
    <col min="4" max="4" width="17.42578125" bestFit="1" customWidth="1"/>
    <col min="5" max="5" width="35.7109375" customWidth="1"/>
    <col min="6" max="6" width="13.7109375" bestFit="1" customWidth="1"/>
    <col min="7" max="8" width="11.7109375" bestFit="1" customWidth="1"/>
    <col min="9" max="10" width="12" bestFit="1" customWidth="1"/>
  </cols>
  <sheetData>
    <row r="1" spans="1:16" ht="18" customHeight="1">
      <c r="A1" s="11" t="s">
        <v>107</v>
      </c>
      <c r="B1" s="92">
        <f>D2</f>
        <v>36427</v>
      </c>
      <c r="C1" s="8" t="s">
        <v>2</v>
      </c>
      <c r="D1" s="96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11" t="s">
        <v>108</v>
      </c>
      <c r="B2" s="92">
        <f>D3</f>
        <v>36305</v>
      </c>
      <c r="C2" s="11" t="s">
        <v>107</v>
      </c>
      <c r="D2" s="12">
        <v>36427</v>
      </c>
      <c r="E2" s="9"/>
      <c r="F2" t="str">
        <f t="array" ref="F2:J29">_xll.HLV5r3.Financial.Cache.FincadSwapCpnSchedule(B1, B2, B3, B4, B5, B6, D18, B7, B8, B9, B10, A23:B45, B11, B12, B13, B14, A23:B45, layout)</f>
        <v>Pay cashflows:</v>
      </c>
      <c r="G2" t="str">
        <v/>
      </c>
      <c r="H2" t="str">
        <v/>
      </c>
      <c r="I2" t="str">
        <v/>
      </c>
      <c r="J2" t="str">
        <v/>
      </c>
    </row>
    <row r="3" spans="1:16">
      <c r="A3" s="11" t="s">
        <v>109</v>
      </c>
      <c r="B3" s="92">
        <f>D4</f>
        <v>37036</v>
      </c>
      <c r="C3" s="11" t="s">
        <v>108</v>
      </c>
      <c r="D3" s="12">
        <v>36305</v>
      </c>
      <c r="E3" s="9"/>
      <c r="F3" t="str">
        <v>Accrual start</v>
      </c>
      <c r="G3" t="str">
        <v>Accrual end</v>
      </c>
      <c r="H3" t="str">
        <v>Payment</v>
      </c>
      <c r="I3" t="str">
        <v>Year fraction</v>
      </c>
      <c r="J3" t="str">
        <v>Interest FV</v>
      </c>
    </row>
    <row r="4" spans="1:16">
      <c r="A4" s="9" t="s">
        <v>110</v>
      </c>
      <c r="B4" s="93" t="s">
        <v>32</v>
      </c>
      <c r="C4" s="11" t="s">
        <v>109</v>
      </c>
      <c r="D4" s="12">
        <v>37036</v>
      </c>
      <c r="E4" s="9"/>
      <c r="F4" s="4">
        <v>36397</v>
      </c>
      <c r="G4" s="4">
        <v>36489</v>
      </c>
      <c r="H4" s="4">
        <v>36489</v>
      </c>
      <c r="I4">
        <v>0.25205479452054802</v>
      </c>
      <c r="J4">
        <v>11624.066600594933</v>
      </c>
    </row>
    <row r="5" spans="1:16">
      <c r="A5" s="11" t="s">
        <v>111</v>
      </c>
      <c r="B5" s="94">
        <f>D9</f>
        <v>0</v>
      </c>
      <c r="C5" s="11" t="s">
        <v>3</v>
      </c>
      <c r="D5" s="10">
        <v>0</v>
      </c>
      <c r="E5" s="9"/>
      <c r="F5" s="4">
        <v>36489</v>
      </c>
      <c r="G5" s="4">
        <v>36581</v>
      </c>
      <c r="H5" s="4">
        <v>36581</v>
      </c>
      <c r="I5">
        <v>0.25205479452054802</v>
      </c>
      <c r="J5">
        <v>12011.681405622472</v>
      </c>
    </row>
    <row r="6" spans="1:16" ht="15" customHeight="1">
      <c r="A6" s="11" t="s">
        <v>112</v>
      </c>
      <c r="B6" s="95">
        <f>D11</f>
        <v>4.6501000000000008E-2</v>
      </c>
      <c r="C6" s="9" t="s">
        <v>4</v>
      </c>
      <c r="D6" s="10">
        <v>1</v>
      </c>
      <c r="E6" s="9"/>
      <c r="F6" s="4">
        <v>36581</v>
      </c>
      <c r="G6" s="4">
        <v>36671</v>
      </c>
      <c r="H6" s="4">
        <v>36671</v>
      </c>
      <c r="I6">
        <v>0.24657534246575299</v>
      </c>
      <c r="J6">
        <v>11682.775004634001</v>
      </c>
    </row>
    <row r="7" spans="1:16" ht="15" customHeight="1">
      <c r="A7" s="99" t="s">
        <v>113</v>
      </c>
      <c r="B7" s="22">
        <f>D13</f>
        <v>1</v>
      </c>
      <c r="C7" s="9" t="s">
        <v>110</v>
      </c>
      <c r="D7" s="10">
        <v>1</v>
      </c>
      <c r="E7" s="9"/>
      <c r="F7" s="4">
        <v>36671</v>
      </c>
      <c r="G7" s="4">
        <v>36763</v>
      </c>
      <c r="H7" s="4">
        <v>36763</v>
      </c>
      <c r="I7">
        <v>0.25205479452054802</v>
      </c>
      <c r="J7">
        <v>11828.18375981154</v>
      </c>
    </row>
    <row r="8" spans="1:16" ht="15" customHeight="1">
      <c r="A8" s="99" t="s">
        <v>114</v>
      </c>
      <c r="B8" s="22" t="s">
        <v>33</v>
      </c>
      <c r="C8" s="9" t="s">
        <v>5</v>
      </c>
      <c r="D8" s="10">
        <v>1</v>
      </c>
      <c r="E8" s="9"/>
      <c r="F8" s="4">
        <v>36763</v>
      </c>
      <c r="G8" s="4">
        <v>36857</v>
      </c>
      <c r="H8" s="4">
        <v>36857</v>
      </c>
      <c r="I8">
        <v>0.25753424657534202</v>
      </c>
      <c r="J8">
        <v>11942.531218210419</v>
      </c>
    </row>
    <row r="9" spans="1:16">
      <c r="A9" s="99" t="s">
        <v>115</v>
      </c>
      <c r="B9" s="22" t="s">
        <v>34</v>
      </c>
      <c r="C9" s="11" t="s">
        <v>111</v>
      </c>
      <c r="D9" s="13">
        <v>0</v>
      </c>
      <c r="E9" s="9"/>
      <c r="F9" s="4">
        <v>36857</v>
      </c>
      <c r="G9" s="4">
        <v>36948</v>
      </c>
      <c r="H9" s="4">
        <v>36948</v>
      </c>
      <c r="I9">
        <v>0.24931506849315099</v>
      </c>
      <c r="J9">
        <v>11420.693766483575</v>
      </c>
    </row>
    <row r="10" spans="1:16">
      <c r="A10" s="100" t="s">
        <v>116</v>
      </c>
      <c r="B10" s="22" t="s">
        <v>31</v>
      </c>
      <c r="C10" s="11" t="s">
        <v>6</v>
      </c>
      <c r="D10" s="10">
        <v>1</v>
      </c>
      <c r="E10" s="9"/>
      <c r="F10" s="4">
        <v>36948</v>
      </c>
      <c r="G10" s="4">
        <v>37036</v>
      </c>
      <c r="H10" s="4">
        <v>37036</v>
      </c>
      <c r="I10">
        <v>0.241095890410959</v>
      </c>
      <c r="J10">
        <v>10902.638331632626</v>
      </c>
    </row>
    <row r="11" spans="1:16">
      <c r="A11" s="101" t="s">
        <v>117</v>
      </c>
      <c r="B11" s="22">
        <f>D21</f>
        <v>1</v>
      </c>
      <c r="C11" s="11" t="s">
        <v>112</v>
      </c>
      <c r="D11" s="13">
        <f>3.5% * 1.3286</f>
        <v>4.6501000000000008E-2</v>
      </c>
      <c r="E11" s="9"/>
      <c r="F11" t="str">
        <v>Rec cashflows:</v>
      </c>
      <c r="G11" t="str">
        <v/>
      </c>
      <c r="H11" t="str">
        <v/>
      </c>
      <c r="I11" t="str">
        <v/>
      </c>
      <c r="J11" t="str">
        <v/>
      </c>
    </row>
    <row r="12" spans="1:16" ht="15" customHeight="1">
      <c r="A12" s="101" t="s">
        <v>120</v>
      </c>
      <c r="B12" s="22" t="s">
        <v>33</v>
      </c>
      <c r="C12" s="9" t="s">
        <v>7</v>
      </c>
      <c r="D12" s="10">
        <v>1</v>
      </c>
      <c r="E12" s="9"/>
      <c r="F12" t="str">
        <v>Accrual start</v>
      </c>
      <c r="G12" t="str">
        <v>Accrual end</v>
      </c>
      <c r="H12" t="str">
        <v>Payment</v>
      </c>
      <c r="I12" t="str">
        <v>Year fraction</v>
      </c>
      <c r="J12" t="str">
        <v>Interest FV</v>
      </c>
    </row>
    <row r="13" spans="1:16" ht="15" customHeight="1">
      <c r="A13" s="101" t="s">
        <v>121</v>
      </c>
      <c r="B13" s="22" t="s">
        <v>34</v>
      </c>
      <c r="C13" s="9" t="s">
        <v>113</v>
      </c>
      <c r="D13" s="10">
        <v>1</v>
      </c>
      <c r="E13" s="9"/>
      <c r="F13" s="4">
        <v>36397</v>
      </c>
      <c r="G13" s="4">
        <v>36489</v>
      </c>
      <c r="H13" s="4">
        <v>36489</v>
      </c>
      <c r="I13">
        <v>0.25205479452054802</v>
      </c>
      <c r="J13">
        <v>11624.066600594933</v>
      </c>
    </row>
    <row r="14" spans="1:16" ht="15" customHeight="1">
      <c r="A14" s="102" t="s">
        <v>122</v>
      </c>
      <c r="B14" s="22" t="s">
        <v>31</v>
      </c>
      <c r="C14" s="9" t="s">
        <v>114</v>
      </c>
      <c r="D14" s="10">
        <v>3</v>
      </c>
      <c r="E14" s="9"/>
      <c r="F14" s="4">
        <v>36489</v>
      </c>
      <c r="G14" s="4">
        <v>36581</v>
      </c>
      <c r="H14" s="4">
        <v>36581</v>
      </c>
      <c r="I14">
        <v>0.25205479452054802</v>
      </c>
      <c r="J14">
        <v>12011.681405622472</v>
      </c>
    </row>
    <row r="15" spans="1:16">
      <c r="B15" s="22"/>
      <c r="C15" s="11" t="s">
        <v>8</v>
      </c>
      <c r="D15" s="9" t="s">
        <v>9</v>
      </c>
      <c r="E15" s="9"/>
      <c r="F15" s="4">
        <v>36581</v>
      </c>
      <c r="G15" s="4">
        <v>36671</v>
      </c>
      <c r="H15" s="4">
        <v>36671</v>
      </c>
      <c r="I15">
        <v>0.24657534246575299</v>
      </c>
      <c r="J15">
        <v>11682.775004634001</v>
      </c>
    </row>
    <row r="16" spans="1:16" ht="15" customHeight="1" thickBot="1">
      <c r="A16" t="str">
        <f>AUDCurve!C1</f>
        <v>Market.LIVE.RateCurve.AUD-LIBOR-BBA-3M</v>
      </c>
      <c r="C16" s="9" t="s">
        <v>115</v>
      </c>
      <c r="D16" s="10">
        <v>1</v>
      </c>
      <c r="E16" s="9"/>
      <c r="F16" s="4">
        <v>36671</v>
      </c>
      <c r="G16" s="4">
        <v>36763</v>
      </c>
      <c r="H16" s="4">
        <v>36763</v>
      </c>
      <c r="I16">
        <v>0.25205479452054802</v>
      </c>
      <c r="J16">
        <v>11828.18375981154</v>
      </c>
    </row>
    <row r="17" spans="1:10" ht="13.5" thickBot="1">
      <c r="A17" s="16" t="s">
        <v>29</v>
      </c>
      <c r="B17" s="18">
        <f>_xll.HLV5r3.Financial.Cache.FincadSwapCpn(B1, B2, B3, B4, B5, B6, B7, B8, B9, B10, A23:B45, B11, B12, B13, B14, A23:B45)</f>
        <v>0.05</v>
      </c>
      <c r="C17" s="11" t="s">
        <v>116</v>
      </c>
      <c r="D17" s="9" t="s">
        <v>10</v>
      </c>
      <c r="E17" s="9"/>
      <c r="F17" s="4">
        <v>36763</v>
      </c>
      <c r="G17" s="4">
        <v>36857</v>
      </c>
      <c r="H17" s="4">
        <v>36857</v>
      </c>
      <c r="I17">
        <v>0.25753424657534202</v>
      </c>
      <c r="J17">
        <v>11942.531218210419</v>
      </c>
    </row>
    <row r="18" spans="1:10" ht="13.5" thickBot="1">
      <c r="B18" s="103">
        <f>_xll.HLV5r3.Financial.Cache.GetFincadSwapParRate(B1, B2, B3, B4, B5, B6, B7, B8, B9, B10, A16, B11, B12, B13, B14, A16)</f>
        <v>0.05</v>
      </c>
      <c r="C18" s="11" t="s">
        <v>11</v>
      </c>
      <c r="D18" s="10">
        <v>1000000</v>
      </c>
      <c r="E18" s="9"/>
      <c r="F18" s="4">
        <v>36857</v>
      </c>
      <c r="G18" s="4">
        <v>36948</v>
      </c>
      <c r="H18" s="4">
        <v>36948</v>
      </c>
      <c r="I18">
        <v>0.24931506849315099</v>
      </c>
      <c r="J18">
        <v>11420.693766483575</v>
      </c>
    </row>
    <row r="19" spans="1:10" ht="13.5" thickBot="1">
      <c r="A19" s="17" t="s">
        <v>30</v>
      </c>
      <c r="B19" s="98" t="s">
        <v>119</v>
      </c>
      <c r="C19" s="11" t="s">
        <v>12</v>
      </c>
      <c r="D19" s="9" t="s">
        <v>13</v>
      </c>
      <c r="E19" s="9"/>
      <c r="F19" s="4">
        <v>36948</v>
      </c>
      <c r="G19" s="4">
        <v>37036</v>
      </c>
      <c r="H19" s="4">
        <v>37036</v>
      </c>
      <c r="I19">
        <v>0.241095890410959</v>
      </c>
      <c r="J19">
        <v>10902.638331632626</v>
      </c>
    </row>
    <row r="20" spans="1:10" ht="15" customHeight="1">
      <c r="B20" s="103">
        <f>_xll.HLV5r3.Financial.Cache.FincadSwapCpn2(A1:B14, A23:B45, A23:B45)</f>
        <v>0.05</v>
      </c>
      <c r="C20" s="9" t="s">
        <v>14</v>
      </c>
      <c r="D20" s="10">
        <v>1</v>
      </c>
      <c r="E20" s="9"/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 spans="1:10" ht="15" customHeight="1">
      <c r="C21" s="9" t="s">
        <v>117</v>
      </c>
      <c r="D21" s="10">
        <v>1</v>
      </c>
      <c r="E21" s="9"/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 spans="1:10" ht="15" customHeight="1" thickBot="1">
      <c r="A22" s="1" t="s">
        <v>0</v>
      </c>
      <c r="B22" s="1" t="s">
        <v>1</v>
      </c>
      <c r="C22" s="9" t="s">
        <v>15</v>
      </c>
      <c r="D22" s="10">
        <v>4</v>
      </c>
      <c r="E22" s="9"/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</row>
    <row r="23" spans="1:10">
      <c r="A23" s="2">
        <v>36427</v>
      </c>
      <c r="B23" s="3">
        <v>1</v>
      </c>
      <c r="C23" s="11" t="s">
        <v>16</v>
      </c>
      <c r="D23" s="9" t="s">
        <v>9</v>
      </c>
      <c r="E23" s="9"/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</row>
    <row r="24" spans="1:10" ht="15" customHeight="1">
      <c r="A24" s="4">
        <v>36430</v>
      </c>
      <c r="B24" s="5">
        <v>0.99959906499999995</v>
      </c>
      <c r="C24" s="9" t="s">
        <v>17</v>
      </c>
      <c r="D24" s="10">
        <v>1</v>
      </c>
      <c r="E24" s="9"/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</row>
    <row r="25" spans="1:10">
      <c r="A25" s="4">
        <v>36434</v>
      </c>
      <c r="B25" s="5">
        <v>0.99906473600000001</v>
      </c>
      <c r="C25" s="11" t="s">
        <v>18</v>
      </c>
      <c r="D25" s="9" t="s">
        <v>10</v>
      </c>
      <c r="E25" s="9"/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</row>
    <row r="26" spans="1:10">
      <c r="A26" s="4">
        <v>36457</v>
      </c>
      <c r="B26" s="5">
        <v>0.99599787900000003</v>
      </c>
      <c r="C26" s="11" t="s">
        <v>19</v>
      </c>
      <c r="D26" s="10">
        <v>1000000</v>
      </c>
      <c r="E26" s="9"/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</row>
    <row r="27" spans="1:10">
      <c r="A27" s="4">
        <v>36488</v>
      </c>
      <c r="B27" s="5">
        <v>0.99187918100000005</v>
      </c>
      <c r="C27" s="11" t="s">
        <v>20</v>
      </c>
      <c r="D27" s="9" t="s">
        <v>13</v>
      </c>
      <c r="E27" s="9"/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</row>
    <row r="28" spans="1:10">
      <c r="A28" s="4">
        <v>36518</v>
      </c>
      <c r="B28" s="5">
        <v>0.98790956100000005</v>
      </c>
      <c r="C28" s="9"/>
      <c r="D28" s="9"/>
      <c r="E28" s="9"/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</row>
    <row r="29" spans="1:10">
      <c r="A29" s="4">
        <v>36601</v>
      </c>
      <c r="B29" s="5">
        <v>0.97714013700000002</v>
      </c>
      <c r="C29" s="14" t="s">
        <v>21</v>
      </c>
      <c r="D29" s="9"/>
      <c r="E29" s="9"/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 spans="1:10" ht="13.5" thickBot="1">
      <c r="A30" s="4">
        <v>36692</v>
      </c>
      <c r="B30" s="5">
        <v>0.96532608399999997</v>
      </c>
      <c r="C30" s="1" t="s">
        <v>22</v>
      </c>
      <c r="D30" s="9"/>
      <c r="E30" s="9"/>
    </row>
    <row r="31" spans="1:10" ht="13.5" thickBot="1">
      <c r="A31" s="4">
        <v>36790</v>
      </c>
      <c r="B31" s="5">
        <v>0.95276294800000005</v>
      </c>
      <c r="C31" s="15"/>
      <c r="D31" s="9"/>
      <c r="E31" s="9"/>
    </row>
    <row r="32" spans="1:10">
      <c r="A32" s="4">
        <v>36881</v>
      </c>
      <c r="B32" s="5">
        <v>0.941243626</v>
      </c>
      <c r="C32" s="9"/>
      <c r="D32" s="9"/>
      <c r="E32" s="9"/>
    </row>
    <row r="33" spans="1:5">
      <c r="A33" s="4">
        <v>36965</v>
      </c>
      <c r="B33" s="5">
        <v>0.93073405899999995</v>
      </c>
      <c r="C33" s="14" t="s">
        <v>23</v>
      </c>
      <c r="D33" s="9"/>
      <c r="E33" s="9"/>
    </row>
    <row r="34" spans="1:5" ht="13.5" thickBot="1">
      <c r="A34" s="4">
        <v>37063</v>
      </c>
      <c r="B34" s="5">
        <v>0.91862111800000001</v>
      </c>
      <c r="C34" s="1" t="s">
        <v>24</v>
      </c>
      <c r="D34" s="9"/>
      <c r="E34" s="9"/>
    </row>
    <row r="35" spans="1:5">
      <c r="A35" s="4">
        <v>37154</v>
      </c>
      <c r="B35" s="5">
        <v>0.90751458500000004</v>
      </c>
      <c r="C35" s="2">
        <v>36892</v>
      </c>
      <c r="D35" s="9"/>
      <c r="E35" s="9"/>
    </row>
    <row r="36" spans="1:5">
      <c r="A36" s="4">
        <v>37158</v>
      </c>
      <c r="B36" s="5">
        <v>0.907029478</v>
      </c>
      <c r="C36" s="4">
        <v>36942</v>
      </c>
      <c r="D36" s="9"/>
      <c r="E36" s="9"/>
    </row>
    <row r="37" spans="1:5">
      <c r="A37" s="4">
        <v>37523</v>
      </c>
      <c r="B37" s="5">
        <v>0.86372213600000003</v>
      </c>
      <c r="C37" s="4">
        <v>36995</v>
      </c>
      <c r="D37" s="9"/>
      <c r="E37" s="9"/>
    </row>
    <row r="38" spans="1:5">
      <c r="A38" s="4">
        <v>37888</v>
      </c>
      <c r="B38" s="5">
        <v>0.82259251</v>
      </c>
      <c r="C38" s="4">
        <v>37040</v>
      </c>
      <c r="D38" s="9"/>
      <c r="E38" s="9"/>
    </row>
    <row r="39" spans="1:5">
      <c r="A39" s="4">
        <v>38254</v>
      </c>
      <c r="B39" s="5">
        <v>0.78342143799999997</v>
      </c>
      <c r="C39" s="4">
        <v>37076</v>
      </c>
      <c r="D39" s="9"/>
      <c r="E39" s="9"/>
    </row>
    <row r="40" spans="1:5">
      <c r="A40" s="4">
        <v>38619</v>
      </c>
      <c r="B40" s="5">
        <v>0.74611565499999999</v>
      </c>
      <c r="C40" s="4">
        <v>37138</v>
      </c>
      <c r="D40" s="9"/>
      <c r="E40" s="9"/>
    </row>
    <row r="41" spans="1:5">
      <c r="A41" s="4">
        <v>38984</v>
      </c>
      <c r="B41" s="5">
        <v>0.71049136000000002</v>
      </c>
      <c r="C41" s="4">
        <v>37173</v>
      </c>
      <c r="D41" s="9"/>
      <c r="E41" s="9"/>
    </row>
    <row r="42" spans="1:5">
      <c r="A42" s="4">
        <v>39349</v>
      </c>
      <c r="B42" s="5">
        <v>0.67665843800000003</v>
      </c>
      <c r="C42" s="4">
        <v>37218</v>
      </c>
      <c r="D42" s="9"/>
      <c r="E42" s="9"/>
    </row>
    <row r="43" spans="1:5" ht="13.5" thickBot="1">
      <c r="A43" s="4">
        <v>39715</v>
      </c>
      <c r="B43" s="5">
        <v>0.64443660700000005</v>
      </c>
      <c r="C43" s="6">
        <v>37250</v>
      </c>
      <c r="D43" s="9"/>
      <c r="E43" s="9"/>
    </row>
    <row r="44" spans="1:5">
      <c r="A44" s="4">
        <v>40080</v>
      </c>
      <c r="B44" s="5">
        <v>0.61374914999999997</v>
      </c>
      <c r="C44" s="9"/>
      <c r="D44" s="9"/>
      <c r="E44" s="9"/>
    </row>
    <row r="45" spans="1:5" ht="13.5" thickBot="1">
      <c r="A45" s="6">
        <v>40445</v>
      </c>
      <c r="B45" s="7">
        <v>0.58444487099999998</v>
      </c>
      <c r="C45" s="14" t="s">
        <v>25</v>
      </c>
      <c r="D45" s="9"/>
      <c r="E45" s="9"/>
    </row>
    <row r="46" spans="1:5" ht="13.5" thickBot="1">
      <c r="C46" s="1" t="s">
        <v>0</v>
      </c>
      <c r="D46" s="1" t="s">
        <v>1</v>
      </c>
      <c r="E46" s="9"/>
    </row>
    <row r="47" spans="1:5">
      <c r="C47" s="2">
        <v>36427</v>
      </c>
      <c r="D47" s="3">
        <v>1</v>
      </c>
      <c r="E47" s="9"/>
    </row>
    <row r="48" spans="1:5">
      <c r="C48" s="4">
        <v>36430</v>
      </c>
      <c r="D48" s="5">
        <v>0.99959906499999995</v>
      </c>
      <c r="E48" s="9"/>
    </row>
    <row r="49" spans="3:5">
      <c r="C49" s="4">
        <v>36434</v>
      </c>
      <c r="D49" s="5">
        <v>0.99906473600000001</v>
      </c>
      <c r="E49" s="9"/>
    </row>
    <row r="50" spans="3:5">
      <c r="C50" s="4">
        <v>36457</v>
      </c>
      <c r="D50" s="5">
        <v>0.99599787900000003</v>
      </c>
      <c r="E50" s="9"/>
    </row>
    <row r="51" spans="3:5">
      <c r="C51" s="4">
        <v>36488</v>
      </c>
      <c r="D51" s="5">
        <v>0.99187918100000005</v>
      </c>
      <c r="E51" s="9"/>
    </row>
    <row r="52" spans="3:5">
      <c r="C52" s="4">
        <v>36518</v>
      </c>
      <c r="D52" s="5">
        <v>0.98790956100000005</v>
      </c>
      <c r="E52" s="9"/>
    </row>
    <row r="53" spans="3:5">
      <c r="C53" s="4">
        <v>36601</v>
      </c>
      <c r="D53" s="5">
        <v>0.97714013700000002</v>
      </c>
      <c r="E53" s="9"/>
    </row>
    <row r="54" spans="3:5">
      <c r="C54" s="4">
        <v>36692</v>
      </c>
      <c r="D54" s="5">
        <v>0.96532608399999997</v>
      </c>
      <c r="E54" s="9"/>
    </row>
    <row r="55" spans="3:5">
      <c r="C55" s="4">
        <v>36790</v>
      </c>
      <c r="D55" s="5">
        <v>0.95276294800000005</v>
      </c>
      <c r="E55" s="9"/>
    </row>
    <row r="56" spans="3:5">
      <c r="C56" s="4">
        <v>36881</v>
      </c>
      <c r="D56" s="5">
        <v>0.941243626</v>
      </c>
      <c r="E56" s="9"/>
    </row>
    <row r="57" spans="3:5">
      <c r="C57" s="4">
        <v>36965</v>
      </c>
      <c r="D57" s="5">
        <v>0.93073405899999995</v>
      </c>
      <c r="E57" s="9"/>
    </row>
    <row r="58" spans="3:5">
      <c r="C58" s="4">
        <v>37063</v>
      </c>
      <c r="D58" s="5">
        <v>0.91862111800000001</v>
      </c>
      <c r="E58" s="9"/>
    </row>
    <row r="59" spans="3:5">
      <c r="C59" s="4">
        <v>37154</v>
      </c>
      <c r="D59" s="5">
        <v>0.90751458500000004</v>
      </c>
      <c r="E59" s="9"/>
    </row>
    <row r="60" spans="3:5">
      <c r="C60" s="4">
        <v>37158</v>
      </c>
      <c r="D60" s="5">
        <v>0.907029478</v>
      </c>
      <c r="E60" s="9"/>
    </row>
    <row r="61" spans="3:5">
      <c r="C61" s="4">
        <v>37523</v>
      </c>
      <c r="D61" s="5">
        <v>0.86372213600000003</v>
      </c>
      <c r="E61" s="9"/>
    </row>
    <row r="62" spans="3:5">
      <c r="C62" s="4">
        <v>37888</v>
      </c>
      <c r="D62" s="5">
        <v>0.82259251</v>
      </c>
      <c r="E62" s="9"/>
    </row>
    <row r="63" spans="3:5">
      <c r="C63" s="4">
        <v>38254</v>
      </c>
      <c r="D63" s="5">
        <v>0.78342143799999997</v>
      </c>
      <c r="E63" s="9"/>
    </row>
    <row r="64" spans="3:5">
      <c r="C64" s="4">
        <v>38619</v>
      </c>
      <c r="D64" s="5">
        <v>0.74611565499999999</v>
      </c>
      <c r="E64" s="9"/>
    </row>
    <row r="65" spans="3:5">
      <c r="C65" s="4">
        <v>38984</v>
      </c>
      <c r="D65" s="5">
        <v>0.71049136000000002</v>
      </c>
      <c r="E65" s="9"/>
    </row>
    <row r="66" spans="3:5">
      <c r="C66" s="4">
        <v>39349</v>
      </c>
      <c r="D66" s="5">
        <v>0.67665843800000003</v>
      </c>
      <c r="E66" s="9"/>
    </row>
    <row r="67" spans="3:5">
      <c r="C67" s="4">
        <v>39715</v>
      </c>
      <c r="D67" s="5">
        <v>0.64443660700000005</v>
      </c>
      <c r="E67" s="9"/>
    </row>
    <row r="68" spans="3:5">
      <c r="C68" s="4">
        <v>40080</v>
      </c>
      <c r="D68" s="5">
        <v>0.61374914999999997</v>
      </c>
      <c r="E68" s="9"/>
    </row>
    <row r="69" spans="3:5" ht="13.5" thickBot="1">
      <c r="C69" s="6">
        <v>40445</v>
      </c>
      <c r="D69" s="7">
        <v>0.58444487099999998</v>
      </c>
      <c r="E69" s="9"/>
    </row>
    <row r="70" spans="3:5">
      <c r="C70" s="9"/>
      <c r="D70" s="9"/>
      <c r="E70" s="9"/>
    </row>
    <row r="71" spans="3:5">
      <c r="C71" s="14" t="s">
        <v>26</v>
      </c>
      <c r="D71" s="9"/>
      <c r="E71" s="9"/>
    </row>
    <row r="72" spans="3:5" ht="13.5" thickBot="1">
      <c r="C72" s="1" t="s">
        <v>22</v>
      </c>
      <c r="D72" s="9"/>
      <c r="E72" s="9"/>
    </row>
    <row r="73" spans="3:5" ht="13.5" thickBot="1">
      <c r="C73" s="15"/>
      <c r="D73" s="9"/>
      <c r="E73" s="9"/>
    </row>
    <row r="74" spans="3:5">
      <c r="C74" s="9"/>
      <c r="D74" s="9"/>
      <c r="E74" s="9"/>
    </row>
    <row r="75" spans="3:5">
      <c r="C75" s="14" t="s">
        <v>27</v>
      </c>
      <c r="D75" s="9"/>
      <c r="E75" s="9"/>
    </row>
    <row r="76" spans="3:5" ht="13.5" thickBot="1">
      <c r="C76" s="1" t="s">
        <v>24</v>
      </c>
      <c r="D76" s="9"/>
      <c r="E76" s="9"/>
    </row>
    <row r="77" spans="3:5">
      <c r="C77" s="2">
        <v>36892</v>
      </c>
      <c r="D77" s="9"/>
      <c r="E77" s="9"/>
    </row>
    <row r="78" spans="3:5">
      <c r="C78" s="4">
        <v>36942</v>
      </c>
      <c r="D78" s="9"/>
      <c r="E78" s="9"/>
    </row>
    <row r="79" spans="3:5">
      <c r="C79" s="4">
        <v>36995</v>
      </c>
      <c r="D79" s="9"/>
      <c r="E79" s="9"/>
    </row>
    <row r="80" spans="3:5">
      <c r="C80" s="4">
        <v>37040</v>
      </c>
      <c r="D80" s="9"/>
      <c r="E80" s="9"/>
    </row>
    <row r="81" spans="3:5">
      <c r="C81" s="4">
        <v>37076</v>
      </c>
      <c r="D81" s="9"/>
      <c r="E81" s="9"/>
    </row>
    <row r="82" spans="3:5">
      <c r="C82" s="4">
        <v>37138</v>
      </c>
      <c r="D82" s="9"/>
      <c r="E82" s="9"/>
    </row>
    <row r="83" spans="3:5">
      <c r="C83" s="4">
        <v>37173</v>
      </c>
      <c r="D83" s="9"/>
      <c r="E83" s="9"/>
    </row>
    <row r="84" spans="3:5">
      <c r="C84" s="4">
        <v>37218</v>
      </c>
      <c r="D84" s="9"/>
      <c r="E84" s="9"/>
    </row>
    <row r="85" spans="3:5" ht="13.5" thickBot="1">
      <c r="C85" s="6">
        <v>37250</v>
      </c>
      <c r="D85" s="9"/>
      <c r="E85" s="9"/>
    </row>
    <row r="86" spans="3:5">
      <c r="C86" s="9"/>
      <c r="D86" s="9"/>
      <c r="E86" s="9"/>
    </row>
    <row r="87" spans="3:5">
      <c r="C87" s="14" t="s">
        <v>28</v>
      </c>
      <c r="D87" s="9"/>
      <c r="E87" s="9"/>
    </row>
    <row r="88" spans="3:5" ht="13.5" thickBot="1">
      <c r="C88" s="1" t="s">
        <v>0</v>
      </c>
      <c r="D88" s="1" t="s">
        <v>1</v>
      </c>
      <c r="E88" s="9"/>
    </row>
    <row r="89" spans="3:5">
      <c r="C89" s="2">
        <v>36427</v>
      </c>
      <c r="D89" s="3">
        <v>1</v>
      </c>
      <c r="E89" s="9"/>
    </row>
    <row r="90" spans="3:5">
      <c r="C90" s="4">
        <v>36430</v>
      </c>
      <c r="D90" s="5">
        <v>0.99959906499999995</v>
      </c>
      <c r="E90" s="9"/>
    </row>
    <row r="91" spans="3:5">
      <c r="C91" s="4">
        <v>36434</v>
      </c>
      <c r="D91" s="5">
        <v>0.99906473600000001</v>
      </c>
      <c r="E91" s="9"/>
    </row>
    <row r="92" spans="3:5">
      <c r="C92" s="4">
        <v>36457</v>
      </c>
      <c r="D92" s="5">
        <v>0.99599787900000003</v>
      </c>
      <c r="E92" s="9"/>
    </row>
    <row r="93" spans="3:5">
      <c r="C93" s="4">
        <v>36488</v>
      </c>
      <c r="D93" s="5">
        <v>0.99187918100000005</v>
      </c>
      <c r="E93" s="9"/>
    </row>
    <row r="94" spans="3:5">
      <c r="C94" s="4">
        <v>36518</v>
      </c>
      <c r="D94" s="5">
        <v>0.98790956100000005</v>
      </c>
      <c r="E94" s="9"/>
    </row>
    <row r="95" spans="3:5">
      <c r="C95" s="4">
        <v>36601</v>
      </c>
      <c r="D95" s="5">
        <v>0.97714013700000002</v>
      </c>
      <c r="E95" s="9"/>
    </row>
    <row r="96" spans="3:5">
      <c r="C96" s="4">
        <v>36692</v>
      </c>
      <c r="D96" s="5">
        <v>0.96532608399999997</v>
      </c>
      <c r="E96" s="9"/>
    </row>
    <row r="97" spans="3:5">
      <c r="C97" s="4">
        <v>36790</v>
      </c>
      <c r="D97" s="5">
        <v>0.95276294800000005</v>
      </c>
      <c r="E97" s="9"/>
    </row>
    <row r="98" spans="3:5">
      <c r="C98" s="4">
        <v>36881</v>
      </c>
      <c r="D98" s="5">
        <v>0.941243626</v>
      </c>
      <c r="E98" s="9"/>
    </row>
    <row r="99" spans="3:5">
      <c r="C99" s="4">
        <v>36965</v>
      </c>
      <c r="D99" s="5">
        <v>0.93073405899999995</v>
      </c>
      <c r="E99" s="9"/>
    </row>
    <row r="100" spans="3:5">
      <c r="C100" s="4">
        <v>37063</v>
      </c>
      <c r="D100" s="5">
        <v>0.91862111800000001</v>
      </c>
      <c r="E100" s="9"/>
    </row>
    <row r="101" spans="3:5">
      <c r="C101" s="4">
        <v>37154</v>
      </c>
      <c r="D101" s="5">
        <v>0.90751458500000004</v>
      </c>
      <c r="E101" s="9"/>
    </row>
    <row r="102" spans="3:5">
      <c r="C102" s="4">
        <v>37158</v>
      </c>
      <c r="D102" s="5">
        <v>0.907029478</v>
      </c>
      <c r="E102" s="9"/>
    </row>
    <row r="103" spans="3:5">
      <c r="C103" s="4">
        <v>37523</v>
      </c>
      <c r="D103" s="5">
        <v>0.86372213600000003</v>
      </c>
      <c r="E103" s="9"/>
    </row>
    <row r="104" spans="3:5">
      <c r="C104" s="4">
        <v>37888</v>
      </c>
      <c r="D104" s="5">
        <v>0.82259251</v>
      </c>
      <c r="E104" s="9"/>
    </row>
    <row r="105" spans="3:5">
      <c r="C105" s="4">
        <v>38254</v>
      </c>
      <c r="D105" s="5">
        <v>0.78342143799999997</v>
      </c>
      <c r="E105" s="9"/>
    </row>
    <row r="106" spans="3:5">
      <c r="C106" s="4">
        <v>38619</v>
      </c>
      <c r="D106" s="5">
        <v>0.74611565499999999</v>
      </c>
      <c r="E106" s="9"/>
    </row>
    <row r="107" spans="3:5">
      <c r="C107" s="4">
        <v>38984</v>
      </c>
      <c r="D107" s="5">
        <v>0.71049136000000002</v>
      </c>
      <c r="E107" s="9"/>
    </row>
    <row r="108" spans="3:5">
      <c r="C108" s="4">
        <v>39349</v>
      </c>
      <c r="D108" s="5">
        <v>0.67665843800000003</v>
      </c>
      <c r="E108" s="9"/>
    </row>
    <row r="109" spans="3:5">
      <c r="C109" s="4">
        <v>39715</v>
      </c>
      <c r="D109" s="5">
        <v>0.64443660700000005</v>
      </c>
      <c r="E109" s="9"/>
    </row>
    <row r="110" spans="3:5">
      <c r="C110" s="4">
        <v>40080</v>
      </c>
      <c r="D110" s="5">
        <v>0.61374914999999997</v>
      </c>
      <c r="E110" s="9"/>
    </row>
    <row r="111" spans="3:5" ht="13.5" thickBot="1">
      <c r="C111" s="6">
        <v>40445</v>
      </c>
      <c r="D111" s="7">
        <v>0.58444487099999998</v>
      </c>
      <c r="E111" s="9"/>
    </row>
    <row r="112" spans="3:5" ht="13.5" thickBot="1">
      <c r="C112" s="9"/>
      <c r="D112" s="9"/>
      <c r="E112" s="9"/>
    </row>
    <row r="113" spans="3:5" ht="13.5" thickBot="1">
      <c r="C113" s="1" t="s">
        <v>29</v>
      </c>
      <c r="D113" s="97" t="s">
        <v>118</v>
      </c>
      <c r="E113" s="9"/>
    </row>
    <row r="114" spans="3:5">
      <c r="C114" s="9"/>
      <c r="D114" s="9"/>
      <c r="E114" s="9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Fill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4</xdr:col>
                    <xdr:colOff>2238375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Fill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4</xdr:col>
                    <xdr:colOff>2238375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Fill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4</xdr:col>
                    <xdr:colOff>2238375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Fill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2238375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Fill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2238375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Drop Down 7">
              <controlPr defaultSize="0" autoFill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4</xdr:col>
                    <xdr:colOff>2238375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Drop Down 8">
              <controlPr defaultSize="0" autoFill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4</xdr:col>
                    <xdr:colOff>2238375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Drop Down 9">
              <controlPr defaultSize="0" autoFill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4</xdr:col>
                    <xdr:colOff>2238375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Drop Down 10">
              <controlPr defaultSize="0" autoFill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4</xdr:col>
                    <xdr:colOff>2238375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Drop Down 11">
              <controlPr defaultSize="0" autoFill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4</xdr:col>
                    <xdr:colOff>2238375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Drop Down 12">
              <controlPr defaultSize="0" autoFill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4</xdr:col>
                    <xdr:colOff>2238375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53"/>
  <sheetViews>
    <sheetView workbookViewId="0">
      <selection activeCell="G4" sqref="G4"/>
    </sheetView>
  </sheetViews>
  <sheetFormatPr defaultRowHeight="12.75"/>
  <cols>
    <col min="3" max="3" width="16.7109375" bestFit="1" customWidth="1"/>
    <col min="6" max="6" width="21.42578125" bestFit="1" customWidth="1"/>
    <col min="7" max="7" width="36.28515625" bestFit="1" customWidth="1"/>
  </cols>
  <sheetData>
    <row r="3" spans="3:7" ht="13.5" thickBot="1"/>
    <row r="4" spans="3:7" ht="13.5" thickBot="1">
      <c r="F4" s="19" t="s">
        <v>35</v>
      </c>
      <c r="G4" s="20" t="str">
        <f>_xll.HLV5r3.Financial.Cache.CreateFincadRateCurve( F5:G12, C5:C28, D5:D28, G17:G41, H17:H41)</f>
        <v>Market.LIVE.RateCurve.AUD-LIBOR-BBA-3M</v>
      </c>
    </row>
    <row r="5" spans="3:7">
      <c r="C5" s="45" t="s">
        <v>56</v>
      </c>
      <c r="D5" s="46">
        <v>0.02</v>
      </c>
      <c r="F5" s="24" t="s">
        <v>36</v>
      </c>
      <c r="G5" s="25" t="s">
        <v>37</v>
      </c>
    </row>
    <row r="6" spans="3:7">
      <c r="C6" s="50" t="s">
        <v>59</v>
      </c>
      <c r="D6" s="51">
        <v>2.1000000000000001E-2</v>
      </c>
      <c r="F6" s="26" t="s">
        <v>38</v>
      </c>
      <c r="G6" s="27">
        <f>G17</f>
        <v>40374</v>
      </c>
    </row>
    <row r="7" spans="3:7">
      <c r="C7" s="50" t="s">
        <v>60</v>
      </c>
      <c r="D7" s="51">
        <v>2.2000000000000002E-2</v>
      </c>
      <c r="F7" s="26" t="s">
        <v>97</v>
      </c>
      <c r="G7" s="27">
        <f>G6</f>
        <v>40374</v>
      </c>
    </row>
    <row r="8" spans="3:7">
      <c r="C8" s="50" t="s">
        <v>61</v>
      </c>
      <c r="D8" s="51">
        <v>2.3000000000000003E-2</v>
      </c>
      <c r="F8" s="29" t="s">
        <v>39</v>
      </c>
      <c r="G8" s="30" t="s">
        <v>40</v>
      </c>
    </row>
    <row r="9" spans="3:7">
      <c r="C9" s="50" t="s">
        <v>62</v>
      </c>
      <c r="D9" s="51">
        <v>2.4000000000000004E-2</v>
      </c>
      <c r="F9" s="26" t="s">
        <v>41</v>
      </c>
      <c r="G9" s="31" t="s">
        <v>42</v>
      </c>
    </row>
    <row r="10" spans="3:7">
      <c r="C10" s="50" t="s">
        <v>63</v>
      </c>
      <c r="D10" s="51">
        <v>2.5000000000000005E-2</v>
      </c>
      <c r="F10" s="26" t="s">
        <v>43</v>
      </c>
      <c r="G10" s="30" t="s">
        <v>33</v>
      </c>
    </row>
    <row r="11" spans="3:7">
      <c r="C11" s="50" t="s">
        <v>64</v>
      </c>
      <c r="D11" s="51">
        <v>2.6000000000000006E-2</v>
      </c>
      <c r="F11" s="26" t="s">
        <v>45</v>
      </c>
      <c r="G11" s="30" t="str">
        <f>G9&amp;"-"&amp;G10</f>
        <v>AUD-LIBOR-BBA-3M</v>
      </c>
    </row>
    <row r="12" spans="3:7" ht="13.5" thickBot="1">
      <c r="C12" s="50" t="s">
        <v>65</v>
      </c>
      <c r="D12" s="51">
        <v>2.7000000000000007E-2</v>
      </c>
      <c r="F12" s="32" t="s">
        <v>46</v>
      </c>
      <c r="G12" s="33" t="s">
        <v>47</v>
      </c>
    </row>
    <row r="13" spans="3:7">
      <c r="C13" s="50" t="s">
        <v>66</v>
      </c>
      <c r="D13" s="51">
        <v>2.8000000000000008E-2</v>
      </c>
    </row>
    <row r="14" spans="3:7">
      <c r="C14" s="50" t="s">
        <v>67</v>
      </c>
      <c r="D14" s="51">
        <v>2.9000000000000008E-2</v>
      </c>
    </row>
    <row r="15" spans="3:7">
      <c r="C15" s="50" t="s">
        <v>68</v>
      </c>
      <c r="D15" s="51">
        <v>3.0000000000000009E-2</v>
      </c>
    </row>
    <row r="16" spans="3:7">
      <c r="C16" s="50" t="s">
        <v>69</v>
      </c>
      <c r="D16" s="51">
        <v>3.100000000000001E-2</v>
      </c>
    </row>
    <row r="17" spans="3:8">
      <c r="C17" s="50" t="s">
        <v>70</v>
      </c>
      <c r="D17" s="51">
        <v>3.2000000000000008E-2</v>
      </c>
      <c r="G17" s="91">
        <v>40374</v>
      </c>
      <c r="H17">
        <v>1</v>
      </c>
    </row>
    <row r="18" spans="3:8">
      <c r="C18" s="50" t="s">
        <v>71</v>
      </c>
      <c r="D18" s="51">
        <v>3.3000000000000008E-2</v>
      </c>
      <c r="G18" s="91">
        <v>40375</v>
      </c>
      <c r="H18">
        <v>0.99994520848172697</v>
      </c>
    </row>
    <row r="19" spans="3:8">
      <c r="C19" s="50" t="s">
        <v>72</v>
      </c>
      <c r="D19" s="51">
        <v>3.4000000000000009E-2</v>
      </c>
      <c r="G19" s="91">
        <v>40382</v>
      </c>
      <c r="H19">
        <v>0.9995426529475262</v>
      </c>
    </row>
    <row r="20" spans="3:8" ht="13.5" thickBot="1">
      <c r="C20" s="55" t="s">
        <v>73</v>
      </c>
      <c r="D20" s="56">
        <v>3.4100000000000012E-2</v>
      </c>
      <c r="G20" s="91">
        <v>40389</v>
      </c>
      <c r="H20">
        <v>0.99910213051953511</v>
      </c>
    </row>
    <row r="21" spans="3:8">
      <c r="C21" s="59" t="s">
        <v>98</v>
      </c>
      <c r="D21" s="60">
        <v>2.5000000000000005E-2</v>
      </c>
      <c r="G21" s="91">
        <v>40406</v>
      </c>
      <c r="H21">
        <v>0.9979956990750406</v>
      </c>
    </row>
    <row r="22" spans="3:8">
      <c r="C22" s="59" t="s">
        <v>99</v>
      </c>
      <c r="D22" s="64">
        <v>2.6000000000000006E-2</v>
      </c>
      <c r="G22" s="91">
        <v>40437</v>
      </c>
      <c r="H22">
        <v>0.99588527072054311</v>
      </c>
    </row>
    <row r="23" spans="3:8">
      <c r="C23" s="59" t="s">
        <v>100</v>
      </c>
      <c r="D23" s="64">
        <v>2.7000000000000007E-2</v>
      </c>
      <c r="G23" s="91">
        <v>40469</v>
      </c>
      <c r="H23">
        <v>0.99354839007984308</v>
      </c>
    </row>
    <row r="24" spans="3:8">
      <c r="C24" s="59" t="s">
        <v>101</v>
      </c>
      <c r="D24" s="64">
        <v>2.8000000000000008E-2</v>
      </c>
      <c r="G24" s="91">
        <v>40521</v>
      </c>
      <c r="H24">
        <v>0.99020266285714997</v>
      </c>
    </row>
    <row r="25" spans="3:8">
      <c r="C25" s="59" t="s">
        <v>102</v>
      </c>
      <c r="D25" s="64">
        <v>2.9000000000000008E-2</v>
      </c>
      <c r="G25" s="91">
        <v>40612</v>
      </c>
      <c r="H25">
        <v>0.98382659769972902</v>
      </c>
    </row>
    <row r="26" spans="3:8">
      <c r="C26" s="59" t="s">
        <v>103</v>
      </c>
      <c r="D26" s="64">
        <v>3.0000000000000009E-2</v>
      </c>
      <c r="G26" s="91">
        <v>40703</v>
      </c>
      <c r="H26">
        <v>0.97724939068614303</v>
      </c>
    </row>
    <row r="27" spans="3:8">
      <c r="C27" s="59" t="s">
        <v>104</v>
      </c>
      <c r="D27" s="64">
        <v>3.100000000000001E-2</v>
      </c>
      <c r="G27" s="91">
        <v>40794</v>
      </c>
      <c r="H27">
        <v>0.97047573183960201</v>
      </c>
    </row>
    <row r="28" spans="3:8" ht="13.5" thickBot="1">
      <c r="C28" s="69" t="s">
        <v>105</v>
      </c>
      <c r="D28" s="70">
        <v>3.2000000000000008E-2</v>
      </c>
      <c r="G28" s="91">
        <v>40885</v>
      </c>
      <c r="H28">
        <v>0.96351036089813402</v>
      </c>
    </row>
    <row r="29" spans="3:8">
      <c r="G29" s="91">
        <v>40976</v>
      </c>
      <c r="H29">
        <v>0.95635858517442895</v>
      </c>
    </row>
    <row r="30" spans="3:8">
      <c r="G30" s="91">
        <v>41067</v>
      </c>
      <c r="H30">
        <v>0.94902479806413498</v>
      </c>
    </row>
    <row r="31" spans="3:8">
      <c r="G31" s="91">
        <v>41158</v>
      </c>
      <c r="H31">
        <v>0.94151429354567095</v>
      </c>
    </row>
    <row r="32" spans="3:8">
      <c r="G32" s="91">
        <v>41471</v>
      </c>
      <c r="H32">
        <v>0.92517497522827197</v>
      </c>
    </row>
    <row r="33" spans="7:8">
      <c r="G33" s="91">
        <v>41836</v>
      </c>
      <c r="H33">
        <v>0.89811355346160104</v>
      </c>
    </row>
    <row r="34" spans="7:8">
      <c r="G34" s="91">
        <v>42201</v>
      </c>
      <c r="H34">
        <v>0.86978801594802901</v>
      </c>
    </row>
    <row r="35" spans="7:8">
      <c r="G35" s="91">
        <v>42569</v>
      </c>
      <c r="H35">
        <v>0.84035240605393802</v>
      </c>
    </row>
    <row r="36" spans="7:8">
      <c r="G36" s="91">
        <v>42933</v>
      </c>
      <c r="H36">
        <v>0.81037901100258003</v>
      </c>
    </row>
    <row r="37" spans="7:8">
      <c r="G37" s="91">
        <v>43297</v>
      </c>
      <c r="H37">
        <v>0.77971713063149495</v>
      </c>
    </row>
    <row r="38" spans="7:8">
      <c r="G38" s="91">
        <v>43662</v>
      </c>
      <c r="H38">
        <v>0.74841257226448499</v>
      </c>
    </row>
    <row r="39" spans="7:8">
      <c r="G39" s="91">
        <v>44028</v>
      </c>
      <c r="H39">
        <v>0.71657646364864702</v>
      </c>
    </row>
    <row r="40" spans="7:8">
      <c r="G40" s="91">
        <v>45854</v>
      </c>
      <c r="H40">
        <v>0.59745903301824599</v>
      </c>
    </row>
    <row r="41" spans="7:8">
      <c r="G41" s="91">
        <v>47680</v>
      </c>
      <c r="H41">
        <v>0.50340527248087497</v>
      </c>
    </row>
    <row r="42" spans="7:8">
      <c r="G42" s="91" t="s">
        <v>106</v>
      </c>
      <c r="H42" t="s">
        <v>106</v>
      </c>
    </row>
    <row r="43" spans="7:8">
      <c r="G43" s="91" t="s">
        <v>106</v>
      </c>
      <c r="H43" t="s">
        <v>106</v>
      </c>
    </row>
    <row r="44" spans="7:8">
      <c r="G44" s="91" t="s">
        <v>106</v>
      </c>
      <c r="H44" t="s">
        <v>106</v>
      </c>
    </row>
    <row r="45" spans="7:8">
      <c r="G45" s="91" t="s">
        <v>106</v>
      </c>
      <c r="H45" t="s">
        <v>106</v>
      </c>
    </row>
    <row r="46" spans="7:8">
      <c r="G46" s="91" t="s">
        <v>106</v>
      </c>
      <c r="H46" t="s">
        <v>106</v>
      </c>
    </row>
    <row r="47" spans="7:8">
      <c r="G47" s="91" t="s">
        <v>106</v>
      </c>
      <c r="H47" t="s">
        <v>106</v>
      </c>
    </row>
    <row r="48" spans="7:8">
      <c r="G48" s="91" t="s">
        <v>106</v>
      </c>
      <c r="H48" t="s">
        <v>106</v>
      </c>
    </row>
    <row r="49" spans="7:8">
      <c r="G49" s="91" t="s">
        <v>106</v>
      </c>
      <c r="H49" t="s">
        <v>106</v>
      </c>
    </row>
    <row r="50" spans="7:8">
      <c r="G50" s="91" t="s">
        <v>106</v>
      </c>
      <c r="H50" t="s">
        <v>106</v>
      </c>
    </row>
    <row r="51" spans="7:8">
      <c r="G51" s="91" t="s">
        <v>106</v>
      </c>
      <c r="H51" t="s">
        <v>106</v>
      </c>
    </row>
    <row r="52" spans="7:8">
      <c r="G52" s="91" t="s">
        <v>106</v>
      </c>
      <c r="H52" t="s">
        <v>106</v>
      </c>
    </row>
    <row r="53" spans="7:8">
      <c r="G53" s="91" t="s">
        <v>106</v>
      </c>
      <c r="H53" t="s">
        <v>106</v>
      </c>
    </row>
  </sheetData>
  <protectedRanges>
    <protectedRange sqref="G12" name="Range2_1"/>
  </protectedRanges>
  <phoneticPr fontId="2" type="noConversion"/>
  <dataValidations count="1">
    <dataValidation type="list" allowBlank="1" showInputMessage="1" showErrorMessage="1" sqref="G12" xr:uid="{00000000-0002-0000-0200-000000000000}">
      <formula1>$B$42:$B$47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AUDCurve</vt:lpstr>
      <vt:lpstr>aaSwap_cpn</vt:lpstr>
      <vt:lpstr>FincadCurve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Sukhov</dc:creator>
  <cp:lastModifiedBy>Alex</cp:lastModifiedBy>
  <dcterms:created xsi:type="dcterms:W3CDTF">2009-05-15T00:00:10Z</dcterms:created>
  <dcterms:modified xsi:type="dcterms:W3CDTF">2018-02-03T00:48:40Z</dcterms:modified>
</cp:coreProperties>
</file>