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720" yWindow="270" windowWidth="14955" windowHeight="12525" tabRatio="790" activeTab="1" xr2:uid="{00000000-000D-0000-FFFF-FFFF00000000}"/>
  </bookViews>
  <sheets>
    <sheet name="Backlog" sheetId="26" r:id="rId1"/>
    <sheet name="AUDCurves" sheetId="15" r:id="rId2"/>
    <sheet name="Config" sheetId="10" r:id="rId3"/>
  </sheets>
  <definedNames>
    <definedName name="Algorithms">Config!$E$2:$E$7</definedName>
    <definedName name="BaseDate">AUDCurves!$C$4</definedName>
    <definedName name="Choice">#REF!</definedName>
    <definedName name="Currency">Config!$C$2:$C$10</definedName>
    <definedName name="CurveList">#REF!</definedName>
    <definedName name="FuturesRolls">Config!$G$2:$G$13</definedName>
    <definedName name="IRCurve1">AUDCurves!$B$13</definedName>
    <definedName name="IRCurve2">AUDCurves!$B$2</definedName>
    <definedName name="IRCurve3">AUDCurves!$I$2</definedName>
    <definedName name="IRCurve4">AUDCurves!$I$14</definedName>
    <definedName name="IRCurve5">AUDCurves!$I$26</definedName>
    <definedName name="IRCurve6">AUDCurves!$I$37</definedName>
    <definedName name="IRCurve7">AUDCurves!$I$49</definedName>
    <definedName name="IRCurve8">AUDCurves!#REF!</definedName>
    <definedName name="Markets">Config!$I$2:$I$4</definedName>
    <definedName name="RateIndex">Config!$D$2:$D$12</definedName>
  </definedNames>
  <calcPr calcId="171027" calcOnSave="0"/>
  <fileRecoveryPr autoRecover="0"/>
</workbook>
</file>

<file path=xl/calcChain.xml><?xml version="1.0" encoding="utf-8"?>
<calcChain xmlns="http://schemas.openxmlformats.org/spreadsheetml/2006/main">
  <c r="J45" i="15" l="1"/>
  <c r="O2" i="15" a="1"/>
  <c r="P3" i="15" l="1"/>
  <c r="P5" i="15"/>
  <c r="P7" i="15"/>
  <c r="P9" i="15"/>
  <c r="P11" i="15"/>
  <c r="P13" i="15"/>
  <c r="P15" i="15"/>
  <c r="P17" i="15"/>
  <c r="P19" i="15"/>
  <c r="P21" i="15"/>
  <c r="P23" i="15"/>
  <c r="P25" i="15"/>
  <c r="P27" i="15"/>
  <c r="P29" i="15"/>
  <c r="O2" i="15"/>
  <c r="O4" i="15"/>
  <c r="O6" i="15"/>
  <c r="O8" i="15"/>
  <c r="O10" i="15"/>
  <c r="O12" i="15"/>
  <c r="O14" i="15"/>
  <c r="O16" i="15"/>
  <c r="O18" i="15"/>
  <c r="O20" i="15"/>
  <c r="O22" i="15"/>
  <c r="O24" i="15"/>
  <c r="O26" i="15"/>
  <c r="O28" i="15"/>
  <c r="P2" i="15"/>
  <c r="P4" i="15"/>
  <c r="P6" i="15"/>
  <c r="P8" i="15"/>
  <c r="P10" i="15"/>
  <c r="P12" i="15"/>
  <c r="P14" i="15"/>
  <c r="P16" i="15"/>
  <c r="P18" i="15"/>
  <c r="P20" i="15"/>
  <c r="P22" i="15"/>
  <c r="P24" i="15"/>
  <c r="P26" i="15"/>
  <c r="P28" i="15"/>
  <c r="O3" i="15"/>
  <c r="O5" i="15"/>
  <c r="O7" i="15"/>
  <c r="O9" i="15"/>
  <c r="O11" i="15"/>
  <c r="O13" i="15"/>
  <c r="O15" i="15"/>
  <c r="O17" i="15"/>
  <c r="O19" i="15"/>
  <c r="O21" i="15"/>
  <c r="O23" i="15"/>
  <c r="O25" i="15"/>
  <c r="O27" i="15"/>
  <c r="O29" i="15"/>
  <c r="F9" i="15"/>
  <c r="F82" i="15"/>
  <c r="F81" i="15"/>
  <c r="F80" i="15"/>
  <c r="F79" i="15"/>
  <c r="F78" i="15"/>
  <c r="F77" i="15"/>
  <c r="F76" i="15"/>
  <c r="F75" i="15"/>
  <c r="F73" i="15"/>
  <c r="F72" i="15"/>
  <c r="F71" i="15"/>
  <c r="F68" i="15"/>
  <c r="E82" i="15"/>
  <c r="G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G75" i="15"/>
  <c r="G76" i="15"/>
  <c r="G77" i="15"/>
  <c r="G78" i="15"/>
  <c r="G79" i="15"/>
  <c r="G80" i="15"/>
  <c r="G81" i="15"/>
  <c r="G66" i="15"/>
  <c r="G67" i="15"/>
  <c r="G68" i="15"/>
  <c r="G69" i="15"/>
  <c r="G70" i="15"/>
  <c r="G71" i="15"/>
  <c r="G72" i="15"/>
  <c r="G73" i="15"/>
  <c r="G74" i="15"/>
  <c r="G65" i="15"/>
  <c r="G64" i="15"/>
  <c r="F64" i="15"/>
  <c r="F65" i="15"/>
  <c r="F66" i="15"/>
  <c r="F67" i="15"/>
  <c r="L70" i="15" l="1"/>
  <c r="M70" i="15"/>
  <c r="N70" i="15"/>
  <c r="L71" i="15"/>
  <c r="M71" i="15"/>
  <c r="N71" i="15"/>
  <c r="L72" i="15"/>
  <c r="N72" i="15"/>
  <c r="L73" i="15"/>
  <c r="M73" i="15"/>
  <c r="N73" i="15"/>
  <c r="L74" i="15"/>
  <c r="M74" i="15"/>
  <c r="N74" i="15"/>
  <c r="L75" i="15"/>
  <c r="M75" i="15"/>
  <c r="N75" i="15"/>
  <c r="L76" i="15"/>
  <c r="N76" i="15"/>
  <c r="L77" i="15"/>
  <c r="N77" i="15"/>
  <c r="M57" i="15"/>
  <c r="N57" i="15"/>
  <c r="M58" i="15"/>
  <c r="N58" i="15"/>
  <c r="M59" i="15"/>
  <c r="N59" i="15"/>
  <c r="M60" i="15"/>
  <c r="N60" i="15"/>
  <c r="M61" i="15"/>
  <c r="N61" i="15"/>
  <c r="L62" i="15"/>
  <c r="M62" i="15"/>
  <c r="N62" i="15"/>
  <c r="L63" i="15"/>
  <c r="M63" i="15"/>
  <c r="N63" i="15"/>
  <c r="L64" i="15"/>
  <c r="M64" i="15"/>
  <c r="N64" i="15"/>
  <c r="L65" i="15"/>
  <c r="M65" i="15"/>
  <c r="N65" i="15"/>
  <c r="L66" i="15"/>
  <c r="M66" i="15"/>
  <c r="N66" i="15"/>
  <c r="L67" i="15"/>
  <c r="M67" i="15"/>
  <c r="N67" i="15"/>
  <c r="L68" i="15"/>
  <c r="M68" i="15"/>
  <c r="N68" i="15"/>
  <c r="L69" i="15"/>
  <c r="M69" i="15"/>
  <c r="N69" i="15"/>
  <c r="N56" i="15"/>
  <c r="N55" i="15"/>
  <c r="M55" i="15"/>
  <c r="N54" i="15"/>
  <c r="M54" i="15"/>
  <c r="N53" i="15"/>
  <c r="M53" i="15"/>
  <c r="L53" i="15"/>
  <c r="N52" i="15"/>
  <c r="M52" i="15"/>
  <c r="L52" i="15"/>
  <c r="N51" i="15"/>
  <c r="M51" i="15"/>
  <c r="L51" i="15"/>
  <c r="J57" i="15"/>
  <c r="J51" i="15"/>
  <c r="J52" i="15" s="1"/>
  <c r="F58" i="15" l="1"/>
  <c r="F59" i="15"/>
  <c r="F60" i="15"/>
  <c r="F61" i="15"/>
  <c r="F62" i="15"/>
  <c r="F54" i="15"/>
  <c r="F53" i="15"/>
  <c r="F52" i="15"/>
  <c r="M28" i="15"/>
  <c r="M29" i="15" s="1"/>
  <c r="F25" i="15"/>
  <c r="F29" i="15"/>
  <c r="F74" i="15" s="1"/>
  <c r="M72" i="15" l="1"/>
  <c r="F70" i="15"/>
  <c r="F57" i="15"/>
  <c r="F30" i="15"/>
  <c r="M77" i="15" s="1"/>
  <c r="M76" i="15"/>
  <c r="F56" i="15"/>
  <c r="F55" i="15"/>
  <c r="M5" i="15"/>
  <c r="M4" i="15"/>
  <c r="M49" i="15"/>
  <c r="M48" i="15"/>
  <c r="M47" i="15"/>
  <c r="M46" i="15"/>
  <c r="M42" i="15"/>
  <c r="M44" i="15"/>
  <c r="M41" i="15"/>
  <c r="M40" i="15" s="1"/>
  <c r="M36" i="15"/>
  <c r="M35" i="15"/>
  <c r="M31" i="15"/>
  <c r="M32" i="15" s="1"/>
  <c r="M33" i="15" s="1"/>
  <c r="M34" i="15" s="1"/>
  <c r="M56" i="15" l="1"/>
  <c r="F69" i="15"/>
  <c r="M43" i="15"/>
  <c r="M39" i="15"/>
  <c r="M38" i="15"/>
  <c r="M37" i="15"/>
  <c r="M45" i="15"/>
  <c r="J33" i="15"/>
  <c r="C15" i="15" l="1"/>
  <c r="C20" i="15"/>
  <c r="J22" i="15"/>
  <c r="J24" i="15"/>
  <c r="J10" i="15"/>
  <c r="J12" i="15"/>
  <c r="C16" i="15" l="1"/>
  <c r="C11" i="15"/>
  <c r="C9" i="15"/>
  <c r="C4" i="15"/>
  <c r="B13" i="15"/>
  <c r="B40" i="15" l="1"/>
  <c r="J54" i="15"/>
  <c r="J41" i="15"/>
  <c r="B31" i="15"/>
  <c r="C31" i="15" s="1"/>
  <c r="J4" i="15"/>
  <c r="J16" i="15"/>
  <c r="J17" i="15" s="1"/>
  <c r="J39" i="15"/>
  <c r="J40" i="15" s="1"/>
  <c r="J28" i="15"/>
  <c r="J29" i="15" s="1"/>
  <c r="C5" i="15"/>
  <c r="B2" i="15"/>
  <c r="I37" i="15"/>
  <c r="O31" i="15" a="1"/>
  <c r="I49" i="15"/>
  <c r="I26" i="15"/>
  <c r="O31" i="15" l="1"/>
  <c r="O33" i="15"/>
  <c r="O35" i="15"/>
  <c r="O37" i="15"/>
  <c r="O39" i="15"/>
  <c r="O41" i="15"/>
  <c r="O43" i="15"/>
  <c r="O45" i="15"/>
  <c r="O47" i="15"/>
  <c r="O49" i="15"/>
  <c r="O51" i="15"/>
  <c r="O53" i="15"/>
  <c r="O55" i="15"/>
  <c r="O57" i="15"/>
  <c r="O34" i="15"/>
  <c r="O36" i="15"/>
  <c r="O38" i="15"/>
  <c r="O42" i="15"/>
  <c r="O46" i="15"/>
  <c r="O50" i="15"/>
  <c r="O54" i="15"/>
  <c r="O58" i="15"/>
  <c r="P34" i="15"/>
  <c r="P42" i="15"/>
  <c r="P46" i="15"/>
  <c r="P48" i="15"/>
  <c r="P50" i="15"/>
  <c r="P52" i="15"/>
  <c r="P56" i="15"/>
  <c r="P31" i="15"/>
  <c r="P33" i="15"/>
  <c r="P35" i="15"/>
  <c r="P37" i="15"/>
  <c r="P39" i="15"/>
  <c r="P41" i="15"/>
  <c r="P43" i="15"/>
  <c r="P45" i="15"/>
  <c r="P47" i="15"/>
  <c r="P49" i="15"/>
  <c r="P51" i="15"/>
  <c r="P53" i="15"/>
  <c r="P55" i="15"/>
  <c r="P57" i="15"/>
  <c r="O32" i="15"/>
  <c r="O40" i="15"/>
  <c r="O44" i="15"/>
  <c r="O48" i="15"/>
  <c r="O52" i="15"/>
  <c r="O56" i="15"/>
  <c r="P32" i="15"/>
  <c r="P36" i="15"/>
  <c r="P38" i="15"/>
  <c r="P40" i="15"/>
  <c r="P44" i="15"/>
  <c r="P54" i="15"/>
  <c r="P58" i="15"/>
  <c r="J5" i="15"/>
  <c r="B46" i="15"/>
  <c r="B45" i="15"/>
  <c r="B44" i="15"/>
  <c r="B41" i="15"/>
  <c r="E31" i="15"/>
  <c r="B32" i="15"/>
  <c r="C32" i="15" s="1"/>
  <c r="E32" i="15" l="1"/>
  <c r="B33" i="15"/>
  <c r="C33" i="15" s="1"/>
  <c r="E33" i="15" l="1"/>
  <c r="B34" i="15"/>
  <c r="C34" i="15" s="1"/>
  <c r="E34" i="15" l="1"/>
  <c r="B35" i="15"/>
  <c r="C35" i="15" s="1"/>
  <c r="E35" i="15" l="1"/>
  <c r="B36" i="15"/>
  <c r="C36" i="15" s="1"/>
  <c r="B37" i="15" l="1"/>
  <c r="C37" i="15" s="1"/>
  <c r="E36" i="15"/>
  <c r="B38" i="15" l="1"/>
  <c r="C38" i="15" s="1"/>
  <c r="E37" i="15"/>
  <c r="E38" i="15" l="1"/>
  <c r="M15" i="15" l="1"/>
  <c r="M13" i="15"/>
  <c r="M8" i="15"/>
  <c r="M14" i="15"/>
  <c r="M11" i="15"/>
  <c r="M9" i="15"/>
  <c r="M12" i="15"/>
  <c r="M10" i="15"/>
  <c r="M16" i="15"/>
  <c r="J7" i="15" l="1"/>
  <c r="J19" i="15"/>
  <c r="I2" i="15"/>
  <c r="I14" i="15"/>
  <c r="B43" i="15" l="1"/>
  <c r="B42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I49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sharedStrings.xml><?xml version="1.0" encoding="utf-8"?>
<sst xmlns="http://schemas.openxmlformats.org/spreadsheetml/2006/main" count="289" uniqueCount="174">
  <si>
    <t>RateCurve</t>
  </si>
  <si>
    <t>Currency</t>
  </si>
  <si>
    <t>AUD</t>
  </si>
  <si>
    <t>IndexName</t>
  </si>
  <si>
    <t>CurveName</t>
  </si>
  <si>
    <t>Algorithm</t>
  </si>
  <si>
    <t>FlatForward</t>
  </si>
  <si>
    <t>H0</t>
  </si>
  <si>
    <t>M0</t>
  </si>
  <si>
    <t>U0</t>
  </si>
  <si>
    <t>Z0</t>
  </si>
  <si>
    <t>6M</t>
  </si>
  <si>
    <t>GBP</t>
  </si>
  <si>
    <t>USD</t>
  </si>
  <si>
    <t>EUR</t>
  </si>
  <si>
    <t>PricingStructureType</t>
  </si>
  <si>
    <t>BuildDateTime</t>
  </si>
  <si>
    <t>BaseDate</t>
  </si>
  <si>
    <t>MarketName</t>
  </si>
  <si>
    <t>AUD-LIBOR-BBA</t>
  </si>
  <si>
    <t>IndexTenor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</si>
  <si>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</si>
  <si>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</si>
  <si>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</si>
  <si>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</si>
  <si>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</si>
  <si>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</si>
  <si>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</si>
  <si>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</si>
  <si>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</si>
  <si>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</si>
  <si>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</si>
  <si>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</si>
  <si>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</si>
  <si>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</si>
  <si>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M2</t>
  </si>
  <si>
    <t>U2</t>
  </si>
  <si>
    <t>Z2</t>
  </si>
  <si>
    <t>RateBasisCurve</t>
  </si>
  <si>
    <t>AUD-BasisSwap-1Y-6M</t>
  </si>
  <si>
    <t>AUD-BasisSwap-2Y-6M</t>
  </si>
  <si>
    <t>AUD-BasisSwap-3Y-6M</t>
  </si>
  <si>
    <t>AUD-BasisSwap-5Y-6M</t>
  </si>
  <si>
    <t>AUD-BasisSwap-7Y-6M</t>
  </si>
  <si>
    <t>AUD-BasisSwap-10Y-6M</t>
  </si>
  <si>
    <t>AUD-BasisSwap-12Y-6M</t>
  </si>
  <si>
    <t>AUD-BasisSwap-15Y-6M</t>
  </si>
  <si>
    <t>AUD-BasisSwap-20Y-6M</t>
  </si>
  <si>
    <t>AUD-BasisSwap-25Y-6M</t>
  </si>
  <si>
    <t>AUD-BasisSwap-30Y-6M</t>
  </si>
  <si>
    <t>LinearSpreadZero</t>
  </si>
  <si>
    <t>QR_LIVE</t>
  </si>
  <si>
    <t>AUD-Deposit-1D</t>
  </si>
  <si>
    <t>ReferenceCurveUniqueId</t>
  </si>
  <si>
    <t>1M</t>
  </si>
  <si>
    <t>AUD-BasisSwap-1Y-1M</t>
  </si>
  <si>
    <t>AUD-BasisSwap-2Y-1M</t>
  </si>
  <si>
    <t>AUD-BasisSwap-3Y-1M</t>
  </si>
  <si>
    <t>AUD-BasisSwap-5Y-1M</t>
  </si>
  <si>
    <t>AUD-BasisSwap-10Y-1M</t>
  </si>
  <si>
    <t>AUD-BasisSwap-15Y-1M</t>
  </si>
  <si>
    <t>AUD-BasisSwap-20Y-1M</t>
  </si>
  <si>
    <t>AUD-BasisSwap-25Y-1M</t>
  </si>
  <si>
    <t>AUD-BasisSwap-30Y-1M</t>
  </si>
  <si>
    <t>3M</t>
  </si>
  <si>
    <t>AUD-Deposit-3M</t>
  </si>
  <si>
    <t>AUD-BBR-BBSW</t>
  </si>
  <si>
    <t>NZD</t>
  </si>
  <si>
    <t>NZD-BBR-FRA</t>
  </si>
  <si>
    <t>EUR-LIBOR-BBA</t>
  </si>
  <si>
    <t>EOD_Sydney</t>
  </si>
  <si>
    <t>Market</t>
  </si>
  <si>
    <t>HL Instrument Name</t>
  </si>
  <si>
    <t>Rates</t>
  </si>
  <si>
    <t>1D</t>
  </si>
  <si>
    <t>Function</t>
  </si>
  <si>
    <t>AUD-RepoSpread-1D</t>
  </si>
  <si>
    <t>AUD-RepoSpread-3M</t>
  </si>
  <si>
    <t>DiscountCurve</t>
  </si>
  <si>
    <t>CreditInstrumentId</t>
  </si>
  <si>
    <t>LIBOR</t>
  </si>
  <si>
    <t>CreditSeniority</t>
  </si>
  <si>
    <t>SENIOR</t>
  </si>
  <si>
    <t>AUD-Deposit-1M</t>
  </si>
  <si>
    <t>AUD-IRSwap-3Y</t>
  </si>
  <si>
    <t>AUD-IRSwap-5Y</t>
  </si>
  <si>
    <t>AUD-IRSwap-7Y</t>
  </si>
  <si>
    <t>AUD-IRSwap-10Y</t>
  </si>
  <si>
    <t>AUD-IRSwap-15Y</t>
  </si>
  <si>
    <t>AUD-IRSwap-20Y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</si>
  <si>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</si>
  <si>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</si>
  <si>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</si>
  <si>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</si>
  <si>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</si>
  <si>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</si>
  <si>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</si>
  <si>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</si>
  <si>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Date</t>
  </si>
  <si>
    <t>USD-Federal Funds-H15-OIS-COMPOUND</t>
  </si>
  <si>
    <t>DependencyDepth</t>
  </si>
  <si>
    <t>CalypsoAlgo4</t>
  </si>
  <si>
    <t>COE</t>
  </si>
  <si>
    <t>GBP-WMBA-SONIA-COMPOUND</t>
  </si>
  <si>
    <t>EUR-EURONIA-OIS-COMPOUND</t>
  </si>
  <si>
    <t>ClearedRateCurve</t>
  </si>
  <si>
    <t>AUD-AONIA-OIS-COMPOUND</t>
  </si>
  <si>
    <t>AUD-OIS-1D</t>
  </si>
  <si>
    <t>AUD-OIS-1M</t>
  </si>
  <si>
    <t>AUD-OIS-3M</t>
  </si>
  <si>
    <t>AUD-OIS-6M</t>
  </si>
  <si>
    <t>AUD-OIS-1Y</t>
  </si>
  <si>
    <t>AUD-OISSwap-2Y</t>
  </si>
  <si>
    <t>AUD-OISSwap-3Y</t>
  </si>
  <si>
    <t>AUD-OISSwap-5Y</t>
  </si>
  <si>
    <t>AUD-OISSwap-10Y</t>
  </si>
  <si>
    <t>AUD-OISSwap-30Y</t>
  </si>
  <si>
    <t>AUD-XccyDepo-1D</t>
  </si>
  <si>
    <t>AUD-XccyDepo-TN</t>
  </si>
  <si>
    <t>AUD-XccyDepo-1W</t>
  </si>
  <si>
    <t>AUD-XccyDepo-2W</t>
  </si>
  <si>
    <t>AUD-XccyDepo-1M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</si>
  <si>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</si>
  <si>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</si>
  <si>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</si>
  <si>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</si>
  <si>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</si>
  <si>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</si>
  <si>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AUD-XccySwap-5Y</t>
  </si>
  <si>
    <t>AUD-XccySwap-7Y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</si>
  <si>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</si>
  <si>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</si>
  <si>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</si>
  <si>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</si>
  <si>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</si>
  <si>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</si>
  <si>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RateSpreadCurve</t>
  </si>
  <si>
    <t>AUD-IRSwap-25Y</t>
  </si>
  <si>
    <t>AUD-IRSwap-30Y</t>
  </si>
  <si>
    <t>AUD MULTI CURVE BUILDER EXAMPLE</t>
  </si>
  <si>
    <t>AUD-OISSwap-15Y</t>
  </si>
  <si>
    <t>AUD-RepoSpread-6M</t>
  </si>
  <si>
    <t>Extra</t>
  </si>
  <si>
    <t>AUD-ClearedIRSwap-3Y</t>
  </si>
  <si>
    <t>AUD-ClearedIRSwap-5Y</t>
  </si>
  <si>
    <t>AUD-ClearedIRSwap-7Y</t>
  </si>
  <si>
    <t>AUD-ClearedIRSwap-10Y</t>
  </si>
  <si>
    <t>AUD-ClearedIRSwap-15Y</t>
  </si>
  <si>
    <t>AUD-ClearedIRSwap-20Y</t>
  </si>
  <si>
    <t>AUD-ClearedIRSwap-25Y</t>
  </si>
  <si>
    <t>AUD-ClearedIRSwap-30Y</t>
  </si>
  <si>
    <t>Issue</t>
  </si>
  <si>
    <t>Does not include basis swaps in the calculations yet.</t>
  </si>
  <si>
    <t>The turn effect does not seem to work properly.</t>
  </si>
  <si>
    <t>GapStep</t>
  </si>
  <si>
    <t>Number</t>
  </si>
  <si>
    <t>Backlog Issues</t>
  </si>
  <si>
    <t>Test</t>
  </si>
  <si>
    <t>PricingStructureType should be RateCurve.</t>
  </si>
  <si>
    <t>IRFutures</t>
  </si>
  <si>
    <t>No convexity adjustment included in DiscountFactAtMaturity and NPV.</t>
  </si>
  <si>
    <t>Check valuation against curve.</t>
  </si>
  <si>
    <t>IRAssets</t>
  </si>
  <si>
    <t>Fix</t>
  </si>
  <si>
    <t>The interpolation seems to not be constant in long intervals. Change to monthly steps.</t>
  </si>
  <si>
    <t>A RateCurve or ClearedRateCurve, built with basis swaps, has them missing from the xml.</t>
  </si>
  <si>
    <t>Basis Swap Asset</t>
  </si>
  <si>
    <t>The implied quote is a rate and not a spread.</t>
  </si>
  <si>
    <t>Comments</t>
  </si>
  <si>
    <t>The adjustment function can be accessed directly via the "Futures" dll add-in. This should be tested.</t>
  </si>
  <si>
    <t>PricingStructureType is ClearedRateCurve. However, the curve identified has been changed so it it a RateCurve.</t>
  </si>
  <si>
    <t>The input quotedassetset is now used rather than a created one.</t>
  </si>
  <si>
    <t>The spread is just added/subtracted from the fixed leg. The simple bootstrapper is still used.</t>
  </si>
  <si>
    <t>Market.EOD_Sydney.RateCurve.AUD-AUD-BBR-BBSW-3M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</si>
</sst>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dd/mm/yyyy;@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</numFmts>
  <fonts count="34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8"/>
      <color indexed="16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sz val="16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gray0625"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1" fillId="2" borderId="0"/>
    <xf numFmtId="0" fontId="6" fillId="2" borderId="0"/>
    <xf numFmtId="0" fontId="1" fillId="0" borderId="0" applyNumberFormat="0" applyFill="0" applyBorder="0" applyAlignment="0" applyProtection="0">
      <alignment horizontal="left" wrapText="1"/>
    </xf>
    <xf numFmtId="0" fontId="11" fillId="10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2" fillId="11" borderId="0" applyNumberFormat="0" applyBorder="0">
      <alignment horizontal="right" vertical="center"/>
    </xf>
    <xf numFmtId="19" fontId="12" fillId="11" borderId="2" applyNumberFormat="0" applyBorder="0">
      <alignment horizontal="left" vertical="center"/>
    </xf>
    <xf numFmtId="2" fontId="13" fillId="12" borderId="0">
      <alignment horizontal="center" vertical="center"/>
    </xf>
    <xf numFmtId="2" fontId="13" fillId="12" borderId="9" applyBorder="0">
      <alignment horizontal="left" vertical="center"/>
    </xf>
    <xf numFmtId="0" fontId="12" fillId="11" borderId="0">
      <alignment horizontal="right" vertical="center"/>
    </xf>
    <xf numFmtId="19" fontId="14" fillId="11" borderId="13" applyNumberFormat="0" applyBorder="0">
      <alignment horizontal="left" vertical="center" indent="1"/>
    </xf>
    <xf numFmtId="2" fontId="15" fillId="12" borderId="16" applyBorder="0">
      <alignment horizontal="left" vertical="center" indent="1"/>
    </xf>
    <xf numFmtId="2" fontId="15" fillId="12" borderId="1" applyBorder="0">
      <alignment horizontal="center" vertical="center"/>
    </xf>
    <xf numFmtId="2" fontId="1" fillId="13" borderId="17" applyBorder="0">
      <alignment horizontal="left" vertical="center" indent="1"/>
    </xf>
    <xf numFmtId="0" fontId="1" fillId="13" borderId="0">
      <alignment horizontal="right" vertical="center"/>
    </xf>
    <xf numFmtId="2" fontId="1" fillId="13" borderId="2" applyNumberFormat="0" applyBorder="0">
      <alignment horizontal="right" vertical="center"/>
    </xf>
    <xf numFmtId="2" fontId="16" fillId="14" borderId="13" applyBorder="0">
      <alignment horizontal="left" vertical="center" indent="1"/>
    </xf>
    <xf numFmtId="2" fontId="16" fillId="14" borderId="0">
      <alignment horizontal="right" vertical="center"/>
    </xf>
    <xf numFmtId="2" fontId="16" fillId="14" borderId="9" applyBorder="0">
      <alignment horizontal="left" vertical="center"/>
    </xf>
    <xf numFmtId="2" fontId="16" fillId="14" borderId="18" applyBorder="0">
      <alignment horizontal="center" vertical="center"/>
    </xf>
    <xf numFmtId="19" fontId="14" fillId="15" borderId="19" applyNumberFormat="0" applyBorder="0">
      <alignment horizontal="left" vertical="center"/>
    </xf>
    <xf numFmtId="15" fontId="14" fillId="15" borderId="1" applyNumberFormat="0" applyBorder="0">
      <alignment horizontal="right" vertical="center"/>
    </xf>
    <xf numFmtId="19" fontId="14" fillId="15" borderId="3" applyNumberFormat="0" applyBorder="0">
      <alignment horizontal="right" vertical="center"/>
    </xf>
    <xf numFmtId="2" fontId="15" fillId="16" borderId="20" applyBorder="0">
      <alignment horizontal="left" vertical="center" indent="1"/>
    </xf>
    <xf numFmtId="2" fontId="15" fillId="16" borderId="9" applyNumberFormat="0">
      <alignment horizontal="center" vertical="center"/>
    </xf>
    <xf numFmtId="2" fontId="15" fillId="16" borderId="9" applyNumberFormat="0" applyBorder="0">
      <alignment horizontal="left" vertical="center"/>
    </xf>
    <xf numFmtId="2" fontId="1" fillId="17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7" fontId="17" fillId="0" borderId="0"/>
    <xf numFmtId="0" fontId="1" fillId="0" borderId="0"/>
    <xf numFmtId="0" fontId="10" fillId="8" borderId="4" applyNumberFormat="0" applyBorder="0">
      <alignment horizontal="left" vertical="center"/>
    </xf>
    <xf numFmtId="2" fontId="10" fillId="8" borderId="9" applyNumberFormat="0" applyBorder="0">
      <alignment horizontal="left" vertical="center"/>
    </xf>
    <xf numFmtId="2" fontId="16" fillId="14" borderId="12" applyNumberFormat="0" applyBorder="0">
      <alignment horizontal="left" vertical="center"/>
    </xf>
    <xf numFmtId="2" fontId="16" fillId="14" borderId="9" applyNumberFormat="0" applyBorder="0">
      <alignment horizontal="left" vertical="center"/>
    </xf>
    <xf numFmtId="19" fontId="1" fillId="18" borderId="14" applyNumberFormat="0" applyBorder="0">
      <alignment horizontal="left" vertical="center" indent="1"/>
    </xf>
    <xf numFmtId="0" fontId="1" fillId="18" borderId="0">
      <alignment horizontal="right" vertical="center"/>
    </xf>
    <xf numFmtId="19" fontId="1" fillId="18" borderId="3" applyNumberFormat="0" applyBorder="0">
      <alignment horizontal="right" vertical="center"/>
    </xf>
    <xf numFmtId="2" fontId="18" fillId="19" borderId="16" applyBorder="0">
      <alignment horizontal="left" vertical="center" indent="1"/>
    </xf>
    <xf numFmtId="2" fontId="18" fillId="19" borderId="0">
      <alignment horizontal="center" vertical="center"/>
    </xf>
    <xf numFmtId="2" fontId="18" fillId="19" borderId="10">
      <alignment horizontal="left" vertical="center"/>
    </xf>
    <xf numFmtId="0" fontId="19" fillId="20" borderId="18">
      <alignment horizontal="center"/>
    </xf>
    <xf numFmtId="9" fontId="1" fillId="0" borderId="0" applyFont="0" applyFill="0" applyBorder="0" applyAlignment="0" applyProtection="0"/>
    <xf numFmtId="165" fontId="20" fillId="21" borderId="0" applyNumberFormat="0" applyBorder="0">
      <alignment horizontal="right" vertical="center"/>
    </xf>
    <xf numFmtId="165" fontId="20" fillId="21" borderId="0" applyNumberFormat="0" applyBorder="0">
      <alignment horizontal="right" vertical="center"/>
    </xf>
    <xf numFmtId="0" fontId="21" fillId="22" borderId="18" applyNumberFormat="0">
      <alignment horizontal="center" vertical="center"/>
    </xf>
    <xf numFmtId="0" fontId="21" fillId="22" borderId="0" applyNumberFormat="0" applyBorder="0">
      <alignment horizontal="left" vertical="center" indent="1"/>
    </xf>
    <xf numFmtId="168" fontId="22" fillId="23" borderId="0">
      <alignment horizontal="center" vertical="center"/>
    </xf>
    <xf numFmtId="169" fontId="23" fillId="24" borderId="0">
      <alignment horizontal="center" vertical="center"/>
      <protection locked="0"/>
    </xf>
    <xf numFmtId="0" fontId="1" fillId="0" borderId="0">
      <alignment horizontal="left" wrapText="1"/>
    </xf>
    <xf numFmtId="2" fontId="24" fillId="25" borderId="4" applyNumberFormat="0" applyFill="0" applyBorder="0" applyAlignment="0">
      <alignment horizontal="center"/>
      <protection locked="0"/>
    </xf>
    <xf numFmtId="2" fontId="1" fillId="26" borderId="9" applyNumberFormat="0" applyBorder="0">
      <alignment horizontal="right" vertical="center"/>
    </xf>
    <xf numFmtId="2" fontId="1" fillId="26" borderId="0">
      <alignment horizontal="right" vertical="center"/>
    </xf>
    <xf numFmtId="2" fontId="16" fillId="27" borderId="18">
      <alignment horizontal="center" vertical="center"/>
    </xf>
    <xf numFmtId="2" fontId="16" fillId="27" borderId="0" applyNumberFormat="0" applyBorder="0">
      <alignment horizontal="left" vertical="center"/>
    </xf>
    <xf numFmtId="2" fontId="16" fillId="27" borderId="18">
      <alignment horizontal="center" vertical="center"/>
    </xf>
    <xf numFmtId="38" fontId="25" fillId="0" borderId="0" applyFont="0" applyFill="0" applyBorder="0" applyAlignment="0" applyProtection="0"/>
    <xf numFmtId="0" fontId="25" fillId="0" borderId="0"/>
    <xf numFmtId="0" fontId="1" fillId="2" borderId="0"/>
  </cellStyleXfs>
  <cellXfs count="105">
    <xf numFmtId="0" fontId="0" fillId="0" borderId="0" xfId="0"/>
    <xf numFmtId="0" fontId="3" fillId="4" borderId="3" xfId="0" applyFont="1" applyFill="1" applyBorder="1"/>
    <xf numFmtId="0" fontId="3" fillId="4" borderId="0" xfId="0" applyFont="1" applyFill="1" applyBorder="1"/>
    <xf numFmtId="0" fontId="4" fillId="0" borderId="10" xfId="0" applyFont="1" applyFill="1" applyBorder="1" applyAlignment="1">
      <alignment horizontal="center"/>
    </xf>
    <xf numFmtId="10" fontId="3" fillId="0" borderId="10" xfId="0" applyNumberFormat="1" applyFont="1" applyBorder="1"/>
    <xf numFmtId="0" fontId="4" fillId="0" borderId="11" xfId="0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8" fillId="6" borderId="9" xfId="1" applyFont="1" applyFill="1" applyBorder="1" applyAlignment="1">
      <alignment horizontal="center"/>
    </xf>
    <xf numFmtId="0" fontId="8" fillId="6" borderId="10" xfId="1" applyFont="1" applyFill="1" applyBorder="1" applyAlignment="1">
      <alignment horizontal="center"/>
    </xf>
    <xf numFmtId="14" fontId="8" fillId="6" borderId="10" xfId="1" applyNumberFormat="1" applyFont="1" applyFill="1" applyBorder="1" applyAlignment="1">
      <alignment horizontal="center"/>
    </xf>
    <xf numFmtId="0" fontId="8" fillId="6" borderId="11" xfId="2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6" borderId="11" xfId="62" applyFont="1" applyFill="1" applyBorder="1" applyAlignment="1">
      <alignment horizontal="center"/>
    </xf>
    <xf numFmtId="14" fontId="0" fillId="0" borderId="0" xfId="0" applyNumberFormat="1"/>
    <xf numFmtId="0" fontId="28" fillId="4" borderId="0" xfId="0" applyFont="1" applyFill="1" applyBorder="1"/>
    <xf numFmtId="0" fontId="27" fillId="5" borderId="1" xfId="1" applyFont="1" applyFill="1" applyBorder="1" applyAlignment="1">
      <alignment horizontal="center"/>
    </xf>
    <xf numFmtId="0" fontId="29" fillId="6" borderId="9" xfId="1" applyFont="1" applyFill="1" applyBorder="1" applyAlignment="1">
      <alignment horizontal="center"/>
    </xf>
    <xf numFmtId="0" fontId="29" fillId="6" borderId="10" xfId="1" applyFont="1" applyFill="1" applyBorder="1" applyAlignment="1">
      <alignment horizontal="center"/>
    </xf>
    <xf numFmtId="14" fontId="29" fillId="6" borderId="10" xfId="1" applyNumberFormat="1" applyFont="1" applyFill="1" applyBorder="1" applyAlignment="1">
      <alignment horizontal="center"/>
    </xf>
    <xf numFmtId="0" fontId="29" fillId="6" borderId="11" xfId="2" applyFont="1" applyFill="1" applyBorder="1" applyAlignment="1">
      <alignment horizontal="center"/>
    </xf>
    <xf numFmtId="10" fontId="3" fillId="0" borderId="9" xfId="0" applyNumberFormat="1" applyFont="1" applyBorder="1"/>
    <xf numFmtId="10" fontId="3" fillId="0" borderId="11" xfId="0" applyNumberFormat="1" applyFont="1" applyBorder="1"/>
    <xf numFmtId="10" fontId="3" fillId="0" borderId="8" xfId="46" applyNumberFormat="1" applyFont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8" fillId="7" borderId="13" xfId="62" applyFont="1" applyFill="1" applyBorder="1" applyAlignment="1">
      <alignment horizontal="center"/>
    </xf>
    <xf numFmtId="0" fontId="8" fillId="7" borderId="14" xfId="62" applyFont="1" applyFill="1" applyBorder="1" applyAlignment="1">
      <alignment horizontal="center"/>
    </xf>
    <xf numFmtId="0" fontId="8" fillId="7" borderId="15" xfId="62" applyFont="1" applyFill="1" applyBorder="1" applyAlignment="1">
      <alignment horizontal="center"/>
    </xf>
    <xf numFmtId="0" fontId="7" fillId="5" borderId="21" xfId="1" applyFont="1" applyFill="1" applyBorder="1" applyAlignment="1">
      <alignment horizontal="center"/>
    </xf>
    <xf numFmtId="164" fontId="8" fillId="7" borderId="9" xfId="1" applyNumberFormat="1" applyFont="1" applyFill="1" applyBorder="1" applyAlignment="1">
      <alignment horizontal="center"/>
    </xf>
    <xf numFmtId="164" fontId="8" fillId="7" borderId="10" xfId="1" applyNumberFormat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22" fontId="8" fillId="7" borderId="10" xfId="1" applyNumberFormat="1" applyFont="1" applyFill="1" applyBorder="1" applyAlignment="1">
      <alignment horizontal="center"/>
    </xf>
    <xf numFmtId="0" fontId="8" fillId="7" borderId="11" xfId="62" applyFont="1" applyFill="1" applyBorder="1" applyAlignment="1">
      <alignment horizontal="center"/>
    </xf>
    <xf numFmtId="0" fontId="30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8" fillId="7" borderId="11" xfId="2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164" fontId="8" fillId="7" borderId="11" xfId="1" applyNumberFormat="1" applyFont="1" applyFill="1" applyBorder="1" applyAlignment="1">
      <alignment horizontal="center"/>
    </xf>
    <xf numFmtId="10" fontId="3" fillId="28" borderId="10" xfId="0" applyNumberFormat="1" applyFont="1" applyFill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165" fontId="3" fillId="0" borderId="11" xfId="0" applyNumberFormat="1" applyFont="1" applyBorder="1"/>
    <xf numFmtId="10" fontId="3" fillId="29" borderId="9" xfId="0" applyNumberFormat="1" applyFont="1" applyFill="1" applyBorder="1"/>
    <xf numFmtId="10" fontId="3" fillId="29" borderId="10" xfId="0" applyNumberFormat="1" applyFont="1" applyFill="1" applyBorder="1"/>
    <xf numFmtId="10" fontId="3" fillId="29" borderId="11" xfId="0" applyNumberFormat="1" applyFont="1" applyFill="1" applyBorder="1"/>
    <xf numFmtId="10" fontId="31" fillId="29" borderId="10" xfId="0" applyNumberFormat="1" applyFont="1" applyFill="1" applyBorder="1"/>
    <xf numFmtId="10" fontId="31" fillId="29" borderId="11" xfId="0" applyNumberFormat="1" applyFont="1" applyFill="1" applyBorder="1"/>
    <xf numFmtId="10" fontId="28" fillId="9" borderId="9" xfId="0" applyNumberFormat="1" applyFont="1" applyFill="1" applyBorder="1"/>
    <xf numFmtId="10" fontId="28" fillId="9" borderId="11" xfId="0" applyNumberFormat="1" applyFont="1" applyFill="1" applyBorder="1"/>
    <xf numFmtId="0" fontId="0" fillId="31" borderId="22" xfId="0" applyFill="1" applyBorder="1"/>
    <xf numFmtId="0" fontId="0" fillId="0" borderId="0" xfId="0" applyAlignment="1">
      <alignment horizontal="center"/>
    </xf>
    <xf numFmtId="10" fontId="31" fillId="29" borderId="9" xfId="0" applyNumberFormat="1" applyFont="1" applyFill="1" applyBorder="1"/>
    <xf numFmtId="10" fontId="31" fillId="29" borderId="2" xfId="0" applyNumberFormat="1" applyFont="1" applyFill="1" applyBorder="1"/>
    <xf numFmtId="10" fontId="31" fillId="29" borderId="3" xfId="0" applyNumberFormat="1" applyFont="1" applyFill="1" applyBorder="1"/>
    <xf numFmtId="10" fontId="31" fillId="29" borderId="8" xfId="0" applyNumberFormat="1" applyFont="1" applyFill="1" applyBorder="1"/>
    <xf numFmtId="0" fontId="8" fillId="6" borderId="1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14" fontId="8" fillId="6" borderId="4" xfId="1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/>
    </xf>
    <xf numFmtId="0" fontId="1" fillId="0" borderId="0" xfId="0" applyFont="1"/>
    <xf numFmtId="0" fontId="27" fillId="5" borderId="21" xfId="1" applyFont="1" applyFill="1" applyBorder="1" applyAlignment="1">
      <alignment horizontal="center"/>
    </xf>
    <xf numFmtId="164" fontId="29" fillId="7" borderId="9" xfId="1" applyNumberFormat="1" applyFont="1" applyFill="1" applyBorder="1" applyAlignment="1">
      <alignment horizontal="center"/>
    </xf>
    <xf numFmtId="164" fontId="29" fillId="7" borderId="10" xfId="1" applyNumberFormat="1" applyFont="1" applyFill="1" applyBorder="1" applyAlignment="1">
      <alignment horizontal="center"/>
    </xf>
    <xf numFmtId="0" fontId="29" fillId="7" borderId="10" xfId="1" applyFont="1" applyFill="1" applyBorder="1" applyAlignment="1">
      <alignment horizontal="center"/>
    </xf>
    <xf numFmtId="22" fontId="29" fillId="7" borderId="10" xfId="1" applyNumberFormat="1" applyFont="1" applyFill="1" applyBorder="1" applyAlignment="1">
      <alignment horizontal="center"/>
    </xf>
    <xf numFmtId="0" fontId="29" fillId="7" borderId="11" xfId="2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33" fillId="32" borderId="23" xfId="0" applyFont="1" applyFill="1" applyBorder="1" applyAlignment="1">
      <alignment horizontal="center"/>
    </xf>
    <xf numFmtId="0" fontId="7" fillId="5" borderId="12" xfId="62" applyFont="1" applyFill="1" applyBorder="1" applyAlignment="1">
      <alignment horizontal="center"/>
    </xf>
    <xf numFmtId="0" fontId="7" fillId="5" borderId="21" xfId="62" applyFont="1" applyFill="1" applyBorder="1" applyAlignment="1">
      <alignment horizontal="center"/>
    </xf>
    <xf numFmtId="0" fontId="7" fillId="5" borderId="5" xfId="62" applyFont="1" applyFill="1" applyBorder="1" applyAlignment="1">
      <alignment horizontal="center"/>
    </xf>
    <xf numFmtId="0" fontId="7" fillId="5" borderId="8" xfId="62" applyFont="1" applyFill="1" applyBorder="1" applyAlignment="1">
      <alignment horizontal="center"/>
    </xf>
    <xf numFmtId="0" fontId="27" fillId="5" borderId="12" xfId="2" applyFont="1" applyFill="1" applyBorder="1" applyAlignment="1">
      <alignment horizontal="center"/>
    </xf>
    <xf numFmtId="0" fontId="27" fillId="5" borderId="21" xfId="2" applyFont="1" applyFill="1" applyBorder="1" applyAlignment="1">
      <alignment horizontal="center"/>
    </xf>
    <xf numFmtId="0" fontId="7" fillId="5" borderId="12" xfId="2" applyFont="1" applyFill="1" applyBorder="1" applyAlignment="1">
      <alignment horizontal="center"/>
    </xf>
    <xf numFmtId="0" fontId="7" fillId="5" borderId="21" xfId="2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2" fillId="30" borderId="12" xfId="0" applyFont="1" applyFill="1" applyBorder="1" applyAlignment="1">
      <alignment horizontal="center"/>
    </xf>
    <xf numFmtId="0" fontId="32" fillId="30" borderId="6" xfId="0" applyFont="1" applyFill="1" applyBorder="1" applyAlignment="1">
      <alignment horizontal="center"/>
    </xf>
    <xf numFmtId="0" fontId="32" fillId="30" borderId="2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63">
    <cellStyle name="_Copy of Portfolios to Archeus 6-3-04 (2)" xfId="3" xr:uid="{00000000-0005-0000-0000-000000000000}"/>
    <cellStyle name="back" xfId="4" xr:uid="{00000000-0005-0000-0000-000001000000}"/>
    <cellStyle name="Comma0" xfId="5" xr:uid="{00000000-0005-0000-0000-000002000000}"/>
    <cellStyle name="Currency 2" xfId="6" xr:uid="{00000000-0005-0000-0000-000003000000}"/>
    <cellStyle name="Currency0" xfId="7" xr:uid="{00000000-0005-0000-0000-000004000000}"/>
    <cellStyle name="Date" xfId="8" xr:uid="{00000000-0005-0000-0000-000005000000}"/>
    <cellStyle name="Fixed" xfId="9" xr:uid="{00000000-0005-0000-0000-000006000000}"/>
    <cellStyle name="InfoDataColumn" xfId="10" xr:uid="{00000000-0005-0000-0000-000007000000}"/>
    <cellStyle name="InfoDataRow" xfId="11" xr:uid="{00000000-0005-0000-0000-000008000000}"/>
    <cellStyle name="InfoLabelColumn" xfId="12" xr:uid="{00000000-0005-0000-0000-000009000000}"/>
    <cellStyle name="InfoLabelRow" xfId="13" xr:uid="{00000000-0005-0000-0000-00000A000000}"/>
    <cellStyle name="InfolDataColumn" xfId="14" xr:uid="{00000000-0005-0000-0000-00000B000000}"/>
    <cellStyle name="InformationalData" xfId="15" xr:uid="{00000000-0005-0000-0000-00000C000000}"/>
    <cellStyle name="InformationalLabel" xfId="16" xr:uid="{00000000-0005-0000-0000-00000D000000}"/>
    <cellStyle name="InformationalLabelTop" xfId="17" xr:uid="{00000000-0005-0000-0000-00000E000000}"/>
    <cellStyle name="InputData" xfId="18" xr:uid="{00000000-0005-0000-0000-00000F000000}"/>
    <cellStyle name="InputDataColumn" xfId="19" xr:uid="{00000000-0005-0000-0000-000010000000}"/>
    <cellStyle name="InputDataRow" xfId="20" xr:uid="{00000000-0005-0000-0000-000011000000}"/>
    <cellStyle name="InputLabel" xfId="21" xr:uid="{00000000-0005-0000-0000-000012000000}"/>
    <cellStyle name="InputLabelColumn" xfId="22" xr:uid="{00000000-0005-0000-0000-000013000000}"/>
    <cellStyle name="InputLabelRow" xfId="23" xr:uid="{00000000-0005-0000-0000-000014000000}"/>
    <cellStyle name="InputLabelTop" xfId="24" xr:uid="{00000000-0005-0000-0000-000015000000}"/>
    <cellStyle name="IntermediateData" xfId="25" xr:uid="{00000000-0005-0000-0000-000016000000}"/>
    <cellStyle name="IntermediateDataColumn" xfId="26" xr:uid="{00000000-0005-0000-0000-000017000000}"/>
    <cellStyle name="IntermediateDataRow" xfId="27" xr:uid="{00000000-0005-0000-0000-000018000000}"/>
    <cellStyle name="IntermediateLabel" xfId="28" xr:uid="{00000000-0005-0000-0000-000019000000}"/>
    <cellStyle name="IntermediateLabelColumn" xfId="29" xr:uid="{00000000-0005-0000-0000-00001A000000}"/>
    <cellStyle name="IntermediateLabelRow" xfId="30" xr:uid="{00000000-0005-0000-0000-00001B000000}"/>
    <cellStyle name="InvalidCell" xfId="31" xr:uid="{00000000-0005-0000-0000-00001C000000}"/>
    <cellStyle name="NewSheet" xfId="32" xr:uid="{00000000-0005-0000-0000-00001D000000}"/>
    <cellStyle name="Normal" xfId="0" builtinId="0"/>
    <cellStyle name="Normal - Style1" xfId="33" xr:uid="{00000000-0005-0000-0000-00001F000000}"/>
    <cellStyle name="Normal 2" xfId="34" xr:uid="{00000000-0005-0000-0000-000020000000}"/>
    <cellStyle name="Normal_Sheet1" xfId="1" xr:uid="{00000000-0005-0000-0000-000021000000}"/>
    <cellStyle name="Normal_Sheet1 2_RateVols Examples" xfId="2" xr:uid="{00000000-0005-0000-0000-000022000000}"/>
    <cellStyle name="Normal_Sheet1 2_RateVols Examples 2" xfId="62" xr:uid="{00000000-0005-0000-0000-000023000000}"/>
    <cellStyle name="ObjectDataColumn" xfId="35" xr:uid="{00000000-0005-0000-0000-000024000000}"/>
    <cellStyle name="ObjectDataRow" xfId="36" xr:uid="{00000000-0005-0000-0000-000025000000}"/>
    <cellStyle name="ObjectLabelColumn" xfId="37" xr:uid="{00000000-0005-0000-0000-000026000000}"/>
    <cellStyle name="ObjectLabelRow" xfId="38" xr:uid="{00000000-0005-0000-0000-000027000000}"/>
    <cellStyle name="OutputData" xfId="39" xr:uid="{00000000-0005-0000-0000-000028000000}"/>
    <cellStyle name="OutputDataColumn" xfId="40" xr:uid="{00000000-0005-0000-0000-000029000000}"/>
    <cellStyle name="OutputDataRow" xfId="41" xr:uid="{00000000-0005-0000-0000-00002A000000}"/>
    <cellStyle name="OutputLabel" xfId="42" xr:uid="{00000000-0005-0000-0000-00002B000000}"/>
    <cellStyle name="OutputLabelColumn" xfId="43" xr:uid="{00000000-0005-0000-0000-00002C000000}"/>
    <cellStyle name="OutputLabelRow" xfId="44" xr:uid="{00000000-0005-0000-0000-00002D000000}"/>
    <cellStyle name="PanelLabel" xfId="45" xr:uid="{00000000-0005-0000-0000-00002E000000}"/>
    <cellStyle name="Percent 2" xfId="46" xr:uid="{00000000-0005-0000-0000-00002F000000}"/>
    <cellStyle name="PersonalDataColumn" xfId="47" xr:uid="{00000000-0005-0000-0000-000030000000}"/>
    <cellStyle name="PersonalDataRow" xfId="48" xr:uid="{00000000-0005-0000-0000-000031000000}"/>
    <cellStyle name="PersonalLabelColumn" xfId="49" xr:uid="{00000000-0005-0000-0000-000032000000}"/>
    <cellStyle name="PersonalLabelRow" xfId="50" xr:uid="{00000000-0005-0000-0000-000033000000}"/>
    <cellStyle name="result" xfId="51" xr:uid="{00000000-0005-0000-0000-000034000000}"/>
    <cellStyle name="spreads" xfId="52" xr:uid="{00000000-0005-0000-0000-000035000000}"/>
    <cellStyle name="Style 1" xfId="53" xr:uid="{00000000-0005-0000-0000-000036000000}"/>
    <cellStyle name="swaptn" xfId="54" xr:uid="{00000000-0005-0000-0000-000037000000}"/>
    <cellStyle name="TableDataColumn" xfId="55" xr:uid="{00000000-0005-0000-0000-000038000000}"/>
    <cellStyle name="TableDataRow" xfId="56" xr:uid="{00000000-0005-0000-0000-000039000000}"/>
    <cellStyle name="TableLabelColumn" xfId="57" xr:uid="{00000000-0005-0000-0000-00003A000000}"/>
    <cellStyle name="TableLabelRow" xfId="58" xr:uid="{00000000-0005-0000-0000-00003B000000}"/>
    <cellStyle name="TableLabelTop" xfId="59" xr:uid="{00000000-0005-0000-0000-00003C000000}"/>
    <cellStyle name="桁区切り_NewDemo" xfId="60" xr:uid="{00000000-0005-0000-0000-00003D000000}"/>
    <cellStyle name="標準_NewDemo" xfId="61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"/>
  <sheetViews>
    <sheetView workbookViewId="0">
      <selection activeCell="D16" sqref="D16"/>
    </sheetView>
  </sheetViews>
  <sheetFormatPr defaultRowHeight="12.75"/>
  <cols>
    <col min="1" max="1" width="1.7109375" customWidth="1"/>
    <col min="2" max="2" width="7.42578125" bestFit="1" customWidth="1"/>
    <col min="3" max="3" width="15.85546875" bestFit="1" customWidth="1"/>
    <col min="4" max="4" width="76.7109375" customWidth="1"/>
    <col min="5" max="6" width="10.140625" bestFit="1" customWidth="1"/>
    <col min="7" max="7" width="98.140625" customWidth="1"/>
  </cols>
  <sheetData>
    <row r="2" spans="2:7" ht="20.25">
      <c r="B2" s="78" t="s">
        <v>156</v>
      </c>
      <c r="C2" s="78"/>
      <c r="D2" s="78"/>
      <c r="E2" s="78"/>
      <c r="F2" s="78"/>
      <c r="G2" s="78"/>
    </row>
    <row r="3" spans="2:7">
      <c r="B3" s="56" t="s">
        <v>155</v>
      </c>
      <c r="C3" s="56" t="s">
        <v>75</v>
      </c>
      <c r="D3" s="56" t="s">
        <v>151</v>
      </c>
      <c r="E3" s="56" t="s">
        <v>98</v>
      </c>
      <c r="F3" s="56" t="s">
        <v>163</v>
      </c>
      <c r="G3" s="56" t="s">
        <v>168</v>
      </c>
    </row>
    <row r="4" spans="2:7">
      <c r="B4" s="76">
        <v>1</v>
      </c>
      <c r="C4" s="77" t="s">
        <v>105</v>
      </c>
      <c r="D4" s="77" t="s">
        <v>152</v>
      </c>
      <c r="E4" s="14">
        <v>42945</v>
      </c>
      <c r="F4" s="14">
        <v>42954</v>
      </c>
      <c r="G4" t="s">
        <v>172</v>
      </c>
    </row>
    <row r="5" spans="2:7">
      <c r="B5" s="57">
        <v>2</v>
      </c>
      <c r="C5" t="s">
        <v>0</v>
      </c>
      <c r="D5" t="s">
        <v>153</v>
      </c>
      <c r="E5" s="14">
        <v>42945</v>
      </c>
    </row>
    <row r="6" spans="2:7">
      <c r="B6" s="57">
        <v>3</v>
      </c>
      <c r="C6" t="s">
        <v>154</v>
      </c>
      <c r="D6" t="s">
        <v>164</v>
      </c>
      <c r="E6" s="14">
        <v>42945</v>
      </c>
    </row>
    <row r="7" spans="2:7">
      <c r="B7" s="76">
        <v>4</v>
      </c>
      <c r="C7" s="77" t="s">
        <v>105</v>
      </c>
      <c r="D7" s="77" t="s">
        <v>158</v>
      </c>
      <c r="E7" s="14">
        <v>42947</v>
      </c>
      <c r="F7" s="14">
        <v>42962</v>
      </c>
      <c r="G7" t="s">
        <v>170</v>
      </c>
    </row>
    <row r="8" spans="2:7">
      <c r="B8" s="76">
        <v>5</v>
      </c>
      <c r="C8" s="77" t="s">
        <v>159</v>
      </c>
      <c r="D8" s="77" t="s">
        <v>160</v>
      </c>
      <c r="E8" s="14">
        <v>42952</v>
      </c>
      <c r="F8" s="14">
        <v>42974</v>
      </c>
      <c r="G8" t="s">
        <v>169</v>
      </c>
    </row>
    <row r="9" spans="2:7">
      <c r="B9" s="76">
        <v>6</v>
      </c>
      <c r="C9" s="77" t="s">
        <v>162</v>
      </c>
      <c r="D9" s="77" t="s">
        <v>161</v>
      </c>
      <c r="E9" s="14">
        <v>42952</v>
      </c>
      <c r="F9" s="14">
        <v>42969</v>
      </c>
    </row>
    <row r="10" spans="2:7">
      <c r="B10" s="76">
        <v>7</v>
      </c>
      <c r="C10" s="77" t="s">
        <v>0</v>
      </c>
      <c r="D10" s="77" t="s">
        <v>165</v>
      </c>
      <c r="E10" s="14">
        <v>42959</v>
      </c>
      <c r="F10" s="14">
        <v>42969</v>
      </c>
      <c r="G10" t="s">
        <v>171</v>
      </c>
    </row>
    <row r="11" spans="2:7">
      <c r="B11" s="57">
        <v>8</v>
      </c>
      <c r="C11" s="66" t="s">
        <v>166</v>
      </c>
      <c r="D11" s="66" t="s">
        <v>167</v>
      </c>
      <c r="E11" s="14">
        <v>42969</v>
      </c>
    </row>
    <row r="12" spans="2:7">
      <c r="B12" s="57"/>
    </row>
    <row r="13" spans="2:7">
      <c r="B13" s="57"/>
    </row>
    <row r="14" spans="2:7">
      <c r="B14" s="57"/>
    </row>
    <row r="15" spans="2:7">
      <c r="B15" s="57"/>
    </row>
    <row r="16" spans="2:7">
      <c r="B16" s="57"/>
    </row>
    <row r="17" spans="2:2">
      <c r="B17" s="57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  <row r="30" spans="2:2">
      <c r="B30" s="57"/>
    </row>
    <row r="31" spans="2:2">
      <c r="B31" s="57"/>
    </row>
    <row r="32" spans="2:2">
      <c r="B32" s="57"/>
    </row>
    <row r="33" spans="2:2">
      <c r="B33" s="57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88"/>
  <sheetViews>
    <sheetView tabSelected="1" zoomScaleNormal="100" workbookViewId="0">
      <selection activeCell="R27" sqref="R27"/>
    </sheetView>
  </sheetViews>
  <sheetFormatPr defaultRowHeight="12.75"/>
  <cols>
    <col min="1" max="1" width="1" customWidth="1"/>
    <col min="2" max="2" width="21" bestFit="1" customWidth="1"/>
    <col min="3" max="3" width="35" customWidth="1"/>
    <col min="4" max="4" width="0.5703125" customWidth="1"/>
    <col min="5" max="5" width="19.7109375" bestFit="1" customWidth="1"/>
    <col min="6" max="6" width="7.140625" bestFit="1" customWidth="1"/>
    <col min="7" max="7" width="6.28515625" bestFit="1" customWidth="1"/>
    <col min="8" max="8" width="0.7109375" customWidth="1"/>
    <col min="9" max="9" width="22" bestFit="1" customWidth="1"/>
    <col min="10" max="10" width="52.5703125" bestFit="1" customWidth="1"/>
    <col min="11" max="11" width="1" customWidth="1"/>
    <col min="12" max="12" width="19" bestFit="1" customWidth="1"/>
    <col min="13" max="13" width="6" bestFit="1" customWidth="1"/>
    <col min="14" max="14" width="9.5703125" customWidth="1"/>
    <col min="15" max="15" width="20.7109375" customWidth="1"/>
    <col min="16" max="16" width="8.7109375" customWidth="1"/>
    <col min="17" max="17" width="2.140625" customWidth="1"/>
  </cols>
  <sheetData>
    <row r="1" spans="1:17" ht="31.5" customHeight="1" thickBot="1">
      <c r="A1" s="2"/>
      <c r="B1" s="96" t="s">
        <v>139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8"/>
      <c r="N1" s="93" t="s">
        <v>173</v>
      </c>
      <c r="O1" s="94"/>
      <c r="P1" s="95"/>
      <c r="Q1" s="2"/>
    </row>
    <row r="2" spans="1:17" ht="13.5" thickBot="1">
      <c r="A2" s="2"/>
      <c r="B2" s="81" t="str">
        <f ca="1">_xll.HLV5r3.Financial.Cache.CreateCurve( B3:C11,E4:G30)</f>
        <v>Market.QR_LIVE.RateCurve.AUD-BBR-BBSW-3M</v>
      </c>
      <c r="C2" s="82"/>
      <c r="D2" s="2"/>
      <c r="E2" s="99" t="s">
        <v>72</v>
      </c>
      <c r="F2" s="101" t="s">
        <v>73</v>
      </c>
      <c r="G2" s="103" t="s">
        <v>142</v>
      </c>
      <c r="H2" s="1"/>
      <c r="I2" s="83" t="str">
        <f ca="1">_xll.HLV5r3.Financial.Cache.CreateRateBasisCurve(I3:J12,L4:L16,M4:M16)</f>
        <v>Market.QR_LIVE.RateCurve.AUD-BBR-BBSW-6M</v>
      </c>
      <c r="J2" s="84"/>
      <c r="K2" s="1"/>
      <c r="L2" s="99" t="s">
        <v>72</v>
      </c>
      <c r="M2" s="99" t="s">
        <v>73</v>
      </c>
      <c r="N2" s="2"/>
      <c r="O2" s="25" t="str">
        <f t="array" ref="O2:P29">_xll.HLV5r3.Financial.Cache.GetQuotedAssetSet(N1)</f>
        <v>AUD-OIS-1D</v>
      </c>
      <c r="P2" s="4">
        <v>1.4999999999999999E-2</v>
      </c>
      <c r="Q2" s="2"/>
    </row>
    <row r="3" spans="1:17" ht="13.5" thickBot="1">
      <c r="A3" s="2"/>
      <c r="B3" s="6" t="s">
        <v>15</v>
      </c>
      <c r="C3" s="30" t="s">
        <v>0</v>
      </c>
      <c r="D3" s="2"/>
      <c r="E3" s="100"/>
      <c r="F3" s="102"/>
      <c r="G3" s="104"/>
      <c r="H3" s="1"/>
      <c r="I3" s="16" t="s">
        <v>15</v>
      </c>
      <c r="J3" s="67" t="s">
        <v>38</v>
      </c>
      <c r="K3" s="1"/>
      <c r="L3" s="100"/>
      <c r="M3" s="100"/>
      <c r="N3" s="2"/>
      <c r="O3" s="36" t="str">
        <v>AUD-OIS-1M</v>
      </c>
      <c r="P3" s="4">
        <v>1.6E-2</v>
      </c>
      <c r="Q3" s="2"/>
    </row>
    <row r="4" spans="1:17">
      <c r="A4" s="2"/>
      <c r="B4" s="7" t="s">
        <v>16</v>
      </c>
      <c r="C4" s="31">
        <f ca="1">TODAY()</f>
        <v>43152</v>
      </c>
      <c r="D4" s="2"/>
      <c r="E4" s="37" t="s">
        <v>52</v>
      </c>
      <c r="F4" s="21">
        <v>1.4999999999999999E-2</v>
      </c>
      <c r="G4" s="21">
        <v>0</v>
      </c>
      <c r="H4" s="1"/>
      <c r="I4" s="17" t="s">
        <v>16</v>
      </c>
      <c r="J4" s="68">
        <f ca="1">BaseDate</f>
        <v>43152</v>
      </c>
      <c r="K4" s="1"/>
      <c r="L4" s="24" t="s">
        <v>52</v>
      </c>
      <c r="M4" s="52">
        <f>F4</f>
        <v>1.4999999999999999E-2</v>
      </c>
      <c r="N4" s="2"/>
      <c r="O4" s="36" t="str">
        <v>AUD-OIS-3M</v>
      </c>
      <c r="P4" s="4">
        <v>1.7000000000000001E-2</v>
      </c>
      <c r="Q4" s="2"/>
    </row>
    <row r="5" spans="1:17" ht="13.5" thickBot="1">
      <c r="A5" s="2"/>
      <c r="B5" s="8" t="s">
        <v>17</v>
      </c>
      <c r="C5" s="32">
        <f ca="1">C4</f>
        <v>43152</v>
      </c>
      <c r="D5" s="2"/>
      <c r="E5" s="38" t="s">
        <v>83</v>
      </c>
      <c r="F5" s="4">
        <v>1.6E-2</v>
      </c>
      <c r="G5" s="4">
        <v>0</v>
      </c>
      <c r="H5" s="1"/>
      <c r="I5" s="18" t="s">
        <v>17</v>
      </c>
      <c r="J5" s="69">
        <f ca="1">J4</f>
        <v>43152</v>
      </c>
      <c r="K5" s="1"/>
      <c r="L5" s="36" t="s">
        <v>65</v>
      </c>
      <c r="M5" s="52">
        <f>F6</f>
        <v>1.7000000000000001E-2</v>
      </c>
      <c r="N5" s="2"/>
      <c r="O5" s="36" t="str">
        <v>AUD-OIS-6M</v>
      </c>
      <c r="P5" s="4">
        <v>1.7318181818181819E-2</v>
      </c>
      <c r="Q5" s="2"/>
    </row>
    <row r="6" spans="1:17">
      <c r="A6" s="2"/>
      <c r="B6" s="9" t="s">
        <v>71</v>
      </c>
      <c r="C6" s="33" t="s">
        <v>51</v>
      </c>
      <c r="D6" s="2"/>
      <c r="E6" s="38" t="s">
        <v>65</v>
      </c>
      <c r="F6" s="4">
        <v>1.7000000000000001E-2</v>
      </c>
      <c r="G6" s="4">
        <v>0</v>
      </c>
      <c r="H6" s="1"/>
      <c r="I6" s="19" t="s">
        <v>18</v>
      </c>
      <c r="J6" s="70" t="s">
        <v>51</v>
      </c>
      <c r="K6" s="1"/>
      <c r="L6" s="36" t="s">
        <v>39</v>
      </c>
      <c r="M6" s="54">
        <v>1.0300000000000001E-3</v>
      </c>
      <c r="N6" s="2"/>
      <c r="O6" s="36" t="str">
        <v>AUD-OIS-1Y</v>
      </c>
      <c r="P6" s="4">
        <v>1.8054545454545459E-2</v>
      </c>
      <c r="Q6" s="2"/>
    </row>
    <row r="7" spans="1:17" ht="13.5" thickBot="1">
      <c r="A7" s="2"/>
      <c r="B7" s="8" t="s">
        <v>3</v>
      </c>
      <c r="C7" s="34" t="s">
        <v>66</v>
      </c>
      <c r="D7" s="2"/>
      <c r="E7" s="38" t="s">
        <v>84</v>
      </c>
      <c r="F7" s="4">
        <v>2.1000000000000001E-2</v>
      </c>
      <c r="G7" s="4">
        <v>0</v>
      </c>
      <c r="H7" s="1"/>
      <c r="I7" s="19" t="s">
        <v>53</v>
      </c>
      <c r="J7" s="70" t="str">
        <f ca="1">B2</f>
        <v>Market.QR_LIVE.RateCurve.AUD-BBR-BBSW-3M</v>
      </c>
      <c r="K7" s="1"/>
      <c r="L7" s="36" t="s">
        <v>40</v>
      </c>
      <c r="M7" s="55">
        <v>1.09E-3</v>
      </c>
      <c r="N7" s="2"/>
      <c r="O7" s="36" t="str">
        <v>AUD-OISSwap-2Y</v>
      </c>
      <c r="P7" s="4">
        <v>1.9827272727272732E-2</v>
      </c>
      <c r="Q7" s="2"/>
    </row>
    <row r="8" spans="1:17">
      <c r="A8" s="2"/>
      <c r="B8" s="8" t="s">
        <v>20</v>
      </c>
      <c r="C8" s="33" t="s">
        <v>64</v>
      </c>
      <c r="D8" s="2"/>
      <c r="E8" s="38" t="s">
        <v>85</v>
      </c>
      <c r="F8" s="4">
        <v>2.4799999999999999E-2</v>
      </c>
      <c r="G8" s="4">
        <v>0</v>
      </c>
      <c r="H8" s="1"/>
      <c r="I8" s="18" t="s">
        <v>3</v>
      </c>
      <c r="J8" s="71" t="s">
        <v>66</v>
      </c>
      <c r="K8" s="1"/>
      <c r="L8" s="36" t="s">
        <v>41</v>
      </c>
      <c r="M8" s="52">
        <f t="shared" ref="M8:M15" si="0">F23</f>
        <v>8.9999999999999998E-4</v>
      </c>
      <c r="N8" s="2"/>
      <c r="O8" s="36" t="str">
        <v>AUD-OISSwap-3Y</v>
      </c>
      <c r="P8" s="4">
        <v>2.1000000000000001E-2</v>
      </c>
      <c r="Q8" s="2"/>
    </row>
    <row r="9" spans="1:17">
      <c r="A9" s="2"/>
      <c r="B9" s="8" t="s">
        <v>4</v>
      </c>
      <c r="C9" s="33" t="str">
        <f>C7&amp;"-"&amp;C8</f>
        <v>AUD-BBR-BBSW-3M</v>
      </c>
      <c r="D9" s="2"/>
      <c r="E9" s="38" t="s">
        <v>86</v>
      </c>
      <c r="F9" s="52">
        <f>F8*3/5+F10*2/5</f>
        <v>2.6439999999999998E-2</v>
      </c>
      <c r="G9" s="4">
        <v>0</v>
      </c>
      <c r="H9" s="1"/>
      <c r="I9" s="18" t="s">
        <v>20</v>
      </c>
      <c r="J9" s="70" t="s">
        <v>11</v>
      </c>
      <c r="K9" s="1"/>
      <c r="L9" s="36" t="s">
        <v>42</v>
      </c>
      <c r="M9" s="52">
        <f t="shared" si="0"/>
        <v>1.15E-3</v>
      </c>
      <c r="N9" s="2"/>
      <c r="O9" s="36" t="str">
        <v>AUD-OISSwap-5Y</v>
      </c>
      <c r="P9" s="4">
        <v>2.4799999999999999E-2</v>
      </c>
      <c r="Q9" s="2"/>
    </row>
    <row r="10" spans="1:17">
      <c r="A10" s="2"/>
      <c r="B10" s="8" t="s">
        <v>5</v>
      </c>
      <c r="C10" s="33" t="s">
        <v>21</v>
      </c>
      <c r="D10" s="2"/>
      <c r="E10" s="38" t="s">
        <v>87</v>
      </c>
      <c r="F10" s="4">
        <v>2.8899999999999999E-2</v>
      </c>
      <c r="G10" s="4">
        <v>0</v>
      </c>
      <c r="H10" s="1"/>
      <c r="I10" s="18" t="s">
        <v>4</v>
      </c>
      <c r="J10" s="70" t="str">
        <f>J8&amp;"-"&amp;J9</f>
        <v>AUD-BBR-BBSW-6M</v>
      </c>
      <c r="K10" s="1"/>
      <c r="L10" s="36" t="s">
        <v>43</v>
      </c>
      <c r="M10" s="52">
        <f t="shared" si="0"/>
        <v>1.114E-3</v>
      </c>
      <c r="N10" s="2"/>
      <c r="O10" s="36" t="str">
        <v>AUD-OISSwap-10Y</v>
      </c>
      <c r="P10" s="4">
        <v>2.8899999999999999E-2</v>
      </c>
      <c r="Q10" s="2"/>
    </row>
    <row r="11" spans="1:17" ht="13.5" thickBot="1">
      <c r="A11" s="2"/>
      <c r="B11" s="13" t="s">
        <v>1</v>
      </c>
      <c r="C11" s="35" t="str">
        <f>MID(C7,1,3)</f>
        <v>AUD</v>
      </c>
      <c r="D11" s="2"/>
      <c r="E11" s="38" t="s">
        <v>88</v>
      </c>
      <c r="F11" s="4">
        <v>3.1199999999999999E-2</v>
      </c>
      <c r="G11" s="4">
        <v>0</v>
      </c>
      <c r="H11" s="1"/>
      <c r="I11" s="18" t="s">
        <v>5</v>
      </c>
      <c r="J11" s="70" t="s">
        <v>50</v>
      </c>
      <c r="K11" s="1"/>
      <c r="L11" s="36" t="s">
        <v>44</v>
      </c>
      <c r="M11" s="52">
        <f t="shared" si="0"/>
        <v>1.06E-3</v>
      </c>
      <c r="N11" s="2"/>
      <c r="O11" s="25" t="str">
        <v>AUD-OISSwap-15Y</v>
      </c>
      <c r="P11" s="4">
        <v>3.1199999999999999E-2</v>
      </c>
      <c r="Q11" s="2"/>
    </row>
    <row r="12" spans="1:17" ht="13.5" thickBot="1">
      <c r="A12" s="2"/>
      <c r="B12" s="2"/>
      <c r="C12" s="2"/>
      <c r="D12" s="2"/>
      <c r="E12" s="38" t="s">
        <v>89</v>
      </c>
      <c r="F12" s="4">
        <v>3.2399999999999998E-2</v>
      </c>
      <c r="G12" s="4">
        <v>0</v>
      </c>
      <c r="H12" s="1"/>
      <c r="I12" s="20" t="s">
        <v>1</v>
      </c>
      <c r="J12" s="72" t="str">
        <f>MID(J8,1,3)</f>
        <v>AUD</v>
      </c>
      <c r="K12" s="1"/>
      <c r="L12" s="36" t="s">
        <v>45</v>
      </c>
      <c r="M12" s="52">
        <f t="shared" si="0"/>
        <v>8.5999999999999998E-4</v>
      </c>
      <c r="N12" s="2"/>
      <c r="O12" s="36" t="str">
        <v>AUD-OISSwap-30Y</v>
      </c>
      <c r="P12" s="4">
        <v>3.5000000000000003E-2</v>
      </c>
      <c r="Q12" s="2"/>
    </row>
    <row r="13" spans="1:17" ht="13.5" thickBot="1">
      <c r="A13" s="2"/>
      <c r="B13" s="79" t="str">
        <f ca="1">_xll.HLV5r3.Financial.Cache.CreateCurve(B14:C22, AUDCurves!E40:G50)</f>
        <v>Market.QR_LIVE.RateCurve.AUD-AONIA-OIS-COMPOUND-1D</v>
      </c>
      <c r="C13" s="80"/>
      <c r="D13" s="2"/>
      <c r="E13" s="38" t="s">
        <v>137</v>
      </c>
      <c r="F13" s="4">
        <v>3.4000000000000002E-2</v>
      </c>
      <c r="G13" s="4">
        <v>0</v>
      </c>
      <c r="H13" s="2"/>
      <c r="I13" s="15"/>
      <c r="J13" s="15"/>
      <c r="K13" s="2"/>
      <c r="L13" s="36" t="s">
        <v>46</v>
      </c>
      <c r="M13" s="52">
        <f t="shared" si="0"/>
        <v>7.6000000000000004E-4</v>
      </c>
      <c r="N13" s="2"/>
      <c r="O13" s="36" t="e">
        <v>#N/A</v>
      </c>
      <c r="P13" s="4" t="e">
        <v>#N/A</v>
      </c>
      <c r="Q13" s="2"/>
    </row>
    <row r="14" spans="1:17" ht="13.5" thickBot="1">
      <c r="A14" s="2"/>
      <c r="B14" s="6" t="s">
        <v>15</v>
      </c>
      <c r="C14" s="30" t="s">
        <v>0</v>
      </c>
      <c r="D14" s="2"/>
      <c r="E14" s="38" t="s">
        <v>138</v>
      </c>
      <c r="F14" s="4">
        <v>3.5000000000000003E-2</v>
      </c>
      <c r="G14" s="4">
        <v>0</v>
      </c>
      <c r="H14" s="1"/>
      <c r="I14" s="85" t="str">
        <f ca="1">_xll.HLV5r3.Financial.Cache.CreateRateBasisCurve(I15:J24,L18:L29,M18:M29)</f>
        <v>Market.QR_LIVE.RateCurve.AUD-BBR-BBSW-1M</v>
      </c>
      <c r="J14" s="86"/>
      <c r="K14" s="1"/>
      <c r="L14" s="36" t="s">
        <v>47</v>
      </c>
      <c r="M14" s="52">
        <f t="shared" si="0"/>
        <v>7.6000000000000004E-4</v>
      </c>
      <c r="N14" s="2"/>
      <c r="O14" s="36" t="e">
        <v>#N/A</v>
      </c>
      <c r="P14" s="4" t="e">
        <v>#N/A</v>
      </c>
      <c r="Q14" s="2"/>
    </row>
    <row r="15" spans="1:17" ht="13.5" thickBot="1">
      <c r="A15" s="2"/>
      <c r="B15" s="7" t="s">
        <v>16</v>
      </c>
      <c r="C15" s="31">
        <f ca="1">TODAY()</f>
        <v>43152</v>
      </c>
      <c r="D15" s="2"/>
      <c r="E15" s="38" t="s">
        <v>90</v>
      </c>
      <c r="F15" s="4">
        <v>1.9E-2</v>
      </c>
      <c r="G15" s="4">
        <v>0.15</v>
      </c>
      <c r="H15" s="1"/>
      <c r="I15" s="6" t="s">
        <v>15</v>
      </c>
      <c r="J15" s="30" t="s">
        <v>38</v>
      </c>
      <c r="K15" s="2"/>
      <c r="L15" s="36" t="s">
        <v>48</v>
      </c>
      <c r="M15" s="52">
        <f t="shared" si="0"/>
        <v>7.6000000000000004E-4</v>
      </c>
      <c r="N15" s="2"/>
      <c r="O15" s="36" t="e">
        <v>#N/A</v>
      </c>
      <c r="P15" s="4" t="e">
        <v>#N/A</v>
      </c>
      <c r="Q15" s="2"/>
    </row>
    <row r="16" spans="1:17" ht="13.5" thickBot="1">
      <c r="A16" s="2"/>
      <c r="B16" s="8" t="s">
        <v>17</v>
      </c>
      <c r="C16" s="32">
        <f ca="1">C15</f>
        <v>43152</v>
      </c>
      <c r="D16" s="2"/>
      <c r="E16" s="38" t="s">
        <v>91</v>
      </c>
      <c r="F16" s="4">
        <v>1.95E-2</v>
      </c>
      <c r="G16" s="4">
        <v>0.15</v>
      </c>
      <c r="H16" s="1"/>
      <c r="I16" s="7" t="s">
        <v>16</v>
      </c>
      <c r="J16" s="31">
        <f ca="1">BaseDate</f>
        <v>43152</v>
      </c>
      <c r="K16" s="1"/>
      <c r="L16" s="40" t="s">
        <v>49</v>
      </c>
      <c r="M16" s="53">
        <f>F30</f>
        <v>7.6000000000000004E-4</v>
      </c>
      <c r="N16" s="2"/>
      <c r="O16" s="36" t="e">
        <v>#N/A</v>
      </c>
      <c r="P16" s="4" t="e">
        <v>#N/A</v>
      </c>
      <c r="Q16" s="2"/>
    </row>
    <row r="17" spans="1:17" ht="13.5" thickBot="1">
      <c r="A17" s="2"/>
      <c r="B17" s="9" t="s">
        <v>71</v>
      </c>
      <c r="C17" s="33" t="s">
        <v>51</v>
      </c>
      <c r="D17" s="2"/>
      <c r="E17" s="38" t="s">
        <v>92</v>
      </c>
      <c r="F17" s="4">
        <v>0.02</v>
      </c>
      <c r="G17" s="4">
        <v>0.15</v>
      </c>
      <c r="H17" s="1"/>
      <c r="I17" s="8" t="s">
        <v>17</v>
      </c>
      <c r="J17" s="32">
        <f ca="1">J16</f>
        <v>43152</v>
      </c>
      <c r="K17" s="1"/>
      <c r="L17" s="2"/>
      <c r="M17" s="2"/>
      <c r="N17" s="2"/>
      <c r="O17" s="36" t="e">
        <v>#N/A</v>
      </c>
      <c r="P17" s="4" t="e">
        <v>#N/A</v>
      </c>
      <c r="Q17" s="2"/>
    </row>
    <row r="18" spans="1:17">
      <c r="A18" s="2"/>
      <c r="B18" s="8" t="s">
        <v>3</v>
      </c>
      <c r="C18" s="34" t="s">
        <v>106</v>
      </c>
      <c r="D18" s="2"/>
      <c r="E18" s="38" t="s">
        <v>93</v>
      </c>
      <c r="F18" s="4">
        <v>2.0500000000000001E-2</v>
      </c>
      <c r="G18" s="4">
        <v>0.15</v>
      </c>
      <c r="H18" s="1"/>
      <c r="I18" s="9" t="s">
        <v>18</v>
      </c>
      <c r="J18" s="33" t="s">
        <v>51</v>
      </c>
      <c r="K18" s="1"/>
      <c r="L18" s="24" t="s">
        <v>76</v>
      </c>
      <c r="M18" s="21">
        <v>-5.0000000000000001E-4</v>
      </c>
      <c r="N18" s="2"/>
      <c r="O18" s="36" t="e">
        <v>#N/A</v>
      </c>
      <c r="P18" s="4" t="e">
        <v>#N/A</v>
      </c>
      <c r="Q18" s="2"/>
    </row>
    <row r="19" spans="1:17">
      <c r="A19" s="2"/>
      <c r="B19" s="8" t="s">
        <v>20</v>
      </c>
      <c r="C19" s="33" t="s">
        <v>74</v>
      </c>
      <c r="D19" s="2"/>
      <c r="E19" s="38" t="s">
        <v>94</v>
      </c>
      <c r="F19" s="4">
        <v>2.1000000000000001E-2</v>
      </c>
      <c r="G19" s="4">
        <v>0.15</v>
      </c>
      <c r="H19" s="1"/>
      <c r="I19" s="9" t="s">
        <v>53</v>
      </c>
      <c r="J19" s="33" t="str">
        <f ca="1">B2</f>
        <v>Market.QR_LIVE.RateCurve.AUD-BBR-BBSW-3M</v>
      </c>
      <c r="K19" s="1"/>
      <c r="L19" s="25" t="s">
        <v>77</v>
      </c>
      <c r="M19" s="4">
        <v>-8.9999999999999998E-4</v>
      </c>
      <c r="N19" s="2"/>
      <c r="O19" s="36" t="e">
        <v>#N/A</v>
      </c>
      <c r="P19" s="4" t="e">
        <v>#N/A</v>
      </c>
      <c r="Q19" s="2"/>
    </row>
    <row r="20" spans="1:17">
      <c r="A20" s="2"/>
      <c r="B20" s="8" t="s">
        <v>4</v>
      </c>
      <c r="C20" s="33" t="str">
        <f>C18&amp;"-"&amp;C19</f>
        <v>AUD-AONIA-OIS-COMPOUND-1D</v>
      </c>
      <c r="D20" s="2"/>
      <c r="E20" s="38" t="s">
        <v>95</v>
      </c>
      <c r="F20" s="4">
        <v>2.1499999999999998E-2</v>
      </c>
      <c r="G20" s="4">
        <v>0.15</v>
      </c>
      <c r="H20" s="1"/>
      <c r="I20" s="8" t="s">
        <v>3</v>
      </c>
      <c r="J20" s="34" t="s">
        <v>66</v>
      </c>
      <c r="K20" s="1"/>
      <c r="L20" s="25" t="s">
        <v>141</v>
      </c>
      <c r="M20" s="4">
        <v>-9.8999999999999999E-4</v>
      </c>
      <c r="N20" s="2"/>
      <c r="O20" s="25" t="e">
        <v>#N/A</v>
      </c>
      <c r="P20" s="4" t="e">
        <v>#N/A</v>
      </c>
      <c r="Q20" s="2"/>
    </row>
    <row r="21" spans="1:17">
      <c r="A21" s="2"/>
      <c r="B21" s="8" t="s">
        <v>5</v>
      </c>
      <c r="C21" s="33" t="s">
        <v>29</v>
      </c>
      <c r="D21" s="2"/>
      <c r="E21" s="38" t="s">
        <v>96</v>
      </c>
      <c r="F21" s="4">
        <v>2.1999999999999999E-2</v>
      </c>
      <c r="G21" s="4">
        <v>0.15</v>
      </c>
      <c r="H21" s="1"/>
      <c r="I21" s="8" t="s">
        <v>20</v>
      </c>
      <c r="J21" s="33" t="s">
        <v>54</v>
      </c>
      <c r="K21" s="1"/>
      <c r="L21" s="25" t="s">
        <v>55</v>
      </c>
      <c r="M21" s="4">
        <v>1.0300000000000001E-3</v>
      </c>
      <c r="N21" s="2"/>
      <c r="O21" s="36" t="e">
        <v>#N/A</v>
      </c>
      <c r="P21" s="4" t="e">
        <v>#N/A</v>
      </c>
      <c r="Q21" s="2"/>
    </row>
    <row r="22" spans="1:17" ht="13.5" thickBot="1">
      <c r="A22" s="2"/>
      <c r="B22" s="13" t="s">
        <v>1</v>
      </c>
      <c r="C22" s="35" t="s">
        <v>2</v>
      </c>
      <c r="D22" s="2"/>
      <c r="E22" s="38" t="s">
        <v>97</v>
      </c>
      <c r="F22" s="4">
        <v>2.2499999999999999E-2</v>
      </c>
      <c r="G22" s="4">
        <v>0.15</v>
      </c>
      <c r="H22" s="1"/>
      <c r="I22" s="8" t="s">
        <v>4</v>
      </c>
      <c r="J22" s="33" t="str">
        <f>J20&amp;"-"&amp;J21</f>
        <v>AUD-BBR-BBSW-1M</v>
      </c>
      <c r="K22" s="1"/>
      <c r="L22" s="25" t="s">
        <v>56</v>
      </c>
      <c r="M22" s="4">
        <v>9.7999999999999997E-4</v>
      </c>
      <c r="N22" s="2"/>
      <c r="O22" s="36" t="e">
        <v>#N/A</v>
      </c>
      <c r="P22" s="4" t="e">
        <v>#N/A</v>
      </c>
      <c r="Q22" s="2"/>
    </row>
    <row r="23" spans="1:17">
      <c r="A23" s="2"/>
      <c r="B23" s="2"/>
      <c r="C23" s="2"/>
      <c r="D23" s="2"/>
      <c r="E23" s="38" t="s">
        <v>41</v>
      </c>
      <c r="F23" s="45">
        <v>8.9999999999999998E-4</v>
      </c>
      <c r="G23" s="4">
        <v>0</v>
      </c>
      <c r="H23" s="1"/>
      <c r="I23" s="8" t="s">
        <v>5</v>
      </c>
      <c r="J23" s="33" t="s">
        <v>50</v>
      </c>
      <c r="K23" s="1"/>
      <c r="L23" s="25" t="s">
        <v>57</v>
      </c>
      <c r="M23" s="4">
        <v>9.5E-4</v>
      </c>
      <c r="N23" s="2"/>
      <c r="O23" s="36" t="e">
        <v>#N/A</v>
      </c>
      <c r="P23" s="4" t="e">
        <v>#N/A</v>
      </c>
      <c r="Q23" s="2"/>
    </row>
    <row r="24" spans="1:17" ht="13.5" thickBot="1">
      <c r="A24" s="2"/>
      <c r="B24" s="2"/>
      <c r="C24" s="2"/>
      <c r="D24" s="2"/>
      <c r="E24" s="38" t="s">
        <v>42</v>
      </c>
      <c r="F24" s="45">
        <v>1.15E-3</v>
      </c>
      <c r="G24" s="4">
        <v>0</v>
      </c>
      <c r="H24" s="1"/>
      <c r="I24" s="10" t="s">
        <v>1</v>
      </c>
      <c r="J24" s="41" t="str">
        <f>MID(J20,1,3)</f>
        <v>AUD</v>
      </c>
      <c r="K24" s="1"/>
      <c r="L24" s="25" t="s">
        <v>58</v>
      </c>
      <c r="M24" s="4">
        <v>8.9999999999999998E-4</v>
      </c>
      <c r="N24" s="2"/>
      <c r="O24" s="36" t="e">
        <v>#N/A</v>
      </c>
      <c r="P24" s="4" t="e">
        <v>#N/A</v>
      </c>
      <c r="Q24" s="2"/>
    </row>
    <row r="25" spans="1:17" ht="13.5" thickBot="1">
      <c r="A25" s="2"/>
      <c r="B25" s="2"/>
      <c r="C25" s="2"/>
      <c r="D25" s="2"/>
      <c r="E25" s="38" t="s">
        <v>43</v>
      </c>
      <c r="F25" s="52">
        <f>F24*3/5+F26*2/5</f>
        <v>1.114E-3</v>
      </c>
      <c r="G25" s="4">
        <v>0</v>
      </c>
      <c r="H25" s="15"/>
      <c r="I25" s="15"/>
      <c r="J25" s="15"/>
      <c r="K25" s="2"/>
      <c r="L25" s="25" t="s">
        <v>59</v>
      </c>
      <c r="M25" s="4">
        <v>7.7999999999999999E-4</v>
      </c>
      <c r="N25" s="2"/>
      <c r="O25" s="36" t="e">
        <v>#N/A</v>
      </c>
      <c r="P25" s="4" t="e">
        <v>#N/A</v>
      </c>
      <c r="Q25" s="2"/>
    </row>
    <row r="26" spans="1:17" ht="13.5" thickBot="1">
      <c r="A26" s="2"/>
      <c r="B26" s="2"/>
      <c r="C26" s="2"/>
      <c r="D26" s="2"/>
      <c r="E26" s="38" t="s">
        <v>44</v>
      </c>
      <c r="F26" s="45">
        <v>1.06E-3</v>
      </c>
      <c r="G26" s="4">
        <v>0</v>
      </c>
      <c r="H26" s="1"/>
      <c r="I26" s="79" t="str">
        <f ca="1">_xll.HLV5r3.Financial.Cache.CreateCurve( I27:J35,L31:M49)</f>
        <v>Market.QR_LIVE.DiscountCurve.AUD-LIBOR-SENIOR</v>
      </c>
      <c r="J26" s="80"/>
      <c r="K26" s="2"/>
      <c r="L26" s="25" t="s">
        <v>60</v>
      </c>
      <c r="M26" s="4">
        <v>6.8000000000000005E-4</v>
      </c>
      <c r="N26" s="2"/>
      <c r="O26" s="36" t="e">
        <v>#N/A</v>
      </c>
      <c r="P26" s="4" t="e">
        <v>#N/A</v>
      </c>
      <c r="Q26" s="2"/>
    </row>
    <row r="27" spans="1:17" ht="13.5" thickBot="1">
      <c r="A27" s="2"/>
      <c r="B27" s="2"/>
      <c r="C27" s="2"/>
      <c r="D27" s="2"/>
      <c r="E27" s="38" t="s">
        <v>46</v>
      </c>
      <c r="F27" s="45">
        <v>8.5999999999999998E-4</v>
      </c>
      <c r="G27" s="4">
        <v>0</v>
      </c>
      <c r="H27" s="2"/>
      <c r="I27" s="6" t="s">
        <v>15</v>
      </c>
      <c r="J27" s="30" t="s">
        <v>78</v>
      </c>
      <c r="K27" s="2"/>
      <c r="L27" s="25" t="s">
        <v>61</v>
      </c>
      <c r="M27" s="4">
        <v>6.4000000000000005E-4</v>
      </c>
      <c r="N27" s="2"/>
      <c r="O27" s="36" t="e">
        <v>#N/A</v>
      </c>
      <c r="P27" s="4" t="e">
        <v>#N/A</v>
      </c>
      <c r="Q27" s="2"/>
    </row>
    <row r="28" spans="1:17">
      <c r="A28" s="2"/>
      <c r="B28" s="2"/>
      <c r="C28" s="2"/>
      <c r="D28" s="2"/>
      <c r="E28" s="38" t="s">
        <v>47</v>
      </c>
      <c r="F28" s="45">
        <v>7.6000000000000004E-4</v>
      </c>
      <c r="G28" s="4">
        <v>0</v>
      </c>
      <c r="H28" s="2"/>
      <c r="I28" s="7" t="s">
        <v>16</v>
      </c>
      <c r="J28" s="31">
        <f ca="1">BaseDate</f>
        <v>43152</v>
      </c>
      <c r="K28" s="2"/>
      <c r="L28" s="25" t="s">
        <v>62</v>
      </c>
      <c r="M28" s="52">
        <f>M27</f>
        <v>6.4000000000000005E-4</v>
      </c>
      <c r="N28" s="2"/>
      <c r="O28" s="36" t="e">
        <v>#N/A</v>
      </c>
      <c r="P28" s="4" t="e">
        <v>#N/A</v>
      </c>
      <c r="Q28" s="2"/>
    </row>
    <row r="29" spans="1:17" ht="13.5" thickBot="1">
      <c r="A29" s="2"/>
      <c r="B29" s="2"/>
      <c r="C29" s="2"/>
      <c r="D29" s="2"/>
      <c r="E29" s="38" t="s">
        <v>48</v>
      </c>
      <c r="F29" s="52">
        <f>F28</f>
        <v>7.6000000000000004E-4</v>
      </c>
      <c r="G29" s="4">
        <v>0</v>
      </c>
      <c r="H29" s="2"/>
      <c r="I29" s="8" t="s">
        <v>17</v>
      </c>
      <c r="J29" s="32">
        <f ca="1">J28</f>
        <v>43152</v>
      </c>
      <c r="K29" s="2"/>
      <c r="L29" s="26" t="s">
        <v>63</v>
      </c>
      <c r="M29" s="53">
        <f>M28</f>
        <v>6.4000000000000005E-4</v>
      </c>
      <c r="N29" s="2"/>
      <c r="O29" s="26" t="e">
        <v>#N/A</v>
      </c>
      <c r="P29" s="22" t="e">
        <v>#N/A</v>
      </c>
      <c r="Q29" s="2"/>
    </row>
    <row r="30" spans="1:17" ht="13.5" thickBot="1">
      <c r="A30" s="2"/>
      <c r="B30" s="2"/>
      <c r="C30" s="2"/>
      <c r="D30" s="2"/>
      <c r="E30" s="39" t="s">
        <v>49</v>
      </c>
      <c r="F30" s="52">
        <f>F29</f>
        <v>7.6000000000000004E-4</v>
      </c>
      <c r="G30" s="22">
        <v>0</v>
      </c>
      <c r="H30" s="2"/>
      <c r="I30" s="9" t="s">
        <v>71</v>
      </c>
      <c r="J30" s="33" t="s">
        <v>51</v>
      </c>
      <c r="K30" s="2"/>
      <c r="L30" s="2"/>
      <c r="M30" s="2"/>
      <c r="N30" s="2"/>
      <c r="O30" s="2"/>
      <c r="P30" s="2"/>
      <c r="Q30" s="2"/>
    </row>
    <row r="31" spans="1:17">
      <c r="A31" s="2"/>
      <c r="B31" s="31">
        <f ca="1">DATE(YEAR(C4),12,28)</f>
        <v>43462</v>
      </c>
      <c r="C31" s="73" t="str">
        <f t="shared" ref="C31:C38" ca="1" si="1">(B31-BaseDate)&amp;"D-3D"</f>
        <v>310D-3D</v>
      </c>
      <c r="D31" s="2"/>
      <c r="E31" s="37" t="str">
        <f t="shared" ref="E31:E38" ca="1" si="2">"AUD-SpreadFra-"&amp;C31</f>
        <v>AUD-SpreadFra-310D-3D</v>
      </c>
      <c r="F31" s="21">
        <v>1E-3</v>
      </c>
      <c r="G31" s="4">
        <v>0</v>
      </c>
      <c r="H31" s="2"/>
      <c r="I31" s="8" t="s">
        <v>79</v>
      </c>
      <c r="J31" s="34" t="s">
        <v>80</v>
      </c>
      <c r="K31" s="2"/>
      <c r="L31" s="37" t="s">
        <v>117</v>
      </c>
      <c r="M31" s="49">
        <f>F4</f>
        <v>1.4999999999999999E-2</v>
      </c>
      <c r="N31" s="21">
        <v>0</v>
      </c>
      <c r="O31" s="25">
        <f t="array" aca="1" ref="O31:P58" ca="1">_xll.HLV5r3.Financial.Cache.GetDaysAndRates(N1,J4,"Continuous")</f>
        <v>0</v>
      </c>
      <c r="P31" s="4">
        <f ca="1"/>
        <v>0.34270800483720121</v>
      </c>
      <c r="Q31" s="2"/>
    </row>
    <row r="32" spans="1:17">
      <c r="A32" s="2"/>
      <c r="B32" s="32">
        <f ca="1">B31+365</f>
        <v>43827</v>
      </c>
      <c r="C32" s="74" t="str">
        <f t="shared" ca="1" si="1"/>
        <v>675D-3D</v>
      </c>
      <c r="D32" s="2"/>
      <c r="E32" s="38" t="str">
        <f t="shared" ca="1" si="2"/>
        <v>AUD-SpreadFra-675D-3D</v>
      </c>
      <c r="F32" s="4">
        <v>1E-3</v>
      </c>
      <c r="G32" s="4">
        <v>0</v>
      </c>
      <c r="H32" s="2"/>
      <c r="I32" s="8" t="s">
        <v>81</v>
      </c>
      <c r="J32" s="33" t="s">
        <v>82</v>
      </c>
      <c r="K32" s="2"/>
      <c r="L32" s="38" t="s">
        <v>118</v>
      </c>
      <c r="M32" s="50">
        <f>M31</f>
        <v>1.4999999999999999E-2</v>
      </c>
      <c r="N32" s="4">
        <v>0</v>
      </c>
      <c r="O32" s="36">
        <f ca="1"/>
        <v>2</v>
      </c>
      <c r="P32" s="4">
        <f ca="1"/>
        <v>0.34270800483720121</v>
      </c>
      <c r="Q32" s="2"/>
    </row>
    <row r="33" spans="1:17">
      <c r="A33" s="2"/>
      <c r="B33" s="32">
        <f ca="1">B32+365</f>
        <v>44192</v>
      </c>
      <c r="C33" s="74" t="str">
        <f t="shared" ca="1" si="1"/>
        <v>1040D-3D</v>
      </c>
      <c r="D33" s="2"/>
      <c r="E33" s="38" t="str">
        <f t="shared" ca="1" si="2"/>
        <v>AUD-SpreadFra-1040D-3D</v>
      </c>
      <c r="F33" s="4">
        <v>1E-3</v>
      </c>
      <c r="G33" s="4">
        <v>0</v>
      </c>
      <c r="H33" s="2"/>
      <c r="I33" s="8" t="s">
        <v>4</v>
      </c>
      <c r="J33" s="33" t="str">
        <f>J35&amp;"-"&amp;J31&amp;"-"&amp;J32</f>
        <v>AUD-LIBOR-SENIOR</v>
      </c>
      <c r="K33" s="2"/>
      <c r="L33" s="38" t="s">
        <v>119</v>
      </c>
      <c r="M33" s="50">
        <f>M32</f>
        <v>1.4999999999999999E-2</v>
      </c>
      <c r="N33" s="4">
        <v>0</v>
      </c>
      <c r="O33" s="36">
        <f ca="1"/>
        <v>29</v>
      </c>
      <c r="P33" s="4">
        <f ca="1"/>
        <v>3.85565957905687E-2</v>
      </c>
      <c r="Q33" s="2"/>
    </row>
    <row r="34" spans="1:17">
      <c r="A34" s="2"/>
      <c r="B34" s="32">
        <f ca="1">B33+365</f>
        <v>44557</v>
      </c>
      <c r="C34" s="74" t="str">
        <f t="shared" ca="1" si="1"/>
        <v>1405D-3D</v>
      </c>
      <c r="D34" s="2"/>
      <c r="E34" s="38" t="str">
        <f t="shared" ca="1" si="2"/>
        <v>AUD-SpreadFra-1405D-3D</v>
      </c>
      <c r="F34" s="4">
        <v>1E-3</v>
      </c>
      <c r="G34" s="4">
        <v>0</v>
      </c>
      <c r="H34" s="2"/>
      <c r="I34" s="8" t="s">
        <v>5</v>
      </c>
      <c r="J34" s="33" t="s">
        <v>21</v>
      </c>
      <c r="K34" s="2"/>
      <c r="L34" s="38" t="s">
        <v>120</v>
      </c>
      <c r="M34" s="50">
        <f>M33</f>
        <v>1.4999999999999999E-2</v>
      </c>
      <c r="N34" s="4">
        <v>0</v>
      </c>
      <c r="O34" s="36">
        <f ca="1"/>
        <v>90</v>
      </c>
      <c r="P34" s="4">
        <f ca="1"/>
        <v>2.4225435889600355E-2</v>
      </c>
      <c r="Q34" s="2"/>
    </row>
    <row r="35" spans="1:17" ht="13.5" thickBot="1">
      <c r="A35" s="2"/>
      <c r="B35" s="32">
        <f t="shared" ref="B35:B38" ca="1" si="3">B34+365</f>
        <v>44922</v>
      </c>
      <c r="C35" s="74" t="str">
        <f t="shared" ca="1" si="1"/>
        <v>1770D-3D</v>
      </c>
      <c r="D35" s="2"/>
      <c r="E35" s="38" t="str">
        <f t="shared" ca="1" si="2"/>
        <v>AUD-SpreadFra-1770D-3D</v>
      </c>
      <c r="F35" s="4">
        <v>1E-3</v>
      </c>
      <c r="G35" s="4">
        <v>0</v>
      </c>
      <c r="H35" s="2"/>
      <c r="I35" s="13" t="s">
        <v>1</v>
      </c>
      <c r="J35" s="35" t="s">
        <v>2</v>
      </c>
      <c r="K35" s="2"/>
      <c r="L35" s="38" t="s">
        <v>121</v>
      </c>
      <c r="M35" s="50">
        <f>F5</f>
        <v>1.6E-2</v>
      </c>
      <c r="N35" s="4">
        <v>0</v>
      </c>
      <c r="O35" s="36">
        <f ca="1"/>
        <v>182</v>
      </c>
      <c r="P35" s="4">
        <f ca="1"/>
        <v>2.083309684484555E-2</v>
      </c>
      <c r="Q35" s="2"/>
    </row>
    <row r="36" spans="1:17" ht="13.5" thickBot="1">
      <c r="A36" s="2"/>
      <c r="B36" s="32">
        <f t="shared" ca="1" si="3"/>
        <v>45287</v>
      </c>
      <c r="C36" s="74" t="str">
        <f t="shared" ca="1" si="1"/>
        <v>2135D-3D</v>
      </c>
      <c r="D36" s="2"/>
      <c r="E36" s="38" t="str">
        <f t="shared" ca="1" si="2"/>
        <v>AUD-SpreadFra-2135D-3D</v>
      </c>
      <c r="F36" s="4">
        <v>1E-3</v>
      </c>
      <c r="G36" s="4">
        <v>0</v>
      </c>
      <c r="H36" s="2"/>
      <c r="I36" s="2"/>
      <c r="J36" s="2"/>
      <c r="K36" s="2"/>
      <c r="L36" s="38" t="s">
        <v>122</v>
      </c>
      <c r="M36" s="50">
        <f>F6</f>
        <v>1.7000000000000001E-2</v>
      </c>
      <c r="N36" s="4">
        <v>0</v>
      </c>
      <c r="O36" s="36">
        <f ca="1"/>
        <v>366</v>
      </c>
      <c r="P36" s="4">
        <f ca="1"/>
        <v>1.9676345869936197E-2</v>
      </c>
      <c r="Q36" s="2"/>
    </row>
    <row r="37" spans="1:17" ht="13.5" thickBot="1">
      <c r="A37" s="2"/>
      <c r="B37" s="32">
        <f t="shared" ca="1" si="3"/>
        <v>45652</v>
      </c>
      <c r="C37" s="74" t="str">
        <f t="shared" ca="1" si="1"/>
        <v>2500D-3D</v>
      </c>
      <c r="D37" s="2"/>
      <c r="E37" s="38" t="str">
        <f t="shared" ca="1" si="2"/>
        <v>AUD-SpreadFra-2500D-3D</v>
      </c>
      <c r="F37" s="4">
        <v>1E-3</v>
      </c>
      <c r="G37" s="4">
        <v>0</v>
      </c>
      <c r="H37" s="2"/>
      <c r="I37" s="79" t="str">
        <f ca="1">_xll.HLV5r3.Financial.Cache.CreateCurve(I38:J47,E52:F62)</f>
        <v>Market.EOD_Sydney.RateCurve.AUD-AUD-BBR-BBSW-3M</v>
      </c>
      <c r="J37" s="80"/>
      <c r="K37" s="2"/>
      <c r="L37" s="38" t="s">
        <v>123</v>
      </c>
      <c r="M37" s="50">
        <f>M36*6/7+M40/7</f>
        <v>1.7571428571428571E-2</v>
      </c>
      <c r="N37" s="4">
        <v>0</v>
      </c>
      <c r="O37" s="36">
        <f ca="1"/>
        <v>733</v>
      </c>
      <c r="P37" s="4">
        <f ca="1"/>
        <v>2.0537773992009949E-2</v>
      </c>
      <c r="Q37" s="2"/>
    </row>
    <row r="38" spans="1:17" ht="13.5" thickBot="1">
      <c r="A38" s="2"/>
      <c r="B38" s="44">
        <f t="shared" ca="1" si="3"/>
        <v>46017</v>
      </c>
      <c r="C38" s="75" t="str">
        <f t="shared" ca="1" si="1"/>
        <v>2865D-3D</v>
      </c>
      <c r="D38" s="2"/>
      <c r="E38" s="39" t="str">
        <f t="shared" ca="1" si="2"/>
        <v>AUD-SpreadFra-2865D-3D</v>
      </c>
      <c r="F38" s="22">
        <v>1E-3</v>
      </c>
      <c r="G38" s="22">
        <v>0</v>
      </c>
      <c r="H38" s="2"/>
      <c r="I38" s="42" t="s">
        <v>15</v>
      </c>
      <c r="J38" s="43" t="s">
        <v>136</v>
      </c>
      <c r="K38" s="2"/>
      <c r="L38" s="38" t="s">
        <v>124</v>
      </c>
      <c r="M38" s="50">
        <f>M36*5/7+M40*2/7</f>
        <v>1.8142857142857145E-2</v>
      </c>
      <c r="N38" s="4">
        <v>0</v>
      </c>
      <c r="O38" s="36">
        <f ca="1"/>
        <v>1097</v>
      </c>
      <c r="P38" s="4">
        <f ca="1"/>
        <v>2.1411144327251441E-2</v>
      </c>
      <c r="Q38" s="2"/>
    </row>
    <row r="39" spans="1:17" ht="13.5" thickBot="1">
      <c r="A39" s="2"/>
      <c r="B39" s="2"/>
      <c r="C39" s="2"/>
      <c r="D39" s="2"/>
      <c r="E39" s="2"/>
      <c r="F39" s="2"/>
      <c r="G39" s="2"/>
      <c r="H39" s="2"/>
      <c r="I39" s="62" t="s">
        <v>16</v>
      </c>
      <c r="J39" s="31">
        <f ca="1">BaseDate</f>
        <v>43152</v>
      </c>
      <c r="K39" s="2"/>
      <c r="L39" s="38" t="s">
        <v>125</v>
      </c>
      <c r="M39" s="50">
        <f>M36*3/7+M40*4/7</f>
        <v>1.9285714285714288E-2</v>
      </c>
      <c r="N39" s="4">
        <v>0</v>
      </c>
      <c r="O39" s="36">
        <f ca="1"/>
        <v>1827</v>
      </c>
      <c r="P39" s="4">
        <f ca="1"/>
        <v>2.50278362373547E-2</v>
      </c>
      <c r="Q39" s="2"/>
    </row>
    <row r="40" spans="1:17">
      <c r="A40" s="2"/>
      <c r="B40" s="87" t="str">
        <f ca="1">IRCurve1</f>
        <v>Market.QR_LIVE.RateCurve.AUD-AONIA-OIS-COMPOUND-1D</v>
      </c>
      <c r="C40" s="88"/>
      <c r="D40" s="2"/>
      <c r="E40" s="24" t="s">
        <v>107</v>
      </c>
      <c r="F40" s="46">
        <v>1.4999999999999999E-2</v>
      </c>
      <c r="G40" s="21">
        <v>0</v>
      </c>
      <c r="H40" s="2"/>
      <c r="I40" s="63" t="s">
        <v>17</v>
      </c>
      <c r="J40" s="32">
        <f ca="1">J39</f>
        <v>43152</v>
      </c>
      <c r="K40" s="2"/>
      <c r="L40" s="38" t="s">
        <v>126</v>
      </c>
      <c r="M40" s="50">
        <f>M41</f>
        <v>2.1000000000000001E-2</v>
      </c>
      <c r="N40" s="4">
        <v>0</v>
      </c>
      <c r="O40" s="25">
        <f ca="1"/>
        <v>3653</v>
      </c>
      <c r="P40" s="4">
        <f ca="1"/>
        <v>2.9127691404240933E-2</v>
      </c>
      <c r="Q40" s="2"/>
    </row>
    <row r="41" spans="1:17">
      <c r="A41" s="2"/>
      <c r="B41" s="89" t="str">
        <f ca="1">IRCurve2</f>
        <v>Market.QR_LIVE.RateCurve.AUD-BBR-BBSW-3M</v>
      </c>
      <c r="C41" s="90"/>
      <c r="D41" s="2"/>
      <c r="E41" s="25" t="s">
        <v>108</v>
      </c>
      <c r="F41" s="47">
        <v>1.4999999999999999E-2</v>
      </c>
      <c r="G41" s="4">
        <v>0</v>
      </c>
      <c r="H41" s="2"/>
      <c r="I41" s="63" t="s">
        <v>53</v>
      </c>
      <c r="J41" s="34" t="str">
        <f ca="1">IRCurve1</f>
        <v>Market.QR_LIVE.RateCurve.AUD-AONIA-OIS-COMPOUND-1D</v>
      </c>
      <c r="K41" s="2"/>
      <c r="L41" s="38" t="s">
        <v>127</v>
      </c>
      <c r="M41" s="50">
        <f>F7</f>
        <v>2.1000000000000001E-2</v>
      </c>
      <c r="N41" s="4">
        <v>0</v>
      </c>
      <c r="O41" s="36">
        <f ca="1"/>
        <v>5480</v>
      </c>
      <c r="P41" s="4">
        <f ca="1"/>
        <v>3.159900085274131E-2</v>
      </c>
      <c r="Q41" s="2"/>
    </row>
    <row r="42" spans="1:17">
      <c r="A42" s="2"/>
      <c r="B42" s="89" t="str">
        <f ca="1">IRCurve3</f>
        <v>Market.QR_LIVE.RateCurve.AUD-BBR-BBSW-6M</v>
      </c>
      <c r="C42" s="90"/>
      <c r="D42" s="2"/>
      <c r="E42" s="25" t="s">
        <v>109</v>
      </c>
      <c r="F42" s="47">
        <v>1.4999999999999999E-2</v>
      </c>
      <c r="G42" s="4">
        <v>0</v>
      </c>
      <c r="H42" s="2"/>
      <c r="I42" s="64" t="s">
        <v>71</v>
      </c>
      <c r="J42" s="33" t="s">
        <v>70</v>
      </c>
      <c r="K42" s="2"/>
      <c r="L42" s="38" t="s">
        <v>128</v>
      </c>
      <c r="M42" s="50">
        <f>F8</f>
        <v>2.4799999999999999E-2</v>
      </c>
      <c r="N42" s="4">
        <v>0</v>
      </c>
      <c r="O42" s="36">
        <f ca="1"/>
        <v>10960</v>
      </c>
      <c r="P42" s="4">
        <f ca="1"/>
        <v>3.6439353354823512E-2</v>
      </c>
      <c r="Q42" s="2"/>
    </row>
    <row r="43" spans="1:17">
      <c r="A43" s="2"/>
      <c r="B43" s="89" t="str">
        <f ca="1">IRCurve4</f>
        <v>Market.QR_LIVE.RateCurve.AUD-BBR-BBSW-1M</v>
      </c>
      <c r="C43" s="90"/>
      <c r="D43" s="2"/>
      <c r="E43" s="25" t="s">
        <v>110</v>
      </c>
      <c r="F43" s="47">
        <v>1.5299999999999999E-2</v>
      </c>
      <c r="G43" s="4">
        <v>0</v>
      </c>
      <c r="H43" s="2"/>
      <c r="I43" s="63" t="s">
        <v>3</v>
      </c>
      <c r="J43" s="34" t="s">
        <v>66</v>
      </c>
      <c r="K43" s="2"/>
      <c r="L43" s="38" t="s">
        <v>129</v>
      </c>
      <c r="M43" s="50">
        <f>F9</f>
        <v>2.6439999999999998E-2</v>
      </c>
      <c r="N43" s="4">
        <v>0</v>
      </c>
      <c r="O43" s="36" t="e">
        <f ca="1"/>
        <v>#N/A</v>
      </c>
      <c r="P43" s="4" t="e">
        <f ca="1"/>
        <v>#N/A</v>
      </c>
      <c r="Q43" s="2"/>
    </row>
    <row r="44" spans="1:17">
      <c r="A44" s="2"/>
      <c r="B44" s="89" t="str">
        <f ca="1">IRCurve5</f>
        <v>Market.QR_LIVE.DiscountCurve.AUD-LIBOR-SENIOR</v>
      </c>
      <c r="C44" s="90"/>
      <c r="D44" s="2"/>
      <c r="E44" s="25" t="s">
        <v>111</v>
      </c>
      <c r="F44" s="47">
        <v>1.6E-2</v>
      </c>
      <c r="G44" s="4">
        <v>0</v>
      </c>
      <c r="H44" s="2"/>
      <c r="I44" s="63" t="s">
        <v>20</v>
      </c>
      <c r="J44" s="33" t="s">
        <v>64</v>
      </c>
      <c r="K44" s="2"/>
      <c r="L44" s="38" t="s">
        <v>130</v>
      </c>
      <c r="M44" s="50">
        <f>F10</f>
        <v>2.8899999999999999E-2</v>
      </c>
      <c r="N44" s="4">
        <v>0</v>
      </c>
      <c r="O44" s="36" t="e">
        <f ca="1"/>
        <v>#N/A</v>
      </c>
      <c r="P44" s="4" t="e">
        <f ca="1"/>
        <v>#N/A</v>
      </c>
      <c r="Q44" s="2"/>
    </row>
    <row r="45" spans="1:17">
      <c r="A45" s="2"/>
      <c r="B45" s="89" t="str">
        <f ca="1">IRCurve6</f>
        <v>Market.EOD_Sydney.RateCurve.AUD-AUD-BBR-BBSW-3M</v>
      </c>
      <c r="C45" s="90"/>
      <c r="D45" s="2"/>
      <c r="E45" s="25" t="s">
        <v>112</v>
      </c>
      <c r="F45" s="47">
        <v>1.77E-2</v>
      </c>
      <c r="G45" s="4">
        <v>0</v>
      </c>
      <c r="H45" s="2"/>
      <c r="I45" s="63" t="s">
        <v>4</v>
      </c>
      <c r="J45" s="33" t="str">
        <f>J47&amp;"-"&amp;J43&amp;"-"&amp;J44</f>
        <v>AUD-AUD-BBR-BBSW-3M</v>
      </c>
      <c r="K45" s="2"/>
      <c r="L45" s="38" t="s">
        <v>131</v>
      </c>
      <c r="M45" s="50">
        <f>M44/2+M46/2</f>
        <v>3.005E-2</v>
      </c>
      <c r="N45" s="4">
        <v>0</v>
      </c>
      <c r="O45" s="36" t="e">
        <f ca="1"/>
        <v>#N/A</v>
      </c>
      <c r="P45" s="4" t="e">
        <f ca="1"/>
        <v>#N/A</v>
      </c>
      <c r="Q45" s="2"/>
    </row>
    <row r="46" spans="1:17" ht="13.5" thickBot="1">
      <c r="A46" s="2"/>
      <c r="B46" s="91" t="str">
        <f ca="1">IRCurve7</f>
        <v>Market.Test.RateCurve.AUD-BBR-BBSW-3M</v>
      </c>
      <c r="C46" s="92"/>
      <c r="D46" s="2"/>
      <c r="E46" s="25" t="s">
        <v>113</v>
      </c>
      <c r="F46" s="47">
        <v>1.8800000000000001E-2</v>
      </c>
      <c r="G46" s="4">
        <v>0</v>
      </c>
      <c r="H46" s="2"/>
      <c r="I46" s="63" t="s">
        <v>5</v>
      </c>
      <c r="J46" s="33" t="s">
        <v>21</v>
      </c>
      <c r="K46" s="2"/>
      <c r="L46" s="38" t="s">
        <v>132</v>
      </c>
      <c r="M46" s="50">
        <f>F11</f>
        <v>3.1199999999999999E-2</v>
      </c>
      <c r="N46" s="4">
        <v>0</v>
      </c>
      <c r="O46" s="36" t="e">
        <f ca="1"/>
        <v>#N/A</v>
      </c>
      <c r="P46" s="4" t="e">
        <f ca="1"/>
        <v>#N/A</v>
      </c>
      <c r="Q46" s="2"/>
    </row>
    <row r="47" spans="1:17" ht="13.5" thickBot="1">
      <c r="A47" s="2"/>
      <c r="B47" s="2"/>
      <c r="C47" s="2"/>
      <c r="D47" s="2"/>
      <c r="E47" s="25" t="s">
        <v>114</v>
      </c>
      <c r="F47" s="47">
        <v>2.1399999999999999E-2</v>
      </c>
      <c r="G47" s="4">
        <v>0</v>
      </c>
      <c r="H47" s="2"/>
      <c r="I47" s="65" t="s">
        <v>1</v>
      </c>
      <c r="J47" s="35" t="s">
        <v>2</v>
      </c>
      <c r="K47" s="2"/>
      <c r="L47" s="38" t="s">
        <v>133</v>
      </c>
      <c r="M47" s="50">
        <f>F12</f>
        <v>3.2399999999999998E-2</v>
      </c>
      <c r="N47" s="4">
        <v>0</v>
      </c>
      <c r="O47" s="36" t="e">
        <f ca="1"/>
        <v>#N/A</v>
      </c>
      <c r="P47" s="4" t="e">
        <f ca="1"/>
        <v>#N/A</v>
      </c>
      <c r="Q47" s="2"/>
    </row>
    <row r="48" spans="1:17" ht="13.5" thickBot="1">
      <c r="A48" s="2"/>
      <c r="B48" s="2"/>
      <c r="C48" s="2"/>
      <c r="D48" s="2"/>
      <c r="E48" s="25" t="s">
        <v>115</v>
      </c>
      <c r="F48" s="47">
        <v>2.5700000000000001E-2</v>
      </c>
      <c r="G48" s="4">
        <v>0</v>
      </c>
      <c r="H48" s="2"/>
      <c r="I48" s="2"/>
      <c r="J48" s="2"/>
      <c r="K48" s="2"/>
      <c r="L48" s="38" t="s">
        <v>134</v>
      </c>
      <c r="M48" s="50">
        <f>F13</f>
        <v>3.4000000000000002E-2</v>
      </c>
      <c r="N48" s="4">
        <v>0</v>
      </c>
      <c r="O48" s="36" t="e">
        <f ca="1"/>
        <v>#N/A</v>
      </c>
      <c r="P48" s="4" t="e">
        <f ca="1"/>
        <v>#N/A</v>
      </c>
      <c r="Q48" s="2"/>
    </row>
    <row r="49" spans="1:17" ht="13.5" thickBot="1">
      <c r="A49" s="2"/>
      <c r="B49" s="2"/>
      <c r="C49" s="2"/>
      <c r="D49" s="2"/>
      <c r="E49" s="25" t="s">
        <v>140</v>
      </c>
      <c r="F49" s="47">
        <v>2.8199999999999999E-2</v>
      </c>
      <c r="G49" s="4">
        <v>0</v>
      </c>
      <c r="H49" s="2"/>
      <c r="I49" s="79" t="str">
        <f ca="1">_xll.HLV5r3.Financial.Cache.CreateCurve(I50:J60,L51:N77)</f>
        <v>Market.Test.RateCurve.AUD-BBR-BBSW-3M</v>
      </c>
      <c r="J49" s="80"/>
      <c r="K49" s="2"/>
      <c r="L49" s="39" t="s">
        <v>135</v>
      </c>
      <c r="M49" s="51">
        <f>F14</f>
        <v>3.5000000000000003E-2</v>
      </c>
      <c r="N49" s="23">
        <v>0</v>
      </c>
      <c r="O49" s="25" t="e">
        <f ca="1"/>
        <v>#N/A</v>
      </c>
      <c r="P49" s="4" t="e">
        <f ca="1"/>
        <v>#N/A</v>
      </c>
      <c r="Q49" s="2"/>
    </row>
    <row r="50" spans="1:17" ht="13.5" thickBot="1">
      <c r="A50" s="2"/>
      <c r="B50" s="2"/>
      <c r="C50" s="2"/>
      <c r="D50" s="2"/>
      <c r="E50" s="26" t="s">
        <v>116</v>
      </c>
      <c r="F50" s="48">
        <v>2.9499999999999998E-2</v>
      </c>
      <c r="G50" s="23">
        <v>0</v>
      </c>
      <c r="H50" s="2"/>
      <c r="I50" s="6" t="s">
        <v>15</v>
      </c>
      <c r="J50" s="30" t="s">
        <v>105</v>
      </c>
      <c r="K50" s="2"/>
      <c r="L50" s="2"/>
      <c r="M50" s="2"/>
      <c r="N50" s="2"/>
      <c r="O50" s="36" t="e">
        <f ca="1"/>
        <v>#N/A</v>
      </c>
      <c r="P50" s="4" t="e">
        <f ca="1"/>
        <v>#N/A</v>
      </c>
      <c r="Q50" s="2"/>
    </row>
    <row r="51" spans="1:17" ht="13.5" thickBot="1">
      <c r="A51" s="2"/>
      <c r="B51" s="2"/>
      <c r="C51" s="2"/>
      <c r="D51" s="2"/>
      <c r="E51" s="2"/>
      <c r="F51" s="2"/>
      <c r="G51" s="2"/>
      <c r="H51" s="2"/>
      <c r="I51" s="7" t="s">
        <v>16</v>
      </c>
      <c r="J51" s="31">
        <f ca="1">TODAY()</f>
        <v>43152</v>
      </c>
      <c r="K51" s="2"/>
      <c r="L51" s="37" t="str">
        <f t="shared" ref="L51:N53" si="4">E4</f>
        <v>AUD-Deposit-1D</v>
      </c>
      <c r="M51" s="49">
        <f t="shared" si="4"/>
        <v>1.4999999999999999E-2</v>
      </c>
      <c r="N51" s="21">
        <f t="shared" si="4"/>
        <v>0</v>
      </c>
      <c r="O51" s="36" t="e">
        <f ca="1"/>
        <v>#N/A</v>
      </c>
      <c r="P51" s="4" t="e">
        <f ca="1"/>
        <v>#N/A</v>
      </c>
      <c r="Q51" s="2"/>
    </row>
    <row r="52" spans="1:17">
      <c r="A52" s="2"/>
      <c r="B52" s="2"/>
      <c r="C52" s="2"/>
      <c r="D52" s="2"/>
      <c r="E52" s="24" t="s">
        <v>107</v>
      </c>
      <c r="F52" s="49">
        <f>F4-F40</f>
        <v>0</v>
      </c>
      <c r="G52" s="2"/>
      <c r="H52" s="2"/>
      <c r="I52" s="8" t="s">
        <v>17</v>
      </c>
      <c r="J52" s="32">
        <f ca="1">J51</f>
        <v>43152</v>
      </c>
      <c r="K52" s="2"/>
      <c r="L52" s="38" t="str">
        <f t="shared" si="4"/>
        <v>AUD-Deposit-1M</v>
      </c>
      <c r="M52" s="50">
        <f t="shared" si="4"/>
        <v>1.6E-2</v>
      </c>
      <c r="N52" s="4">
        <f t="shared" si="4"/>
        <v>0</v>
      </c>
      <c r="O52" s="36" t="e">
        <f ca="1"/>
        <v>#N/A</v>
      </c>
      <c r="P52" s="4" t="e">
        <f ca="1"/>
        <v>#N/A</v>
      </c>
      <c r="Q52" s="2"/>
    </row>
    <row r="53" spans="1:17">
      <c r="A53" s="2"/>
      <c r="B53" s="2"/>
      <c r="C53" s="2"/>
      <c r="D53" s="2"/>
      <c r="E53" s="25" t="s">
        <v>108</v>
      </c>
      <c r="F53" s="50">
        <f>F5-F41</f>
        <v>1.0000000000000009E-3</v>
      </c>
      <c r="G53" s="2"/>
      <c r="H53" s="2"/>
      <c r="I53" s="9" t="s">
        <v>18</v>
      </c>
      <c r="J53" s="33" t="s">
        <v>157</v>
      </c>
      <c r="K53" s="2"/>
      <c r="L53" s="38" t="str">
        <f t="shared" si="4"/>
        <v>AUD-Deposit-3M</v>
      </c>
      <c r="M53" s="50">
        <f t="shared" si="4"/>
        <v>1.7000000000000001E-2</v>
      </c>
      <c r="N53" s="4">
        <f t="shared" si="4"/>
        <v>0</v>
      </c>
      <c r="O53" s="36" t="e">
        <f ca="1"/>
        <v>#N/A</v>
      </c>
      <c r="P53" s="4" t="e">
        <f ca="1"/>
        <v>#N/A</v>
      </c>
      <c r="Q53" s="2"/>
    </row>
    <row r="54" spans="1:17">
      <c r="A54" s="2"/>
      <c r="B54" s="2"/>
      <c r="C54" s="2"/>
      <c r="D54" s="2"/>
      <c r="E54" s="25" t="s">
        <v>109</v>
      </c>
      <c r="F54" s="50">
        <f>F6-F42</f>
        <v>2.0000000000000018E-3</v>
      </c>
      <c r="G54" s="2"/>
      <c r="H54" s="2"/>
      <c r="I54" s="9" t="s">
        <v>53</v>
      </c>
      <c r="J54" s="33" t="str">
        <f ca="1">IRCurve1</f>
        <v>Market.QR_LIVE.RateCurve.AUD-AONIA-OIS-COMPOUND-1D</v>
      </c>
      <c r="K54" s="2"/>
      <c r="L54" s="38" t="s">
        <v>143</v>
      </c>
      <c r="M54" s="50">
        <f t="shared" ref="M54:M77" si="5">F7</f>
        <v>2.1000000000000001E-2</v>
      </c>
      <c r="N54" s="4">
        <f t="shared" ref="N54:N77" si="6">G7</f>
        <v>0</v>
      </c>
      <c r="O54" s="36" t="e">
        <f ca="1"/>
        <v>#N/A</v>
      </c>
      <c r="P54" s="4" t="e">
        <f ca="1"/>
        <v>#N/A</v>
      </c>
      <c r="Q54" s="2"/>
    </row>
    <row r="55" spans="1:17">
      <c r="A55" s="2"/>
      <c r="B55" s="2"/>
      <c r="C55" s="2"/>
      <c r="D55" s="2"/>
      <c r="E55" s="25" t="s">
        <v>110</v>
      </c>
      <c r="F55" s="50">
        <f>F54*10/11+F58/11</f>
        <v>2.0181818181818196E-3</v>
      </c>
      <c r="G55" s="2"/>
      <c r="H55" s="2"/>
      <c r="I55" s="8" t="s">
        <v>3</v>
      </c>
      <c r="J55" s="34" t="s">
        <v>66</v>
      </c>
      <c r="K55" s="2"/>
      <c r="L55" s="38" t="s">
        <v>144</v>
      </c>
      <c r="M55" s="50">
        <f t="shared" si="5"/>
        <v>2.4799999999999999E-2</v>
      </c>
      <c r="N55" s="4">
        <f t="shared" si="6"/>
        <v>0</v>
      </c>
      <c r="O55" s="36" t="e">
        <f ca="1"/>
        <v>#N/A</v>
      </c>
      <c r="P55" s="4" t="e">
        <f ca="1"/>
        <v>#N/A</v>
      </c>
      <c r="Q55" s="2"/>
    </row>
    <row r="56" spans="1:17">
      <c r="A56" s="2"/>
      <c r="B56" s="2"/>
      <c r="C56" s="2"/>
      <c r="D56" s="2"/>
      <c r="E56" s="25" t="s">
        <v>111</v>
      </c>
      <c r="F56" s="50">
        <f>F54*8/11+F58*3/11</f>
        <v>2.054545454545456E-3</v>
      </c>
      <c r="G56" s="2"/>
      <c r="H56" s="2"/>
      <c r="I56" s="8" t="s">
        <v>20</v>
      </c>
      <c r="J56" s="33" t="s">
        <v>64</v>
      </c>
      <c r="K56" s="2"/>
      <c r="L56" s="38" t="s">
        <v>145</v>
      </c>
      <c r="M56" s="50">
        <f t="shared" si="5"/>
        <v>2.6439999999999998E-2</v>
      </c>
      <c r="N56" s="4">
        <f t="shared" si="6"/>
        <v>0</v>
      </c>
      <c r="O56" s="36" t="e">
        <f ca="1"/>
        <v>#N/A</v>
      </c>
      <c r="P56" s="4" t="e">
        <f ca="1"/>
        <v>#N/A</v>
      </c>
      <c r="Q56" s="2"/>
    </row>
    <row r="57" spans="1:17">
      <c r="A57" s="2"/>
      <c r="B57" s="2"/>
      <c r="C57" s="2"/>
      <c r="D57" s="2"/>
      <c r="E57" s="25" t="s">
        <v>112</v>
      </c>
      <c r="F57" s="50">
        <f>F54*4/11+F58*7/11</f>
        <v>2.1272727272727285E-3</v>
      </c>
      <c r="G57" s="2"/>
      <c r="H57" s="2"/>
      <c r="I57" s="8" t="s">
        <v>4</v>
      </c>
      <c r="J57" s="33" t="str">
        <f>J55&amp;"-"&amp;J56</f>
        <v>AUD-BBR-BBSW-3M</v>
      </c>
      <c r="K57" s="2"/>
      <c r="L57" s="38" t="s">
        <v>146</v>
      </c>
      <c r="M57" s="50">
        <f t="shared" si="5"/>
        <v>2.8899999999999999E-2</v>
      </c>
      <c r="N57" s="4">
        <f t="shared" si="6"/>
        <v>0</v>
      </c>
      <c r="O57" s="36" t="e">
        <f ca="1"/>
        <v>#N/A</v>
      </c>
      <c r="P57" s="4" t="e">
        <f ca="1"/>
        <v>#N/A</v>
      </c>
      <c r="Q57" s="2"/>
    </row>
    <row r="58" spans="1:17" ht="13.5" thickBot="1">
      <c r="A58" s="2"/>
      <c r="B58" s="2"/>
      <c r="C58" s="2"/>
      <c r="D58" s="2"/>
      <c r="E58" s="25" t="s">
        <v>113</v>
      </c>
      <c r="F58" s="4">
        <f>F7-F46</f>
        <v>2.2000000000000006E-3</v>
      </c>
      <c r="G58" s="2"/>
      <c r="H58" s="2"/>
      <c r="I58" s="8" t="s">
        <v>100</v>
      </c>
      <c r="J58" s="33">
        <v>1</v>
      </c>
      <c r="K58" s="2"/>
      <c r="L58" s="38" t="s">
        <v>147</v>
      </c>
      <c r="M58" s="50">
        <f t="shared" si="5"/>
        <v>3.1199999999999999E-2</v>
      </c>
      <c r="N58" s="4">
        <f t="shared" si="6"/>
        <v>0</v>
      </c>
      <c r="O58" s="26" t="e">
        <f ca="1"/>
        <v>#N/A</v>
      </c>
      <c r="P58" s="22" t="e">
        <f ca="1"/>
        <v>#N/A</v>
      </c>
      <c r="Q58" s="2"/>
    </row>
    <row r="59" spans="1:17">
      <c r="A59" s="2"/>
      <c r="B59" s="2"/>
      <c r="C59" s="2"/>
      <c r="D59" s="2"/>
      <c r="E59" s="25" t="s">
        <v>114</v>
      </c>
      <c r="F59" s="4">
        <f>F8-F47</f>
        <v>3.4000000000000002E-3</v>
      </c>
      <c r="G59" s="2"/>
      <c r="H59" s="2"/>
      <c r="I59" s="8" t="s">
        <v>5</v>
      </c>
      <c r="J59" s="33" t="s">
        <v>21</v>
      </c>
      <c r="K59" s="2"/>
      <c r="L59" s="38" t="s">
        <v>148</v>
      </c>
      <c r="M59" s="50">
        <f t="shared" si="5"/>
        <v>3.2399999999999998E-2</v>
      </c>
      <c r="N59" s="4">
        <f t="shared" si="6"/>
        <v>0</v>
      </c>
      <c r="O59" s="2"/>
      <c r="P59" s="2"/>
      <c r="Q59" s="2"/>
    </row>
    <row r="60" spans="1:17" ht="13.5" thickBot="1">
      <c r="A60" s="2"/>
      <c r="B60" s="2"/>
      <c r="C60" s="2"/>
      <c r="D60" s="2"/>
      <c r="E60" s="25" t="s">
        <v>115</v>
      </c>
      <c r="F60" s="4">
        <f>F10-F48</f>
        <v>3.199999999999998E-3</v>
      </c>
      <c r="G60" s="2"/>
      <c r="H60" s="2"/>
      <c r="I60" s="13" t="s">
        <v>1</v>
      </c>
      <c r="J60" s="35" t="s">
        <v>2</v>
      </c>
      <c r="K60" s="2"/>
      <c r="L60" s="38" t="s">
        <v>149</v>
      </c>
      <c r="M60" s="50">
        <f t="shared" si="5"/>
        <v>3.4000000000000002E-2</v>
      </c>
      <c r="N60" s="4">
        <f t="shared" si="6"/>
        <v>0</v>
      </c>
      <c r="O60" s="2"/>
      <c r="P60" s="2"/>
      <c r="Q60" s="2"/>
    </row>
    <row r="61" spans="1:17">
      <c r="A61" s="2"/>
      <c r="B61" s="2"/>
      <c r="C61" s="2"/>
      <c r="D61" s="2"/>
      <c r="E61" s="25" t="s">
        <v>140</v>
      </c>
      <c r="F61" s="4">
        <f>F11-F49</f>
        <v>2.9999999999999992E-3</v>
      </c>
      <c r="G61" s="2"/>
      <c r="H61" s="2"/>
      <c r="I61" s="2"/>
      <c r="J61" s="2"/>
      <c r="K61" s="2"/>
      <c r="L61" s="38" t="s">
        <v>150</v>
      </c>
      <c r="M61" s="50">
        <f t="shared" si="5"/>
        <v>3.5000000000000003E-2</v>
      </c>
      <c r="N61" s="4">
        <f t="shared" si="6"/>
        <v>0</v>
      </c>
      <c r="O61" s="2"/>
      <c r="P61" s="2"/>
      <c r="Q61" s="2"/>
    </row>
    <row r="62" spans="1:17" ht="13.5" thickBot="1">
      <c r="A62" s="2"/>
      <c r="B62" s="2"/>
      <c r="C62" s="2"/>
      <c r="D62" s="2"/>
      <c r="E62" s="26" t="s">
        <v>116</v>
      </c>
      <c r="F62" s="22">
        <f>F14-F50</f>
        <v>5.5000000000000049E-3</v>
      </c>
      <c r="G62" s="2"/>
      <c r="H62" s="2"/>
      <c r="I62" s="2"/>
      <c r="J62" s="2"/>
      <c r="K62" s="2"/>
      <c r="L62" s="38" t="str">
        <f t="shared" ref="L62:L77" si="7">E15</f>
        <v>AUD-IRFuture-IR-1</v>
      </c>
      <c r="M62" s="50">
        <f t="shared" si="5"/>
        <v>1.9E-2</v>
      </c>
      <c r="N62" s="4">
        <f t="shared" si="6"/>
        <v>0.15</v>
      </c>
      <c r="O62" s="2"/>
      <c r="P62" s="2"/>
      <c r="Q62" s="2"/>
    </row>
    <row r="63" spans="1:17" ht="13.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8" t="str">
        <f t="shared" si="7"/>
        <v>AUD-IRFuture-IR-2</v>
      </c>
      <c r="M63" s="50">
        <f t="shared" si="5"/>
        <v>1.95E-2</v>
      </c>
      <c r="N63" s="4">
        <f t="shared" si="6"/>
        <v>0.15</v>
      </c>
      <c r="O63" s="2"/>
      <c r="P63" s="2"/>
      <c r="Q63" s="2"/>
    </row>
    <row r="64" spans="1:17">
      <c r="A64" s="2"/>
      <c r="B64" s="2"/>
      <c r="C64" s="2"/>
      <c r="D64" s="2"/>
      <c r="E64" s="24" t="str">
        <f t="shared" ref="E64:G67" si="8">E4</f>
        <v>AUD-Deposit-1D</v>
      </c>
      <c r="F64" s="58">
        <f t="shared" si="8"/>
        <v>1.4999999999999999E-2</v>
      </c>
      <c r="G64" s="59">
        <f t="shared" si="8"/>
        <v>0</v>
      </c>
      <c r="H64" s="2"/>
      <c r="I64" s="2"/>
      <c r="J64" s="2"/>
      <c r="K64" s="2"/>
      <c r="L64" s="38" t="str">
        <f t="shared" si="7"/>
        <v>AUD-IRFuture-IR-3</v>
      </c>
      <c r="M64" s="50">
        <f t="shared" si="5"/>
        <v>0.02</v>
      </c>
      <c r="N64" s="4">
        <f t="shared" si="6"/>
        <v>0.15</v>
      </c>
      <c r="O64" s="2"/>
      <c r="P64" s="2"/>
      <c r="Q64" s="2"/>
    </row>
    <row r="65" spans="1:17">
      <c r="A65" s="2"/>
      <c r="B65" s="2"/>
      <c r="C65" s="2"/>
      <c r="D65" s="2"/>
      <c r="E65" s="25" t="str">
        <f t="shared" si="8"/>
        <v>AUD-Deposit-1M</v>
      </c>
      <c r="F65" s="52">
        <f t="shared" si="8"/>
        <v>1.6E-2</v>
      </c>
      <c r="G65" s="60">
        <f t="shared" si="8"/>
        <v>0</v>
      </c>
      <c r="H65" s="2"/>
      <c r="I65" s="2"/>
      <c r="J65" s="2"/>
      <c r="K65" s="2"/>
      <c r="L65" s="38" t="str">
        <f t="shared" si="7"/>
        <v>AUD-IRFuture-IR-4</v>
      </c>
      <c r="M65" s="50">
        <f t="shared" si="5"/>
        <v>2.0500000000000001E-2</v>
      </c>
      <c r="N65" s="4">
        <f t="shared" si="6"/>
        <v>0.15</v>
      </c>
      <c r="O65" s="2"/>
      <c r="P65" s="2"/>
      <c r="Q65" s="2"/>
    </row>
    <row r="66" spans="1:17">
      <c r="A66" s="2"/>
      <c r="B66" s="2"/>
      <c r="C66" s="2"/>
      <c r="D66" s="2"/>
      <c r="E66" s="25" t="str">
        <f t="shared" si="8"/>
        <v>AUD-Deposit-3M</v>
      </c>
      <c r="F66" s="52">
        <f t="shared" si="8"/>
        <v>1.7000000000000001E-2</v>
      </c>
      <c r="G66" s="60">
        <f t="shared" si="8"/>
        <v>0</v>
      </c>
      <c r="H66" s="2"/>
      <c r="I66" s="2"/>
      <c r="J66" s="2"/>
      <c r="K66" s="2"/>
      <c r="L66" s="38" t="str">
        <f t="shared" si="7"/>
        <v>AUD-IRFuture-IR-5</v>
      </c>
      <c r="M66" s="50">
        <f t="shared" si="5"/>
        <v>2.1000000000000001E-2</v>
      </c>
      <c r="N66" s="4">
        <f t="shared" si="6"/>
        <v>0.15</v>
      </c>
      <c r="O66" s="2"/>
      <c r="P66" s="2"/>
      <c r="Q66" s="2"/>
    </row>
    <row r="67" spans="1:17">
      <c r="A67" s="2"/>
      <c r="B67" s="2"/>
      <c r="C67" s="2"/>
      <c r="D67" s="2"/>
      <c r="E67" s="25" t="str">
        <f t="shared" si="8"/>
        <v>AUD-IRSwap-3Y</v>
      </c>
      <c r="F67" s="52">
        <f t="shared" si="8"/>
        <v>2.1000000000000001E-2</v>
      </c>
      <c r="G67" s="60">
        <f t="shared" si="8"/>
        <v>0</v>
      </c>
      <c r="H67" s="2"/>
      <c r="I67" s="2"/>
      <c r="J67" s="2"/>
      <c r="K67" s="2"/>
      <c r="L67" s="38" t="str">
        <f t="shared" si="7"/>
        <v>AUD-IRFuture-IR-6</v>
      </c>
      <c r="M67" s="50">
        <f t="shared" si="5"/>
        <v>2.1499999999999998E-2</v>
      </c>
      <c r="N67" s="4">
        <f t="shared" si="6"/>
        <v>0.15</v>
      </c>
      <c r="O67" s="2"/>
      <c r="P67" s="2"/>
      <c r="Q67" s="2"/>
    </row>
    <row r="68" spans="1:17">
      <c r="A68" s="2"/>
      <c r="B68" s="2"/>
      <c r="C68" s="2"/>
      <c r="D68" s="2"/>
      <c r="E68" s="25" t="str">
        <f t="shared" ref="E68:E82" si="9">E8</f>
        <v>AUD-IRSwap-5Y</v>
      </c>
      <c r="F68" s="52">
        <f t="shared" ref="F68:F74" si="10">F8-F23</f>
        <v>2.3899999999999998E-2</v>
      </c>
      <c r="G68" s="60">
        <f t="shared" ref="G68:G82" si="11">G8</f>
        <v>0</v>
      </c>
      <c r="H68" s="2"/>
      <c r="I68" s="2"/>
      <c r="J68" s="2"/>
      <c r="K68" s="2"/>
      <c r="L68" s="38" t="str">
        <f t="shared" si="7"/>
        <v>AUD-IRFuture-IR-7</v>
      </c>
      <c r="M68" s="50">
        <f t="shared" si="5"/>
        <v>2.1999999999999999E-2</v>
      </c>
      <c r="N68" s="4">
        <f t="shared" si="6"/>
        <v>0.15</v>
      </c>
      <c r="O68" s="2"/>
      <c r="P68" s="2"/>
      <c r="Q68" s="2"/>
    </row>
    <row r="69" spans="1:17">
      <c r="A69" s="2"/>
      <c r="B69" s="2"/>
      <c r="C69" s="2"/>
      <c r="D69" s="2"/>
      <c r="E69" s="25" t="str">
        <f t="shared" si="9"/>
        <v>AUD-IRSwap-7Y</v>
      </c>
      <c r="F69" s="52">
        <f t="shared" si="10"/>
        <v>2.529E-2</v>
      </c>
      <c r="G69" s="60">
        <f t="shared" si="11"/>
        <v>0</v>
      </c>
      <c r="H69" s="2"/>
      <c r="I69" s="2"/>
      <c r="J69" s="2"/>
      <c r="K69" s="2"/>
      <c r="L69" s="38" t="str">
        <f t="shared" si="7"/>
        <v>AUD-IRFuture-IR-8</v>
      </c>
      <c r="M69" s="50">
        <f t="shared" si="5"/>
        <v>2.2499999999999999E-2</v>
      </c>
      <c r="N69" s="4">
        <f t="shared" si="6"/>
        <v>0.15</v>
      </c>
      <c r="O69" s="2"/>
      <c r="P69" s="2"/>
      <c r="Q69" s="2"/>
    </row>
    <row r="70" spans="1:17">
      <c r="A70" s="2"/>
      <c r="B70" s="2"/>
      <c r="C70" s="2"/>
      <c r="D70" s="2"/>
      <c r="E70" s="25" t="str">
        <f t="shared" si="9"/>
        <v>AUD-IRSwap-10Y</v>
      </c>
      <c r="F70" s="52">
        <f t="shared" si="10"/>
        <v>2.7785999999999998E-2</v>
      </c>
      <c r="G70" s="60">
        <f t="shared" si="11"/>
        <v>0</v>
      </c>
      <c r="H70" s="2"/>
      <c r="I70" s="2"/>
      <c r="J70" s="2"/>
      <c r="K70" s="2"/>
      <c r="L70" s="38" t="str">
        <f t="shared" si="7"/>
        <v>AUD-BasisSwap-3Y-6M</v>
      </c>
      <c r="M70" s="50">
        <f t="shared" si="5"/>
        <v>8.9999999999999998E-4</v>
      </c>
      <c r="N70" s="4">
        <f t="shared" si="6"/>
        <v>0</v>
      </c>
      <c r="O70" s="2"/>
      <c r="P70" s="2"/>
      <c r="Q70" s="2"/>
    </row>
    <row r="71" spans="1:17">
      <c r="A71" s="2"/>
      <c r="B71" s="2"/>
      <c r="C71" s="2"/>
      <c r="D71" s="2"/>
      <c r="E71" s="25" t="str">
        <f t="shared" si="9"/>
        <v>AUD-IRSwap-15Y</v>
      </c>
      <c r="F71" s="52">
        <f t="shared" si="10"/>
        <v>3.014E-2</v>
      </c>
      <c r="G71" s="60">
        <f t="shared" si="11"/>
        <v>0</v>
      </c>
      <c r="H71" s="2"/>
      <c r="I71" s="2"/>
      <c r="J71" s="2"/>
      <c r="K71" s="2"/>
      <c r="L71" s="38" t="str">
        <f t="shared" si="7"/>
        <v>AUD-BasisSwap-5Y-6M</v>
      </c>
      <c r="M71" s="50">
        <f t="shared" si="5"/>
        <v>1.15E-3</v>
      </c>
      <c r="N71" s="4">
        <f t="shared" si="6"/>
        <v>0</v>
      </c>
      <c r="O71" s="2"/>
      <c r="P71" s="2"/>
      <c r="Q71" s="2"/>
    </row>
    <row r="72" spans="1:17">
      <c r="A72" s="2"/>
      <c r="B72" s="2"/>
      <c r="C72" s="2"/>
      <c r="D72" s="2"/>
      <c r="E72" s="25" t="str">
        <f t="shared" si="9"/>
        <v>AUD-IRSwap-20Y</v>
      </c>
      <c r="F72" s="52">
        <f t="shared" si="10"/>
        <v>3.1539999999999999E-2</v>
      </c>
      <c r="G72" s="60">
        <f t="shared" si="11"/>
        <v>0</v>
      </c>
      <c r="H72" s="2"/>
      <c r="I72" s="2"/>
      <c r="J72" s="2"/>
      <c r="K72" s="2"/>
      <c r="L72" s="38" t="str">
        <f t="shared" si="7"/>
        <v>AUD-BasisSwap-7Y-6M</v>
      </c>
      <c r="M72" s="50">
        <f t="shared" si="5"/>
        <v>1.114E-3</v>
      </c>
      <c r="N72" s="4">
        <f t="shared" si="6"/>
        <v>0</v>
      </c>
      <c r="O72" s="2"/>
      <c r="P72" s="2"/>
      <c r="Q72" s="2"/>
    </row>
    <row r="73" spans="1:17">
      <c r="A73" s="2"/>
      <c r="B73" s="2"/>
      <c r="C73" s="2"/>
      <c r="D73" s="2"/>
      <c r="E73" s="25" t="str">
        <f t="shared" si="9"/>
        <v>AUD-IRSwap-25Y</v>
      </c>
      <c r="F73" s="52">
        <f t="shared" si="10"/>
        <v>3.3240000000000006E-2</v>
      </c>
      <c r="G73" s="60">
        <f t="shared" si="11"/>
        <v>0</v>
      </c>
      <c r="H73" s="2"/>
      <c r="I73" s="2"/>
      <c r="J73" s="2"/>
      <c r="K73" s="2"/>
      <c r="L73" s="38" t="str">
        <f t="shared" si="7"/>
        <v>AUD-BasisSwap-10Y-6M</v>
      </c>
      <c r="M73" s="50">
        <f t="shared" si="5"/>
        <v>1.06E-3</v>
      </c>
      <c r="N73" s="4">
        <f t="shared" si="6"/>
        <v>0</v>
      </c>
      <c r="O73" s="2"/>
      <c r="P73" s="2"/>
      <c r="Q73" s="2"/>
    </row>
    <row r="74" spans="1:17">
      <c r="A74" s="2"/>
      <c r="B74" s="2"/>
      <c r="C74" s="2"/>
      <c r="D74" s="2"/>
      <c r="E74" s="25" t="str">
        <f t="shared" si="9"/>
        <v>AUD-IRSwap-30Y</v>
      </c>
      <c r="F74" s="52">
        <f t="shared" si="10"/>
        <v>3.4240000000000007E-2</v>
      </c>
      <c r="G74" s="60">
        <f t="shared" si="11"/>
        <v>0</v>
      </c>
      <c r="H74" s="2"/>
      <c r="I74" s="2"/>
      <c r="J74" s="2"/>
      <c r="K74" s="2"/>
      <c r="L74" s="38" t="str">
        <f t="shared" si="7"/>
        <v>AUD-BasisSwap-15Y-6M</v>
      </c>
      <c r="M74" s="50">
        <f t="shared" si="5"/>
        <v>8.5999999999999998E-4</v>
      </c>
      <c r="N74" s="4">
        <f t="shared" si="6"/>
        <v>0</v>
      </c>
      <c r="O74" s="2"/>
      <c r="P74" s="2"/>
      <c r="Q74" s="2"/>
    </row>
    <row r="75" spans="1:17">
      <c r="A75" s="2"/>
      <c r="B75" s="2"/>
      <c r="C75" s="2"/>
      <c r="D75" s="2"/>
      <c r="E75" s="25" t="str">
        <f t="shared" si="9"/>
        <v>AUD-IRFuture-IR-1</v>
      </c>
      <c r="F75" s="52">
        <f>F15</f>
        <v>1.9E-2</v>
      </c>
      <c r="G75" s="60">
        <f t="shared" si="11"/>
        <v>0.15</v>
      </c>
      <c r="H75" s="2"/>
      <c r="I75" s="2"/>
      <c r="J75" s="2"/>
      <c r="K75" s="2"/>
      <c r="L75" s="38" t="str">
        <f t="shared" si="7"/>
        <v>AUD-BasisSwap-20Y-6M</v>
      </c>
      <c r="M75" s="50">
        <f t="shared" si="5"/>
        <v>7.6000000000000004E-4</v>
      </c>
      <c r="N75" s="4">
        <f t="shared" si="6"/>
        <v>0</v>
      </c>
      <c r="O75" s="2"/>
      <c r="P75" s="2"/>
      <c r="Q75" s="2"/>
    </row>
    <row r="76" spans="1:17">
      <c r="A76" s="2"/>
      <c r="B76" s="2"/>
      <c r="C76" s="2"/>
      <c r="D76" s="2"/>
      <c r="E76" s="25" t="str">
        <f t="shared" si="9"/>
        <v>AUD-IRFuture-IR-2</v>
      </c>
      <c r="F76" s="52">
        <f t="shared" ref="F76:F82" si="12">F16-F31</f>
        <v>1.8499999999999999E-2</v>
      </c>
      <c r="G76" s="60">
        <f t="shared" si="11"/>
        <v>0.15</v>
      </c>
      <c r="H76" s="2"/>
      <c r="I76" s="2"/>
      <c r="J76" s="2"/>
      <c r="K76" s="2"/>
      <c r="L76" s="38" t="str">
        <f t="shared" si="7"/>
        <v>AUD-BasisSwap-25Y-6M</v>
      </c>
      <c r="M76" s="50">
        <f t="shared" si="5"/>
        <v>7.6000000000000004E-4</v>
      </c>
      <c r="N76" s="4">
        <f t="shared" si="6"/>
        <v>0</v>
      </c>
      <c r="O76" s="2"/>
      <c r="P76" s="2"/>
      <c r="Q76" s="2"/>
    </row>
    <row r="77" spans="1:17" ht="13.5" thickBot="1">
      <c r="A77" s="2"/>
      <c r="B77" s="2"/>
      <c r="C77" s="2"/>
      <c r="D77" s="2"/>
      <c r="E77" s="25" t="str">
        <f t="shared" si="9"/>
        <v>AUD-IRFuture-IR-3</v>
      </c>
      <c r="F77" s="52">
        <f t="shared" si="12"/>
        <v>1.9E-2</v>
      </c>
      <c r="G77" s="60">
        <f t="shared" si="11"/>
        <v>0.15</v>
      </c>
      <c r="H77" s="2"/>
      <c r="I77" s="2"/>
      <c r="J77" s="2"/>
      <c r="K77" s="2"/>
      <c r="L77" s="39" t="str">
        <f t="shared" si="7"/>
        <v>AUD-BasisSwap-30Y-6M</v>
      </c>
      <c r="M77" s="51">
        <f t="shared" si="5"/>
        <v>7.6000000000000004E-4</v>
      </c>
      <c r="N77" s="22">
        <f t="shared" si="6"/>
        <v>0</v>
      </c>
      <c r="O77" s="2"/>
      <c r="P77" s="2"/>
      <c r="Q77" s="2"/>
    </row>
    <row r="78" spans="1:17">
      <c r="A78" s="2"/>
      <c r="B78" s="2"/>
      <c r="C78" s="2"/>
      <c r="D78" s="2"/>
      <c r="E78" s="25" t="str">
        <f t="shared" si="9"/>
        <v>AUD-IRFuture-IR-4</v>
      </c>
      <c r="F78" s="52">
        <f t="shared" si="12"/>
        <v>1.95E-2</v>
      </c>
      <c r="G78" s="60">
        <f t="shared" si="11"/>
        <v>0.15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5" t="str">
        <f t="shared" si="9"/>
        <v>AUD-IRFuture-IR-5</v>
      </c>
      <c r="F79" s="52">
        <f t="shared" si="12"/>
        <v>0.02</v>
      </c>
      <c r="G79" s="60">
        <f t="shared" si="11"/>
        <v>0.15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5" t="str">
        <f t="shared" si="9"/>
        <v>AUD-IRFuture-IR-6</v>
      </c>
      <c r="F80" s="52">
        <f t="shared" si="12"/>
        <v>2.0499999999999997E-2</v>
      </c>
      <c r="G80" s="60">
        <f t="shared" si="11"/>
        <v>0.15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5" t="str">
        <f t="shared" si="9"/>
        <v>AUD-IRFuture-IR-7</v>
      </c>
      <c r="F81" s="52">
        <f t="shared" si="12"/>
        <v>2.0999999999999998E-2</v>
      </c>
      <c r="G81" s="60">
        <f t="shared" si="11"/>
        <v>0.15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.5" thickBot="1">
      <c r="A82" s="2"/>
      <c r="B82" s="2"/>
      <c r="C82" s="2"/>
      <c r="D82" s="2"/>
      <c r="E82" s="26" t="str">
        <f t="shared" si="9"/>
        <v>AUD-IRFuture-IR-8</v>
      </c>
      <c r="F82" s="53">
        <f t="shared" si="12"/>
        <v>2.1499999999999998E-2</v>
      </c>
      <c r="G82" s="61">
        <f t="shared" si="11"/>
        <v>0.15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I88" s="2"/>
      <c r="J88" s="2"/>
    </row>
  </sheetData>
  <protectedRanges>
    <protectedRange sqref="C10" name="Range2_1_1_1"/>
    <protectedRange sqref="J11" name="Range2_1_1_1_1"/>
    <protectedRange sqref="J23" name="Range2_1_1_1_2"/>
    <protectedRange sqref="C21" name="Range2_1_1_1_3"/>
    <protectedRange sqref="J34 J46" name="Range2_1_1"/>
    <protectedRange sqref="J59" name="Range2_1_1_1_1_1"/>
  </protectedRanges>
  <mergeCells count="21">
    <mergeCell ref="N1:P1"/>
    <mergeCell ref="B1:M1"/>
    <mergeCell ref="E2:E3"/>
    <mergeCell ref="F2:F3"/>
    <mergeCell ref="G2:G3"/>
    <mergeCell ref="L2:L3"/>
    <mergeCell ref="M2:M3"/>
    <mergeCell ref="I49:J49"/>
    <mergeCell ref="B13:C13"/>
    <mergeCell ref="B2:C2"/>
    <mergeCell ref="I2:J2"/>
    <mergeCell ref="I14:J14"/>
    <mergeCell ref="I26:J26"/>
    <mergeCell ref="I37:J37"/>
    <mergeCell ref="B40:C40"/>
    <mergeCell ref="B41:C41"/>
    <mergeCell ref="B42:C42"/>
    <mergeCell ref="B43:C43"/>
    <mergeCell ref="B44:C44"/>
    <mergeCell ref="B45:C45"/>
    <mergeCell ref="B46:C46"/>
  </mergeCells>
  <dataValidations count="11">
    <dataValidation type="list" allowBlank="1" showInputMessage="1" showErrorMessage="1" sqref="C6 C17 J30 J53 J42" xr:uid="{00000000-0002-0000-0100-000000000000}">
      <formula1>Markets</formula1>
    </dataValidation>
    <dataValidation type="list" allowBlank="1" showInputMessage="1" showErrorMessage="1" sqref="C3 C14 J27" xr:uid="{00000000-0002-0000-0100-000001000000}">
      <formula1>"RateCurve, DiscountCurve, InflationCurve, RateSpreadCurve"</formula1>
    </dataValidation>
    <dataValidation type="list" allowBlank="1" showInputMessage="1" showErrorMessage="1" sqref="C10 J23 J34 C21 J11 J59 J46" xr:uid="{00000000-0002-0000-0100-000002000000}">
      <formula1>Algorithms</formula1>
    </dataValidation>
    <dataValidation type="list" allowBlank="1" showInputMessage="1" showErrorMessage="1" sqref="C7 J20 C18 J8 J55 J43" xr:uid="{00000000-0002-0000-0100-000003000000}">
      <formula1>RateIndex</formula1>
    </dataValidation>
    <dataValidation type="list" allowBlank="1" showInputMessage="1" showErrorMessage="1" sqref="C11 J24 J35 C22 J12 J60 J47" xr:uid="{00000000-0002-0000-0100-000004000000}">
      <formula1>Currency</formula1>
    </dataValidation>
    <dataValidation type="list" allowBlank="1" showInputMessage="1" showErrorMessage="1" sqref="C8 J21 C19 J9 J56 J44" xr:uid="{00000000-0002-0000-0100-000005000000}">
      <formula1>"1D,1M,3M,6M"</formula1>
    </dataValidation>
    <dataValidation type="list" allowBlank="1" showInputMessage="1" showErrorMessage="1" sqref="J15 J3" xr:uid="{00000000-0002-0000-0100-000006000000}">
      <formula1>"RateCurve, DiscountCurve, InflationCurve, RateSpreadCurve, RateBasisCurve"</formula1>
    </dataValidation>
    <dataValidation type="list" allowBlank="1" showInputMessage="1" showErrorMessage="1" sqref="J31" xr:uid="{00000000-0002-0000-0100-000007000000}">
      <formula1>"NAB, LIBOR"</formula1>
    </dataValidation>
    <dataValidation type="list" allowBlank="1" showInputMessage="1" showErrorMessage="1" sqref="J32" xr:uid="{00000000-0002-0000-0100-000008000000}">
      <formula1>"SENIOR"</formula1>
    </dataValidation>
    <dataValidation type="list" allowBlank="1" showInputMessage="1" showErrorMessage="1" sqref="J50" xr:uid="{00000000-0002-0000-0100-000009000000}">
      <formula1>"RateCurve, ClearedRateCurve, DiscountCurve, InflationCurve, RateSpreadCurve"</formula1>
    </dataValidation>
    <dataValidation type="list" allowBlank="1" showInputMessage="1" showErrorMessage="1" sqref="N1" xr:uid="{7813CEA7-5BC3-4A3F-8DD0-85CDABBE87B1}">
      <formula1>$B$40:$B$46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I13"/>
  <sheetViews>
    <sheetView workbookViewId="0">
      <selection activeCell="J9" sqref="J9:J10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24</v>
      </c>
      <c r="E1" t="s">
        <v>27</v>
      </c>
    </row>
    <row r="2" spans="3:9">
      <c r="C2" t="s">
        <v>2</v>
      </c>
      <c r="D2" t="s">
        <v>19</v>
      </c>
      <c r="E2" s="27" t="s">
        <v>101</v>
      </c>
      <c r="G2" s="3" t="s">
        <v>7</v>
      </c>
      <c r="I2" s="11" t="s">
        <v>70</v>
      </c>
    </row>
    <row r="3" spans="3:9">
      <c r="C3" t="s">
        <v>2</v>
      </c>
      <c r="D3" t="s">
        <v>66</v>
      </c>
      <c r="E3" s="28" t="s">
        <v>6</v>
      </c>
      <c r="G3" s="3" t="s">
        <v>8</v>
      </c>
      <c r="I3" t="s">
        <v>157</v>
      </c>
    </row>
    <row r="4" spans="3:9">
      <c r="C4" t="s">
        <v>2</v>
      </c>
      <c r="D4" t="s">
        <v>106</v>
      </c>
      <c r="E4" s="28" t="s">
        <v>26</v>
      </c>
      <c r="G4" s="3" t="s">
        <v>9</v>
      </c>
      <c r="I4" t="s">
        <v>51</v>
      </c>
    </row>
    <row r="5" spans="3:9">
      <c r="C5" t="s">
        <v>12</v>
      </c>
      <c r="D5" t="s">
        <v>22</v>
      </c>
      <c r="E5" s="28" t="s">
        <v>21</v>
      </c>
      <c r="G5" s="3" t="s">
        <v>10</v>
      </c>
    </row>
    <row r="6" spans="3:9">
      <c r="C6" t="s">
        <v>13</v>
      </c>
      <c r="D6" t="s">
        <v>23</v>
      </c>
      <c r="E6" s="12" t="s">
        <v>28</v>
      </c>
      <c r="G6" s="3" t="s">
        <v>25</v>
      </c>
    </row>
    <row r="7" spans="3:9">
      <c r="C7" t="s">
        <v>13</v>
      </c>
      <c r="D7" t="s">
        <v>99</v>
      </c>
      <c r="E7" s="12" t="s">
        <v>102</v>
      </c>
      <c r="G7" s="3" t="s">
        <v>31</v>
      </c>
    </row>
    <row r="8" spans="3:9">
      <c r="C8" t="s">
        <v>67</v>
      </c>
      <c r="D8" t="s">
        <v>68</v>
      </c>
      <c r="E8" s="29" t="s">
        <v>29</v>
      </c>
      <c r="G8" s="3" t="s">
        <v>32</v>
      </c>
    </row>
    <row r="9" spans="3:9">
      <c r="C9" t="s">
        <v>12</v>
      </c>
      <c r="D9" t="s">
        <v>103</v>
      </c>
      <c r="G9" s="3" t="s">
        <v>33</v>
      </c>
    </row>
    <row r="10" spans="3:9">
      <c r="C10" t="s">
        <v>14</v>
      </c>
      <c r="D10" t="s">
        <v>104</v>
      </c>
      <c r="G10" s="3" t="s">
        <v>34</v>
      </c>
    </row>
    <row r="11" spans="3:9">
      <c r="C11" t="s">
        <v>14</v>
      </c>
      <c r="D11" t="s">
        <v>69</v>
      </c>
      <c r="G11" s="3" t="s">
        <v>35</v>
      </c>
    </row>
    <row r="12" spans="3:9" ht="13.5" thickBot="1">
      <c r="C12" t="s">
        <v>14</v>
      </c>
      <c r="D12" t="s">
        <v>30</v>
      </c>
      <c r="G12" s="5" t="s">
        <v>36</v>
      </c>
    </row>
    <row r="13" spans="3:9" ht="13.5" thickBot="1">
      <c r="G13" s="5" t="s">
        <v>37</v>
      </c>
    </row>
  </sheetData>
  <protectedRanges>
    <protectedRange sqref="E8 E2:E5" name="Range2_1_1"/>
  </protectedRanges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Backlog</vt:lpstr>
      <vt:lpstr>AUDCurves</vt:lpstr>
      <vt:lpstr>Config</vt:lpstr>
      <vt:lpstr>Algorithms</vt:lpstr>
      <vt:lpstr>BaseDate</vt:lpstr>
      <vt:lpstr>Currency</vt:lpstr>
      <vt:lpstr>FuturesRolls</vt:lpstr>
      <vt:lpstr>IRCurve1</vt:lpstr>
      <vt:lpstr>IRCurve2</vt:lpstr>
      <vt:lpstr>IRCurve3</vt:lpstr>
      <vt:lpstr>IRCurve4</vt:lpstr>
      <vt:lpstr>IRCurve5</vt:lpstr>
      <vt:lpstr>IRCurve6</vt:lpstr>
      <vt:lpstr>IRCurve7</vt:lpstr>
      <vt:lpstr>Markets</vt:lpstr>
      <vt:lpstr>RateIndex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2018-02-21T07:32:25Z</dcterms:modified>
</cp:coreProperties>
</file>