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0517199E-A445-4338-960A-D608EB5518C5}" xr6:coauthVersionLast="31" xr6:coauthVersionMax="31" xr10:uidLastSave="{00000000-0000-0000-0000-000000000000}"/>
  <bookViews>
    <workbookView xWindow="120" yWindow="60" windowWidth="18075" windowHeight="12270" tabRatio="882" activeTab="2" xr2:uid="{00000000-000D-0000-FFFF-FFFF00000000}"/>
  </bookViews>
  <sheets>
    <sheet name="FuturesCurve" sheetId="8" r:id="rId1"/>
    <sheet name="FuturesTransaction" sheetId="3" r:id="rId2"/>
    <sheet name="FuturesTransaction (2)" sheetId="11" r:id="rId3"/>
    <sheet name="FuturesTransactions" sheetId="5" r:id="rId4"/>
  </sheets>
  <definedNames>
    <definedName name="Currency">FuturesTransactions!$K$4</definedName>
    <definedName name="CurveType">#REF!</definedName>
    <definedName name="Market">#REF!</definedName>
    <definedName name="Market1">#REF!</definedName>
    <definedName name="Market2">#REF!</definedName>
    <definedName name="Market3">#REF!</definedName>
    <definedName name="Market4">#REF!</definedName>
    <definedName name="Market5">#REF!</definedName>
    <definedName name="Markets">FuturesCurve!$I$22:$I$26</definedName>
    <definedName name="Metrics">FuturesTransactions!$M$2:$M$5</definedName>
    <definedName name="ReportSet">#REF!</definedName>
  </definedNames>
  <calcPr calcId="179017" calcOnSave="0"/>
</workbook>
</file>

<file path=xl/calcChain.xml><?xml version="1.0" encoding="utf-8"?>
<calcChain xmlns="http://schemas.openxmlformats.org/spreadsheetml/2006/main">
  <c r="C5" i="11" l="1"/>
  <c r="C6" i="11" s="1"/>
  <c r="E16" i="11" a="1"/>
  <c r="E32" i="11" a="1"/>
  <c r="E25" i="11"/>
  <c r="F16" i="11" l="1"/>
  <c r="F20" i="11"/>
  <c r="E17" i="11"/>
  <c r="E21" i="11"/>
  <c r="F17" i="11"/>
  <c r="F21" i="11"/>
  <c r="E18" i="11"/>
  <c r="E22" i="11"/>
  <c r="F18" i="11"/>
  <c r="F22" i="11"/>
  <c r="E19" i="11"/>
  <c r="F19" i="11"/>
  <c r="E16" i="11"/>
  <c r="E20" i="11"/>
  <c r="E32" i="11"/>
  <c r="E36" i="11"/>
  <c r="E40" i="11"/>
  <c r="E44" i="11"/>
  <c r="E48" i="11"/>
  <c r="E52" i="11"/>
  <c r="F36" i="11"/>
  <c r="F40" i="11"/>
  <c r="F44" i="11"/>
  <c r="F48" i="11"/>
  <c r="E33" i="11"/>
  <c r="E45" i="11"/>
  <c r="E53" i="11"/>
  <c r="F41" i="11"/>
  <c r="F53" i="11"/>
  <c r="E34" i="11"/>
  <c r="E46" i="11"/>
  <c r="F34" i="11"/>
  <c r="F46" i="11"/>
  <c r="E35" i="11"/>
  <c r="E51" i="11"/>
  <c r="F35" i="11"/>
  <c r="F47" i="11"/>
  <c r="F32" i="11"/>
  <c r="F52" i="11"/>
  <c r="E37" i="11"/>
  <c r="E41" i="11"/>
  <c r="E49" i="11"/>
  <c r="F37" i="11"/>
  <c r="F49" i="11"/>
  <c r="E42" i="11"/>
  <c r="E50" i="11"/>
  <c r="F38" i="11"/>
  <c r="F50" i="11"/>
  <c r="E43" i="11"/>
  <c r="F33" i="11"/>
  <c r="F45" i="11"/>
  <c r="E38" i="11"/>
  <c r="E54" i="11"/>
  <c r="F42" i="11"/>
  <c r="F54" i="11"/>
  <c r="E39" i="11"/>
  <c r="E55" i="11"/>
  <c r="F39" i="11"/>
  <c r="F51" i="11"/>
  <c r="E47" i="11"/>
  <c r="F43" i="11"/>
  <c r="F55" i="11"/>
  <c r="J5" i="8"/>
  <c r="J4" i="8" s="1"/>
  <c r="K24" i="8"/>
  <c r="N24" i="8" s="1"/>
  <c r="K26" i="8"/>
  <c r="N26" i="8" s="1"/>
  <c r="K28" i="8"/>
  <c r="N28" i="8" s="1"/>
  <c r="K30" i="8"/>
  <c r="N30" i="8" s="1"/>
  <c r="K32" i="8"/>
  <c r="N32" i="8" s="1"/>
  <c r="K34" i="8"/>
  <c r="N34" i="8" s="1"/>
  <c r="K36" i="8"/>
  <c r="N36" i="8" s="1"/>
  <c r="K22" i="8"/>
  <c r="N22" i="8" s="1"/>
  <c r="B16" i="11" a="1"/>
  <c r="H1" i="3" a="1"/>
  <c r="I2" i="8"/>
  <c r="H1" i="11" a="1"/>
  <c r="B24" i="11" l="1"/>
  <c r="B21" i="11"/>
  <c r="C29" i="11"/>
  <c r="C18" i="11"/>
  <c r="C23" i="11"/>
  <c r="B32" i="11"/>
  <c r="B19" i="11"/>
  <c r="B33" i="11"/>
  <c r="C30" i="11"/>
  <c r="C20" i="11"/>
  <c r="C21" i="11"/>
  <c r="B30" i="11"/>
  <c r="C32" i="11"/>
  <c r="B17" i="11"/>
  <c r="B25" i="11"/>
  <c r="C33" i="11"/>
  <c r="C22" i="11"/>
  <c r="C27" i="11"/>
  <c r="B36" i="11"/>
  <c r="B23" i="11"/>
  <c r="B18" i="11"/>
  <c r="C35" i="11"/>
  <c r="B29" i="11"/>
  <c r="C37" i="11"/>
  <c r="C26" i="11"/>
  <c r="C31" i="11"/>
  <c r="C16" i="11"/>
  <c r="B31" i="11"/>
  <c r="B37" i="11"/>
  <c r="B22" i="11"/>
  <c r="C34" i="11"/>
  <c r="B16" i="11"/>
  <c r="C24" i="11"/>
  <c r="B34" i="11"/>
  <c r="B28" i="11"/>
  <c r="C17" i="11"/>
  <c r="B26" i="11"/>
  <c r="B27" i="11"/>
  <c r="B20" i="11"/>
  <c r="C28" i="11"/>
  <c r="B35" i="11"/>
  <c r="C25" i="11"/>
  <c r="C19" i="11"/>
  <c r="C36" i="11"/>
  <c r="H1" i="11"/>
  <c r="H9" i="11"/>
  <c r="H2" i="11"/>
  <c r="H10" i="11"/>
  <c r="H3" i="11"/>
  <c r="H11" i="11"/>
  <c r="H7" i="11"/>
  <c r="H8" i="11"/>
  <c r="H4" i="11"/>
  <c r="H12" i="11"/>
  <c r="H5" i="11"/>
  <c r="H13" i="11"/>
  <c r="H6" i="11"/>
  <c r="H1" i="3"/>
  <c r="H9" i="3"/>
  <c r="H6" i="3"/>
  <c r="H2" i="3"/>
  <c r="H10" i="3"/>
  <c r="H5" i="3"/>
  <c r="H8" i="3"/>
  <c r="H3" i="3"/>
  <c r="H11" i="3"/>
  <c r="H12" i="3"/>
  <c r="H13" i="3"/>
  <c r="H7" i="3"/>
  <c r="H4" i="3"/>
  <c r="D33" i="8"/>
  <c r="D42" i="8" s="1"/>
  <c r="D51" i="8" s="1"/>
  <c r="D60" i="8" s="1"/>
  <c r="D32" i="8"/>
  <c r="D41" i="8" s="1"/>
  <c r="D50" i="8" s="1"/>
  <c r="D59" i="8" s="1"/>
  <c r="D31" i="8"/>
  <c r="D40" i="8" s="1"/>
  <c r="D49" i="8" s="1"/>
  <c r="D58" i="8" s="1"/>
  <c r="D30" i="8"/>
  <c r="D39" i="8" s="1"/>
  <c r="D48" i="8" s="1"/>
  <c r="D57" i="8" s="1"/>
  <c r="D29" i="8"/>
  <c r="D38" i="8" s="1"/>
  <c r="D47" i="8" s="1"/>
  <c r="D56" i="8" s="1"/>
  <c r="D28" i="8"/>
  <c r="D37" i="8" s="1"/>
  <c r="D46" i="8" s="1"/>
  <c r="D55" i="8" s="1"/>
  <c r="D27" i="8"/>
  <c r="D36" i="8" s="1"/>
  <c r="D45" i="8" s="1"/>
  <c r="D54" i="8" s="1"/>
  <c r="D26" i="8"/>
  <c r="D35" i="8" s="1"/>
  <c r="D44" i="8" s="1"/>
  <c r="D53" i="8" s="1"/>
  <c r="C33" i="8"/>
  <c r="C42" i="8" s="1"/>
  <c r="C51" i="8" s="1"/>
  <c r="C60" i="8" s="1"/>
  <c r="C32" i="8"/>
  <c r="C41" i="8" s="1"/>
  <c r="C50" i="8" s="1"/>
  <c r="C59" i="8" s="1"/>
  <c r="C31" i="8"/>
  <c r="C40" i="8" s="1"/>
  <c r="C49" i="8" s="1"/>
  <c r="C58" i="8" s="1"/>
  <c r="C30" i="8"/>
  <c r="C39" i="8" s="1"/>
  <c r="C48" i="8" s="1"/>
  <c r="C57" i="8" s="1"/>
  <c r="C29" i="8"/>
  <c r="C38" i="8" s="1"/>
  <c r="C47" i="8" s="1"/>
  <c r="C56" i="8" s="1"/>
  <c r="C28" i="8"/>
  <c r="C37" i="8" s="1"/>
  <c r="C46" i="8" s="1"/>
  <c r="C55" i="8" s="1"/>
  <c r="C27" i="8"/>
  <c r="C36" i="8" s="1"/>
  <c r="C45" i="8" s="1"/>
  <c r="C54" i="8" s="1"/>
  <c r="C26" i="8"/>
  <c r="C35" i="8" s="1"/>
  <c r="C44" i="8" s="1"/>
  <c r="C53" i="8" s="1"/>
  <c r="B33" i="8"/>
  <c r="B42" i="8" s="1"/>
  <c r="B51" i="8" s="1"/>
  <c r="B60" i="8" s="1"/>
  <c r="B32" i="8"/>
  <c r="B41" i="8" s="1"/>
  <c r="B50" i="8" s="1"/>
  <c r="B59" i="8" s="1"/>
  <c r="B31" i="8"/>
  <c r="B40" i="8" s="1"/>
  <c r="B49" i="8" s="1"/>
  <c r="B58" i="8" s="1"/>
  <c r="B30" i="8"/>
  <c r="B39" i="8" s="1"/>
  <c r="B48" i="8" s="1"/>
  <c r="B57" i="8" s="1"/>
  <c r="B29" i="8"/>
  <c r="B38" i="8" s="1"/>
  <c r="B47" i="8" s="1"/>
  <c r="B56" i="8" s="1"/>
  <c r="B28" i="8"/>
  <c r="B37" i="8" s="1"/>
  <c r="B46" i="8" s="1"/>
  <c r="B55" i="8" s="1"/>
  <c r="B27" i="8"/>
  <c r="B36" i="8" s="1"/>
  <c r="B45" i="8" s="1"/>
  <c r="B54" i="8" s="1"/>
  <c r="B26" i="8"/>
  <c r="B35" i="8" s="1"/>
  <c r="B44" i="8" s="1"/>
  <c r="B53" i="8" s="1"/>
  <c r="K2" i="5" l="1"/>
  <c r="G28" i="3"/>
  <c r="G58" i="8" l="1"/>
  <c r="G45" i="8"/>
  <c r="G32" i="8"/>
  <c r="G19" i="8"/>
  <c r="C5" i="8" l="1"/>
  <c r="G7" i="8" l="1"/>
  <c r="C4" i="8"/>
  <c r="K5" i="5"/>
  <c r="F7" i="5"/>
  <c r="G7" i="5" s="1"/>
  <c r="K3" i="5"/>
  <c r="B2" i="8"/>
  <c r="K7" i="5"/>
  <c r="M7" i="5"/>
  <c r="G59" i="8" l="1"/>
  <c r="G4" i="8"/>
  <c r="G5" i="8" s="1"/>
  <c r="G33" i="8"/>
  <c r="I22" i="8"/>
  <c r="G29" i="3" s="1"/>
  <c r="G20" i="8"/>
  <c r="G46" i="8"/>
  <c r="F9" i="5"/>
  <c r="G9" i="5" s="1"/>
  <c r="C5" i="3"/>
  <c r="N7" i="5" a="1"/>
  <c r="F2" i="8"/>
  <c r="Q8" i="5" l="1"/>
  <c r="N7" i="5"/>
  <c r="O8" i="5"/>
  <c r="O7" i="5"/>
  <c r="P7" i="5"/>
  <c r="Q7" i="5"/>
  <c r="P8" i="5"/>
  <c r="N8" i="5"/>
  <c r="C6" i="3"/>
  <c r="I26" i="8"/>
  <c r="G33" i="3" s="1"/>
  <c r="G56" i="8"/>
  <c r="G57" i="8" s="1"/>
  <c r="I25" i="8"/>
  <c r="G32" i="3" s="1"/>
  <c r="I24" i="8"/>
  <c r="G31" i="3" s="1"/>
  <c r="G30" i="8"/>
  <c r="G31" i="8" s="1"/>
  <c r="G17" i="8"/>
  <c r="G18" i="8" s="1"/>
  <c r="G43" i="8"/>
  <c r="G44" i="8" s="1"/>
  <c r="I23" i="8"/>
  <c r="G30" i="3" s="1"/>
  <c r="F11" i="5"/>
  <c r="G11" i="5" s="1"/>
  <c r="B13" i="3"/>
  <c r="E28" i="3" s="1"/>
  <c r="F15" i="8"/>
  <c r="F28" i="8"/>
  <c r="F54" i="8"/>
  <c r="F41" i="8"/>
  <c r="B15" i="3" a="1"/>
  <c r="C19" i="3" l="1"/>
  <c r="B32" i="3"/>
  <c r="B25" i="3"/>
  <c r="B15" i="3"/>
  <c r="C21" i="3"/>
  <c r="B26" i="3"/>
  <c r="C23" i="3"/>
  <c r="B36" i="3"/>
  <c r="B29" i="3"/>
  <c r="B23" i="3"/>
  <c r="C29" i="3"/>
  <c r="B30" i="3"/>
  <c r="C31" i="3"/>
  <c r="C20" i="3"/>
  <c r="C25" i="3"/>
  <c r="B35" i="3"/>
  <c r="C34" i="3"/>
  <c r="C35" i="3"/>
  <c r="C33" i="3"/>
  <c r="B19" i="3"/>
  <c r="B20" i="3"/>
  <c r="C28" i="3"/>
  <c r="C18" i="3"/>
  <c r="C32" i="3"/>
  <c r="B27" i="3"/>
  <c r="C15" i="3"/>
  <c r="B28" i="3"/>
  <c r="B17" i="3"/>
  <c r="C30" i="3"/>
  <c r="B33" i="3"/>
  <c r="B22" i="3"/>
  <c r="C27" i="3"/>
  <c r="C16" i="3"/>
  <c r="C17" i="3"/>
  <c r="B31" i="3"/>
  <c r="C26" i="3"/>
  <c r="B34" i="3"/>
  <c r="C24" i="3"/>
  <c r="B16" i="3"/>
  <c r="B24" i="3"/>
  <c r="C36" i="3"/>
  <c r="C22" i="3"/>
  <c r="B21" i="3"/>
  <c r="B18" i="3"/>
  <c r="H29" i="11" a="1"/>
  <c r="F13" i="5"/>
  <c r="G13" i="5" s="1"/>
  <c r="E16" i="3" a="1"/>
  <c r="E21" i="3" l="1"/>
  <c r="E17" i="3"/>
  <c r="E19" i="3"/>
  <c r="E16" i="3"/>
  <c r="E22" i="3"/>
  <c r="E18" i="3"/>
  <c r="F18" i="3"/>
  <c r="E20" i="3"/>
  <c r="F22" i="3"/>
  <c r="F16" i="3"/>
  <c r="F20" i="3"/>
  <c r="F19" i="3"/>
  <c r="F21" i="3"/>
  <c r="F17" i="3"/>
  <c r="H29" i="11"/>
  <c r="H33" i="11"/>
  <c r="H30" i="11"/>
  <c r="H31" i="11"/>
  <c r="H32" i="11"/>
  <c r="F15" i="5"/>
  <c r="G15" i="5" s="1"/>
  <c r="E29" i="11"/>
  <c r="F17" i="5" l="1"/>
  <c r="G17" i="5" s="1"/>
  <c r="F19" i="5" l="1"/>
  <c r="F21" i="5" l="1"/>
  <c r="G21" i="5" s="1"/>
  <c r="G19" i="5"/>
  <c r="F23" i="5" l="1"/>
  <c r="G23" i="5" s="1"/>
  <c r="F25" i="5" l="1"/>
  <c r="G25" i="5" s="1"/>
</calcChain>
</file>

<file path=xl/sharedStrings.xml><?xml version="1.0" encoding="utf-8"?>
<sst xmlns="http://schemas.openxmlformats.org/spreadsheetml/2006/main" count="392" uniqueCount="111">
  <si>
    <t>AUD</t>
  </si>
  <si>
    <t>NAB</t>
  </si>
  <si>
    <t>TradeDate</t>
  </si>
  <si>
    <t>Party2</t>
  </si>
  <si>
    <t>Party1</t>
  </si>
  <si>
    <t>CBA</t>
  </si>
  <si>
    <t>IsParty1Base</t>
  </si>
  <si>
    <t>TradeId</t>
  </si>
  <si>
    <t>001</t>
  </si>
  <si>
    <t>DirtyPrice</t>
  </si>
  <si>
    <t>SourceSystem</t>
  </si>
  <si>
    <t>Murex</t>
  </si>
  <si>
    <t>QR_LIVE</t>
  </si>
  <si>
    <t>AssetSwapSpread</t>
  </si>
  <si>
    <t>Find out why the DirtyPrice is zero!</t>
  </si>
  <si>
    <t>YieldToMaturity</t>
  </si>
  <si>
    <t>Need to build markets for bonds and add them the market environment</t>
  </si>
  <si>
    <t>Market</t>
  </si>
  <si>
    <t>BaseDate</t>
  </si>
  <si>
    <t>Platform</t>
  </si>
  <si>
    <t>HL Instrument Name</t>
  </si>
  <si>
    <t>Additional</t>
  </si>
  <si>
    <t>PricingStructureType</t>
  </si>
  <si>
    <t>BuildDateTime</t>
  </si>
  <si>
    <t>DependencyDepth</t>
  </si>
  <si>
    <t>Algorithm</t>
  </si>
  <si>
    <t>Currency</t>
  </si>
  <si>
    <t>MarketQuote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</si>
  <si>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</si>
  <si>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</si>
  <si>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</si>
  <si>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</si>
  <si>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</si>
  <si>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</si>
  <si>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</si>
  <si>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</si>
  <si>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</si>
  <si>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</si>
  <si>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</si>
  <si>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</si>
  <si>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</si>
  <si>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</si>
  <si>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</si>
  <si>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</si>
  <si>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</si>
  <si>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SettlementDate</t>
  </si>
  <si>
    <t>testtrade_001</t>
  </si>
  <si>
    <t>MarketDate</t>
  </si>
  <si>
    <t>PortfolioId</t>
  </si>
  <si>
    <t>Function</t>
  </si>
  <si>
    <t>TradingBook</t>
  </si>
  <si>
    <t>Test</t>
  </si>
  <si>
    <t>Var_Run_20170531</t>
  </si>
  <si>
    <t>ValuationReport.Var_Run_20170531.SpreadSheet.bondTransaction.testtrade_002.TEST_EOD.2017-09-18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</si>
  <si>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</si>
  <si>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</si>
  <si>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</si>
  <si>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</si>
  <si>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</si>
  <si>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</si>
  <si>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</si>
  <si>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</si>
  <si>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Exchange</t>
  </si>
  <si>
    <t>ExchangeContractType</t>
  </si>
  <si>
    <t>Price</t>
  </si>
  <si>
    <t>ASX</t>
  </si>
  <si>
    <t>IR</t>
  </si>
  <si>
    <t>NumberOfUnits</t>
  </si>
  <si>
    <t>EXCHANGE TRADED TRANSACTIONS</t>
  </si>
  <si>
    <t>ExchangeTradedCurve</t>
  </si>
  <si>
    <t>ContractCode</t>
  </si>
  <si>
    <t>Rate</t>
  </si>
  <si>
    <t>Linear</t>
  </si>
  <si>
    <t>Default</t>
  </si>
  <si>
    <t>Instrument</t>
  </si>
  <si>
    <t>Values</t>
  </si>
  <si>
    <t>MeasureTpe</t>
  </si>
  <si>
    <t>Units</t>
  </si>
  <si>
    <t>AUD-Deposit-1D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</si>
  <si>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</si>
  <si>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</si>
  <si>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</si>
  <si>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</si>
  <si>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</si>
  <si>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</si>
  <si>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</si>
  <si>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</si>
  <si>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</si>
  <si>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</si>
  <si>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</si>
  <si>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</si>
  <si>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</si>
  <si>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</si>
  <si>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</si>
  <si>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</si>
  <si>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</si>
  <si>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</si>
  <si>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TEST</t>
  </si>
  <si>
    <t>FuturesPrice</t>
  </si>
  <si>
    <t>ImpliedQuote</t>
  </si>
  <si>
    <t>IndexAtMaturity</t>
  </si>
  <si>
    <t>InitialMargin</t>
  </si>
  <si>
    <t>VariationMargin</t>
  </si>
  <si>
    <t>EffectiveDate</t>
  </si>
  <si>
    <t>ASXT</t>
  </si>
  <si>
    <t>CreateFuture</t>
  </si>
  <si>
    <t>ReferenceFuture</t>
  </si>
  <si>
    <t>Contracts</t>
  </si>
  <si>
    <t>testtrade_002</t>
  </si>
  <si>
    <t>QR_EOD</t>
  </si>
  <si>
    <t>ValuationReport.Var_Run_20170531.SpreadSheet.futureTransaction.testtrade_001.QR_LIVE.2018-02-23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</si>
</sst>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00"/>
    <numFmt numFmtId="166" formatCode="#,##0_ ;[Red]\-#,##0\ "/>
    <numFmt numFmtId="167" formatCode="dd/mm/yyyy;@"/>
    <numFmt numFmtId="168" formatCode="0.000%"/>
    <numFmt numFmtId="169" formatCode="&quot;$&quot;#,##0\ ;\(&quot;$&quot;#,##0\)"/>
    <numFmt numFmtId="170" formatCode="0.00_)"/>
    <numFmt numFmtId="171" formatCode="#,##0.0;#,##0.0"/>
    <numFmt numFmtId="172" formatCode="\+#,##0.00;\-#,##0.00"/>
    <numFmt numFmtId="173" formatCode="_-* #,##0_-;\-* #,##0_-;_-* &quot;-&quot;??_-;_-@_-"/>
    <numFmt numFmtId="174" formatCode="#,##0.00_ ;[Red]\-#,##0.00\ "/>
  </numFmts>
  <fonts count="28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  <font>
      <b/>
      <i/>
      <sz val="8"/>
      <color indexed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wrapText="1"/>
    </xf>
    <xf numFmtId="0" fontId="11" fillId="19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2" fillId="20" borderId="0" applyNumberFormat="0" applyBorder="0">
      <alignment horizontal="right" vertical="center"/>
    </xf>
    <xf numFmtId="19" fontId="12" fillId="20" borderId="5" applyNumberFormat="0" applyBorder="0">
      <alignment horizontal="left" vertical="center"/>
    </xf>
    <xf numFmtId="2" fontId="13" fillId="21" borderId="0">
      <alignment horizontal="center" vertical="center"/>
    </xf>
    <xf numFmtId="2" fontId="13" fillId="21" borderId="4" applyBorder="0">
      <alignment horizontal="left" vertical="center"/>
    </xf>
    <xf numFmtId="0" fontId="12" fillId="20" borderId="0">
      <alignment horizontal="right" vertical="center"/>
    </xf>
    <xf numFmtId="19" fontId="14" fillId="20" borderId="12" applyNumberFormat="0" applyBorder="0">
      <alignment horizontal="left" vertical="center" indent="1"/>
    </xf>
    <xf numFmtId="2" fontId="15" fillId="21" borderId="16" applyBorder="0">
      <alignment horizontal="left" vertical="center" indent="1"/>
    </xf>
    <xf numFmtId="2" fontId="15" fillId="21" borderId="9" applyBorder="0">
      <alignment horizontal="center" vertical="center"/>
    </xf>
    <xf numFmtId="2" fontId="3" fillId="22" borderId="21" applyBorder="0">
      <alignment horizontal="left" vertical="center" indent="1"/>
    </xf>
    <xf numFmtId="0" fontId="3" fillId="22" borderId="0">
      <alignment horizontal="right" vertical="center"/>
    </xf>
    <xf numFmtId="2" fontId="3" fillId="22" borderId="5" applyNumberFormat="0" applyBorder="0">
      <alignment horizontal="right" vertical="center"/>
    </xf>
    <xf numFmtId="2" fontId="16" fillId="23" borderId="12" applyBorder="0">
      <alignment horizontal="left" vertical="center" indent="1"/>
    </xf>
    <xf numFmtId="2" fontId="16" fillId="23" borderId="0">
      <alignment horizontal="right" vertical="center"/>
    </xf>
    <xf numFmtId="2" fontId="16" fillId="23" borderId="4" applyBorder="0">
      <alignment horizontal="left" vertical="center"/>
    </xf>
    <xf numFmtId="2" fontId="16" fillId="23" borderId="10" applyBorder="0">
      <alignment horizontal="center" vertical="center"/>
    </xf>
    <xf numFmtId="19" fontId="14" fillId="24" borderId="22" applyNumberFormat="0" applyBorder="0">
      <alignment horizontal="left" vertical="center"/>
    </xf>
    <xf numFmtId="15" fontId="14" fillId="24" borderId="9" applyNumberFormat="0" applyBorder="0">
      <alignment horizontal="right" vertical="center"/>
    </xf>
    <xf numFmtId="19" fontId="14" fillId="24" borderId="1" applyNumberFormat="0" applyBorder="0">
      <alignment horizontal="right" vertical="center"/>
    </xf>
    <xf numFmtId="2" fontId="15" fillId="25" borderId="23" applyBorder="0">
      <alignment horizontal="left" vertical="center" indent="1"/>
    </xf>
    <xf numFmtId="2" fontId="15" fillId="25" borderId="4" applyNumberFormat="0">
      <alignment horizontal="center" vertical="center"/>
    </xf>
    <xf numFmtId="2" fontId="15" fillId="25" borderId="4" applyNumberFormat="0" applyBorder="0">
      <alignment horizontal="left" vertical="center"/>
    </xf>
    <xf numFmtId="2" fontId="3" fillId="26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0" fontId="17" fillId="0" borderId="0"/>
    <xf numFmtId="0" fontId="9" fillId="17" borderId="19" applyNumberFormat="0" applyBorder="0">
      <alignment horizontal="left" vertical="center"/>
    </xf>
    <xf numFmtId="2" fontId="9" fillId="17" borderId="4" applyNumberFormat="0" applyBorder="0">
      <alignment horizontal="left" vertical="center"/>
    </xf>
    <xf numFmtId="2" fontId="16" fillId="23" borderId="8" applyNumberFormat="0" applyBorder="0">
      <alignment horizontal="left" vertical="center"/>
    </xf>
    <xf numFmtId="2" fontId="16" fillId="23" borderId="4" applyNumberFormat="0" applyBorder="0">
      <alignment horizontal="left" vertical="center"/>
    </xf>
    <xf numFmtId="19" fontId="3" fillId="27" borderId="13" applyNumberFormat="0" applyBorder="0">
      <alignment horizontal="left" vertical="center" indent="1"/>
    </xf>
    <xf numFmtId="0" fontId="3" fillId="27" borderId="0">
      <alignment horizontal="right" vertical="center"/>
    </xf>
    <xf numFmtId="19" fontId="3" fillId="27" borderId="1" applyNumberFormat="0" applyBorder="0">
      <alignment horizontal="right" vertical="center"/>
    </xf>
    <xf numFmtId="2" fontId="18" fillId="28" borderId="16" applyBorder="0">
      <alignment horizontal="left" vertical="center" indent="1"/>
    </xf>
    <xf numFmtId="2" fontId="18" fillId="28" borderId="0">
      <alignment horizontal="center" vertical="center"/>
    </xf>
    <xf numFmtId="2" fontId="18" fillId="28" borderId="6">
      <alignment horizontal="left" vertical="center"/>
    </xf>
    <xf numFmtId="0" fontId="19" fillId="29" borderId="10">
      <alignment horizontal="center"/>
    </xf>
    <xf numFmtId="9" fontId="3" fillId="0" borderId="0" applyFont="0" applyFill="0" applyBorder="0" applyAlignment="0" applyProtection="0"/>
    <xf numFmtId="168" fontId="20" fillId="30" borderId="0" applyNumberFormat="0" applyBorder="0">
      <alignment horizontal="right" vertical="center"/>
    </xf>
    <xf numFmtId="168" fontId="20" fillId="30" borderId="0" applyNumberFormat="0" applyBorder="0">
      <alignment horizontal="right" vertical="center"/>
    </xf>
    <xf numFmtId="0" fontId="21" fillId="31" borderId="10" applyNumberFormat="0">
      <alignment horizontal="center" vertical="center"/>
    </xf>
    <xf numFmtId="0" fontId="21" fillId="31" borderId="0" applyNumberFormat="0" applyBorder="0">
      <alignment horizontal="left" vertical="center" indent="1"/>
    </xf>
    <xf numFmtId="171" fontId="22" fillId="32" borderId="0">
      <alignment horizontal="center" vertical="center"/>
    </xf>
    <xf numFmtId="172" fontId="23" fillId="33" borderId="0">
      <alignment horizontal="center" vertical="center"/>
      <protection locked="0"/>
    </xf>
    <xf numFmtId="0" fontId="3" fillId="0" borderId="0">
      <alignment horizontal="left" wrapText="1"/>
    </xf>
    <xf numFmtId="2" fontId="24" fillId="34" borderId="19" applyNumberFormat="0" applyFill="0" applyBorder="0" applyAlignment="0">
      <alignment horizontal="center"/>
      <protection locked="0"/>
    </xf>
    <xf numFmtId="2" fontId="3" fillId="35" borderId="4" applyNumberFormat="0" applyBorder="0">
      <alignment horizontal="right" vertical="center"/>
    </xf>
    <xf numFmtId="2" fontId="3" fillId="35" borderId="0">
      <alignment horizontal="right" vertical="center"/>
    </xf>
    <xf numFmtId="2" fontId="16" fillId="36" borderId="10">
      <alignment horizontal="center" vertical="center"/>
    </xf>
    <xf numFmtId="2" fontId="16" fillId="36" borderId="0" applyNumberFormat="0" applyBorder="0">
      <alignment horizontal="left" vertical="center"/>
    </xf>
    <xf numFmtId="2" fontId="16" fillId="36" borderId="10">
      <alignment horizontal="center" vertical="center"/>
    </xf>
    <xf numFmtId="38" fontId="25" fillId="0" borderId="0" applyFont="0" applyFill="0" applyBorder="0" applyAlignment="0" applyProtection="0"/>
    <xf numFmtId="0" fontId="25" fillId="0" borderId="0"/>
  </cellStyleXfs>
  <cellXfs count="92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0" fontId="0" fillId="3" borderId="0" xfId="0" applyFill="1" applyAlignment="1">
      <alignment horizontal="center"/>
    </xf>
    <xf numFmtId="165" fontId="0" fillId="0" borderId="0" xfId="3" applyNumberFormat="1" applyFont="1"/>
    <xf numFmtId="166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7" fontId="8" fillId="8" borderId="4" xfId="4" applyNumberFormat="1" applyFont="1" applyFill="1" applyBorder="1" applyAlignment="1">
      <alignment horizontal="center"/>
    </xf>
    <xf numFmtId="167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10" fontId="0" fillId="0" borderId="0" xfId="3" applyNumberFormat="1" applyFont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0" fontId="0" fillId="16" borderId="0" xfId="0" applyFill="1"/>
    <xf numFmtId="166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68" fontId="0" fillId="0" borderId="0" xfId="3" applyNumberFormat="1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0" fillId="18" borderId="0" xfId="0" applyFill="1"/>
    <xf numFmtId="0" fontId="10" fillId="16" borderId="0" xfId="0" applyFont="1" applyFill="1"/>
    <xf numFmtId="173" fontId="0" fillId="0" borderId="0" xfId="5" applyNumberFormat="1" applyFont="1"/>
    <xf numFmtId="0" fontId="26" fillId="16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168" fontId="0" fillId="0" borderId="0" xfId="3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3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27" fillId="6" borderId="24" xfId="4" applyFont="1" applyFill="1" applyBorder="1" applyAlignment="1">
      <alignment horizontal="center"/>
    </xf>
    <xf numFmtId="0" fontId="27" fillId="6" borderId="2" xfId="4" applyFont="1" applyFill="1" applyBorder="1" applyAlignment="1">
      <alignment horizontal="center"/>
    </xf>
    <xf numFmtId="0" fontId="8" fillId="8" borderId="25" xfId="4" applyFont="1" applyFill="1" applyBorder="1" applyAlignment="1">
      <alignment horizontal="center"/>
    </xf>
    <xf numFmtId="10" fontId="8" fillId="8" borderId="26" xfId="4" applyNumberFormat="1" applyFont="1" applyFill="1" applyBorder="1" applyAlignment="1">
      <alignment horizontal="center"/>
    </xf>
    <xf numFmtId="2" fontId="8" fillId="8" borderId="5" xfId="4" applyNumberFormat="1" applyFont="1" applyFill="1" applyBorder="1" applyAlignment="1">
      <alignment horizontal="center"/>
    </xf>
    <xf numFmtId="0" fontId="8" fillId="8" borderId="27" xfId="4" applyFont="1" applyFill="1" applyBorder="1" applyAlignment="1">
      <alignment horizontal="center"/>
    </xf>
    <xf numFmtId="10" fontId="8" fillId="8" borderId="28" xfId="4" applyNumberFormat="1" applyFont="1" applyFill="1" applyBorder="1" applyAlignment="1">
      <alignment horizontal="center"/>
    </xf>
    <xf numFmtId="2" fontId="8" fillId="8" borderId="1" xfId="4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2" fontId="8" fillId="8" borderId="4" xfId="4" applyNumberFormat="1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2" fontId="8" fillId="8" borderId="6" xfId="4" applyNumberFormat="1" applyFont="1" applyFill="1" applyBorder="1" applyAlignment="1">
      <alignment horizontal="center"/>
    </xf>
    <xf numFmtId="0" fontId="8" fillId="0" borderId="29" xfId="0" applyFont="1" applyBorder="1" applyAlignment="1">
      <alignment horizontal="center"/>
    </xf>
    <xf numFmtId="2" fontId="8" fillId="8" borderId="7" xfId="4" applyNumberFormat="1" applyFont="1" applyFill="1" applyBorder="1" applyAlignment="1">
      <alignment horizontal="center"/>
    </xf>
    <xf numFmtId="2" fontId="0" fillId="0" borderId="0" xfId="0" applyNumberFormat="1"/>
    <xf numFmtId="9" fontId="8" fillId="8" borderId="6" xfId="3" applyFont="1" applyFill="1" applyBorder="1" applyAlignment="1">
      <alignment horizontal="center"/>
    </xf>
    <xf numFmtId="9" fontId="8" fillId="8" borderId="7" xfId="3" applyFont="1" applyFill="1" applyBorder="1" applyAlignment="1">
      <alignment horizontal="center"/>
    </xf>
    <xf numFmtId="1" fontId="0" fillId="0" borderId="0" xfId="0" applyNumberFormat="1"/>
    <xf numFmtId="174" fontId="0" fillId="0" borderId="0" xfId="0" applyNumberFormat="1"/>
    <xf numFmtId="1" fontId="0" fillId="0" borderId="0" xfId="2" applyNumberFormat="1" applyFont="1"/>
    <xf numFmtId="0" fontId="0" fillId="14" borderId="0" xfId="0" applyFill="1" applyAlignment="1"/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6" fillId="16" borderId="0" xfId="0" applyFont="1" applyFill="1" applyAlignment="1">
      <alignment horizontal="center"/>
    </xf>
  </cellXfs>
  <cellStyles count="66">
    <cellStyle name="_Copy of Portfolios to Archeus 6-3-04 (2)" xfId="8" xr:uid="{00000000-0005-0000-0000-000000000000}"/>
    <cellStyle name="back" xfId="9" xr:uid="{00000000-0005-0000-0000-000001000000}"/>
    <cellStyle name="Comma" xfId="5" builtinId="3"/>
    <cellStyle name="Comma0" xfId="10" xr:uid="{00000000-0005-0000-0000-000003000000}"/>
    <cellStyle name="Currency" xfId="2" builtinId="4"/>
    <cellStyle name="Currency 2" xfId="11" xr:uid="{00000000-0005-0000-0000-000005000000}"/>
    <cellStyle name="Currency0" xfId="12" xr:uid="{00000000-0005-0000-0000-000006000000}"/>
    <cellStyle name="Date" xfId="13" xr:uid="{00000000-0005-0000-0000-000007000000}"/>
    <cellStyle name="Fixed" xfId="14" xr:uid="{00000000-0005-0000-0000-000008000000}"/>
    <cellStyle name="Header" xfId="1" xr:uid="{00000000-0005-0000-0000-000009000000}"/>
    <cellStyle name="InfoDataColumn" xfId="15" xr:uid="{00000000-0005-0000-0000-00000B000000}"/>
    <cellStyle name="InfoDataRow" xfId="16" xr:uid="{00000000-0005-0000-0000-00000C000000}"/>
    <cellStyle name="InfoLabelColumn" xfId="17" xr:uid="{00000000-0005-0000-0000-00000D000000}"/>
    <cellStyle name="InfoLabelRow" xfId="18" xr:uid="{00000000-0005-0000-0000-00000E000000}"/>
    <cellStyle name="InfolDataColumn" xfId="19" xr:uid="{00000000-0005-0000-0000-00000F000000}"/>
    <cellStyle name="InformationalData" xfId="20" xr:uid="{00000000-0005-0000-0000-000010000000}"/>
    <cellStyle name="InformationalLabel" xfId="21" xr:uid="{00000000-0005-0000-0000-000011000000}"/>
    <cellStyle name="InformationalLabelTop" xfId="22" xr:uid="{00000000-0005-0000-0000-000012000000}"/>
    <cellStyle name="InputData" xfId="23" xr:uid="{00000000-0005-0000-0000-000013000000}"/>
    <cellStyle name="InputDataColumn" xfId="24" xr:uid="{00000000-0005-0000-0000-000014000000}"/>
    <cellStyle name="InputDataRow" xfId="25" xr:uid="{00000000-0005-0000-0000-000015000000}"/>
    <cellStyle name="InputLabel" xfId="26" xr:uid="{00000000-0005-0000-0000-000016000000}"/>
    <cellStyle name="InputLabelColumn" xfId="27" xr:uid="{00000000-0005-0000-0000-000017000000}"/>
    <cellStyle name="InputLabelRow" xfId="28" xr:uid="{00000000-0005-0000-0000-000018000000}"/>
    <cellStyle name="InputLabelTop" xfId="29" xr:uid="{00000000-0005-0000-0000-000019000000}"/>
    <cellStyle name="IntermediateData" xfId="30" xr:uid="{00000000-0005-0000-0000-00001A000000}"/>
    <cellStyle name="IntermediateDataColumn" xfId="31" xr:uid="{00000000-0005-0000-0000-00001B000000}"/>
    <cellStyle name="IntermediateDataRow" xfId="32" xr:uid="{00000000-0005-0000-0000-00001C000000}"/>
    <cellStyle name="IntermediateLabel" xfId="33" xr:uid="{00000000-0005-0000-0000-00001D000000}"/>
    <cellStyle name="IntermediateLabelColumn" xfId="34" xr:uid="{00000000-0005-0000-0000-00001E000000}"/>
    <cellStyle name="IntermediateLabelRow" xfId="35" xr:uid="{00000000-0005-0000-0000-00001F000000}"/>
    <cellStyle name="InvalidCell" xfId="36" xr:uid="{00000000-0005-0000-0000-000020000000}"/>
    <cellStyle name="NewSheet" xfId="37" xr:uid="{00000000-0005-0000-0000-000021000000}"/>
    <cellStyle name="Normal" xfId="0" builtinId="0"/>
    <cellStyle name="Normal - Style1" xfId="38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39" xr:uid="{00000000-0005-0000-0000-000026000000}"/>
    <cellStyle name="ObjectDataRow" xfId="40" xr:uid="{00000000-0005-0000-0000-000027000000}"/>
    <cellStyle name="ObjectLabelColumn" xfId="41" xr:uid="{00000000-0005-0000-0000-000028000000}"/>
    <cellStyle name="ObjectLabelRow" xfId="42" xr:uid="{00000000-0005-0000-0000-000029000000}"/>
    <cellStyle name="OutputData" xfId="43" xr:uid="{00000000-0005-0000-0000-00002A000000}"/>
    <cellStyle name="OutputDataColumn" xfId="44" xr:uid="{00000000-0005-0000-0000-00002B000000}"/>
    <cellStyle name="OutputDataRow" xfId="45" xr:uid="{00000000-0005-0000-0000-00002C000000}"/>
    <cellStyle name="OutputLabel" xfId="46" xr:uid="{00000000-0005-0000-0000-00002D000000}"/>
    <cellStyle name="OutputLabelColumn" xfId="47" xr:uid="{00000000-0005-0000-0000-00002E000000}"/>
    <cellStyle name="OutputLabelRow" xfId="48" xr:uid="{00000000-0005-0000-0000-00002F000000}"/>
    <cellStyle name="PanelLabel" xfId="49" xr:uid="{00000000-0005-0000-0000-000030000000}"/>
    <cellStyle name="Percent" xfId="3" builtinId="5"/>
    <cellStyle name="Percent 2" xfId="7" xr:uid="{00000000-0005-0000-0000-000032000000}"/>
    <cellStyle name="Percent 3" xfId="50" xr:uid="{00000000-0005-0000-0000-000033000000}"/>
    <cellStyle name="PersonalDataColumn" xfId="51" xr:uid="{00000000-0005-0000-0000-000034000000}"/>
    <cellStyle name="PersonalDataRow" xfId="52" xr:uid="{00000000-0005-0000-0000-000035000000}"/>
    <cellStyle name="PersonalLabelColumn" xfId="53" xr:uid="{00000000-0005-0000-0000-000036000000}"/>
    <cellStyle name="PersonalLabelRow" xfId="54" xr:uid="{00000000-0005-0000-0000-000037000000}"/>
    <cellStyle name="result" xfId="55" xr:uid="{00000000-0005-0000-0000-000038000000}"/>
    <cellStyle name="spreads" xfId="56" xr:uid="{00000000-0005-0000-0000-000039000000}"/>
    <cellStyle name="Style 1" xfId="57" xr:uid="{00000000-0005-0000-0000-00003A000000}"/>
    <cellStyle name="swaptn" xfId="58" xr:uid="{00000000-0005-0000-0000-00003B000000}"/>
    <cellStyle name="TableDataColumn" xfId="59" xr:uid="{00000000-0005-0000-0000-00003C000000}"/>
    <cellStyle name="TableDataRow" xfId="60" xr:uid="{00000000-0005-0000-0000-00003D000000}"/>
    <cellStyle name="TableLabelColumn" xfId="61" xr:uid="{00000000-0005-0000-0000-00003E000000}"/>
    <cellStyle name="TableLabelRow" xfId="62" xr:uid="{00000000-0005-0000-0000-00003F000000}"/>
    <cellStyle name="TableLabelTop" xfId="63" xr:uid="{00000000-0005-0000-0000-000040000000}"/>
    <cellStyle name="桁区切り_NewDemo" xfId="64" xr:uid="{00000000-0005-0000-0000-000041000000}"/>
    <cellStyle name="標準_NewDemo" xfId="65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6"/>
  <sheetViews>
    <sheetView workbookViewId="0">
      <selection activeCell="C7" sqref="C7"/>
    </sheetView>
  </sheetViews>
  <sheetFormatPr defaultRowHeight="12.75"/>
  <cols>
    <col min="1" max="1" width="2.7109375" customWidth="1"/>
    <col min="2" max="2" width="24.42578125" style="51" bestFit="1" customWidth="1"/>
    <col min="3" max="3" width="22.42578125" bestFit="1" customWidth="1"/>
    <col min="5" max="5" width="2.7109375" customWidth="1"/>
    <col min="6" max="6" width="21" bestFit="1" customWidth="1"/>
    <col min="7" max="7" width="22.42578125" bestFit="1" customWidth="1"/>
    <col min="9" max="9" width="21" bestFit="1" customWidth="1"/>
    <col min="10" max="10" width="22.42578125" bestFit="1" customWidth="1"/>
    <col min="11" max="11" width="5.5703125" bestFit="1" customWidth="1"/>
    <col min="12" max="12" width="3.140625" customWidth="1"/>
    <col min="13" max="13" width="16.7109375" bestFit="1" customWidth="1"/>
    <col min="15" max="15" width="12.85546875" bestFit="1" customWidth="1"/>
    <col min="16" max="16" width="16.85546875" bestFit="1" customWidth="1"/>
  </cols>
  <sheetData>
    <row r="2" spans="2:16" ht="13.5" thickBot="1">
      <c r="B2" s="86" t="str">
        <f ca="1">_xll.HLV5r3.Financial.Cache.CreateCurve(B3:C13, B17:D24)</f>
        <v>Market.QR_LIVE.ExchangeTradedCurve.AUD-ASXT-IR</v>
      </c>
      <c r="C2" s="87"/>
      <c r="F2" s="86" t="str">
        <f ca="1">_xll.HLV5r3.Financial.Cache.CreateCurve(F3:G14, $B$17:$D$24)</f>
        <v>Market.QR_EOD.2018-04-26.ExchangeTradedCurve.AUD-ASXT-IR</v>
      </c>
      <c r="G2" s="87"/>
      <c r="I2" s="86" t="str">
        <f ca="1">_xll.HLV5r3.Financial.Cache.CreateRateCurveWithUnits(I3:J13, M22:M37, N22:N37, O22:O37, P22:P37)</f>
        <v>Market.TEST.ExchangeTradedCurve.AUD-ASXT-IR</v>
      </c>
      <c r="J2" s="87"/>
    </row>
    <row r="3" spans="2:16" ht="13.5" thickBot="1">
      <c r="B3" s="17" t="s">
        <v>22</v>
      </c>
      <c r="C3" s="22" t="s">
        <v>69</v>
      </c>
      <c r="F3" s="17" t="s">
        <v>22</v>
      </c>
      <c r="G3" s="22" t="s">
        <v>69</v>
      </c>
      <c r="I3" s="17" t="s">
        <v>22</v>
      </c>
      <c r="J3" s="22" t="s">
        <v>69</v>
      </c>
    </row>
    <row r="4" spans="2:16">
      <c r="B4" s="18" t="s">
        <v>23</v>
      </c>
      <c r="C4" s="23">
        <f ca="1">C5</f>
        <v>43217</v>
      </c>
      <c r="F4" s="18" t="s">
        <v>23</v>
      </c>
      <c r="G4" s="23">
        <f ca="1">G7</f>
        <v>43216</v>
      </c>
      <c r="I4" s="18" t="s">
        <v>23</v>
      </c>
      <c r="J4" s="23">
        <f ca="1">J5</f>
        <v>43217</v>
      </c>
    </row>
    <row r="5" spans="2:16" ht="13.5" thickBot="1">
      <c r="B5" s="19" t="s">
        <v>18</v>
      </c>
      <c r="C5" s="24">
        <f ca="1">TODAY()</f>
        <v>43217</v>
      </c>
      <c r="F5" s="19" t="s">
        <v>18</v>
      </c>
      <c r="G5" s="24">
        <f ca="1">G4</f>
        <v>43216</v>
      </c>
      <c r="I5" s="19" t="s">
        <v>18</v>
      </c>
      <c r="J5" s="24">
        <f ca="1">TODAY()</f>
        <v>43217</v>
      </c>
      <c r="M5" s="64" t="s">
        <v>74</v>
      </c>
      <c r="N5" s="65" t="s">
        <v>75</v>
      </c>
      <c r="O5" s="66" t="s">
        <v>76</v>
      </c>
      <c r="P5" s="66" t="s">
        <v>77</v>
      </c>
    </row>
    <row r="6" spans="2:16">
      <c r="B6" s="20" t="s">
        <v>17</v>
      </c>
      <c r="C6" s="25" t="s">
        <v>12</v>
      </c>
      <c r="F6" s="20" t="s">
        <v>17</v>
      </c>
      <c r="G6" s="25" t="s">
        <v>109</v>
      </c>
      <c r="I6" s="20" t="s">
        <v>17</v>
      </c>
      <c r="J6" s="25" t="s">
        <v>97</v>
      </c>
      <c r="M6" s="67" t="s">
        <v>78</v>
      </c>
      <c r="N6" s="68">
        <v>0.02</v>
      </c>
      <c r="O6" s="69" t="s">
        <v>27</v>
      </c>
      <c r="P6" s="69" t="s">
        <v>79</v>
      </c>
    </row>
    <row r="7" spans="2:16">
      <c r="B7" s="20" t="s">
        <v>70</v>
      </c>
      <c r="C7" s="25" t="s">
        <v>66</v>
      </c>
      <c r="F7" s="20" t="s">
        <v>47</v>
      </c>
      <c r="G7" s="55">
        <f ca="1">$C$5-1</f>
        <v>43216</v>
      </c>
      <c r="I7" s="20" t="s">
        <v>70</v>
      </c>
      <c r="J7" s="25" t="s">
        <v>66</v>
      </c>
      <c r="M7" s="70" t="s">
        <v>80</v>
      </c>
      <c r="N7" s="71">
        <v>2.1000000000000001E-2</v>
      </c>
      <c r="O7" s="72" t="s">
        <v>27</v>
      </c>
      <c r="P7" s="72" t="s">
        <v>79</v>
      </c>
    </row>
    <row r="8" spans="2:16">
      <c r="B8" s="20" t="s">
        <v>63</v>
      </c>
      <c r="C8" s="25" t="s">
        <v>71</v>
      </c>
      <c r="F8" s="20" t="s">
        <v>70</v>
      </c>
      <c r="G8" s="25" t="s">
        <v>66</v>
      </c>
      <c r="I8" s="20" t="s">
        <v>63</v>
      </c>
      <c r="J8" s="25" t="s">
        <v>71</v>
      </c>
      <c r="M8" s="70" t="s">
        <v>81</v>
      </c>
      <c r="N8" s="71">
        <v>2.2000000000000002E-2</v>
      </c>
      <c r="O8" s="72" t="s">
        <v>27</v>
      </c>
      <c r="P8" s="72" t="s">
        <v>79</v>
      </c>
    </row>
    <row r="9" spans="2:16">
      <c r="B9" s="19" t="s">
        <v>62</v>
      </c>
      <c r="C9" s="26" t="s">
        <v>104</v>
      </c>
      <c r="F9" s="20" t="s">
        <v>63</v>
      </c>
      <c r="G9" s="25" t="s">
        <v>71</v>
      </c>
      <c r="I9" s="19" t="s">
        <v>62</v>
      </c>
      <c r="J9" s="26" t="s">
        <v>104</v>
      </c>
      <c r="M9" s="70" t="s">
        <v>82</v>
      </c>
      <c r="N9" s="71">
        <v>2.3000000000000003E-2</v>
      </c>
      <c r="O9" s="72" t="s">
        <v>27</v>
      </c>
      <c r="P9" s="72" t="s">
        <v>79</v>
      </c>
    </row>
    <row r="10" spans="2:16">
      <c r="B10" s="19" t="s">
        <v>24</v>
      </c>
      <c r="C10" s="25">
        <v>0</v>
      </c>
      <c r="F10" s="19" t="s">
        <v>62</v>
      </c>
      <c r="G10" s="26" t="s">
        <v>104</v>
      </c>
      <c r="I10" s="19" t="s">
        <v>24</v>
      </c>
      <c r="J10" s="25">
        <v>0</v>
      </c>
      <c r="M10" s="70" t="s">
        <v>83</v>
      </c>
      <c r="N10" s="71">
        <v>2.4000000000000004E-2</v>
      </c>
      <c r="O10" s="72" t="s">
        <v>27</v>
      </c>
      <c r="P10" s="72" t="s">
        <v>79</v>
      </c>
    </row>
    <row r="11" spans="2:16">
      <c r="B11" s="19" t="s">
        <v>25</v>
      </c>
      <c r="C11" s="25" t="s">
        <v>72</v>
      </c>
      <c r="F11" s="19" t="s">
        <v>24</v>
      </c>
      <c r="G11" s="25">
        <v>0</v>
      </c>
      <c r="I11" s="19" t="s">
        <v>25</v>
      </c>
      <c r="J11" s="25" t="s">
        <v>72</v>
      </c>
      <c r="M11" s="70" t="s">
        <v>84</v>
      </c>
      <c r="N11" s="71">
        <v>2.5000000000000005E-2</v>
      </c>
      <c r="O11" s="72" t="s">
        <v>27</v>
      </c>
      <c r="P11" s="72" t="s">
        <v>79</v>
      </c>
    </row>
    <row r="12" spans="2:16">
      <c r="B12" s="19" t="s">
        <v>27</v>
      </c>
      <c r="C12" s="25" t="s">
        <v>64</v>
      </c>
      <c r="F12" s="19" t="s">
        <v>25</v>
      </c>
      <c r="G12" s="25" t="s">
        <v>73</v>
      </c>
      <c r="I12" s="19" t="s">
        <v>27</v>
      </c>
      <c r="J12" s="25" t="s">
        <v>64</v>
      </c>
      <c r="M12" s="70" t="s">
        <v>85</v>
      </c>
      <c r="N12" s="71">
        <v>2.6000000000000006E-2</v>
      </c>
      <c r="O12" s="72" t="s">
        <v>27</v>
      </c>
      <c r="P12" s="72" t="s">
        <v>79</v>
      </c>
    </row>
    <row r="13" spans="2:16" ht="13.5" thickBot="1">
      <c r="B13" s="21" t="s">
        <v>26</v>
      </c>
      <c r="C13" s="27" t="s">
        <v>0</v>
      </c>
      <c r="F13" s="19" t="s">
        <v>27</v>
      </c>
      <c r="G13" s="25" t="s">
        <v>64</v>
      </c>
      <c r="I13" s="21" t="s">
        <v>26</v>
      </c>
      <c r="J13" s="27" t="s">
        <v>0</v>
      </c>
      <c r="M13" s="70" t="s">
        <v>86</v>
      </c>
      <c r="N13" s="71">
        <v>2.7000000000000007E-2</v>
      </c>
      <c r="O13" s="72" t="s">
        <v>27</v>
      </c>
      <c r="P13" s="72" t="s">
        <v>79</v>
      </c>
    </row>
    <row r="14" spans="2:16" ht="13.5" thickBot="1">
      <c r="F14" s="21" t="s">
        <v>26</v>
      </c>
      <c r="G14" s="27" t="s">
        <v>0</v>
      </c>
      <c r="M14" s="70" t="s">
        <v>87</v>
      </c>
      <c r="N14" s="71">
        <v>2.8000000000000008E-2</v>
      </c>
      <c r="O14" s="72" t="s">
        <v>27</v>
      </c>
      <c r="P14" s="72" t="s">
        <v>79</v>
      </c>
    </row>
    <row r="15" spans="2:16" ht="13.5" thickBot="1">
      <c r="B15" s="31"/>
      <c r="C15" s="10"/>
      <c r="D15" s="11"/>
      <c r="F15" s="88" t="str">
        <f ca="1">_xll.HLV5r3.Financial.Cache.CreateCurve(F16:G27, $B$26:$D$33)</f>
        <v>Market.QR_EOD.2018-04-25.ExchangeTradedCurve.AUD-ASXT-IR</v>
      </c>
      <c r="G15" s="89"/>
      <c r="M15" s="70" t="s">
        <v>88</v>
      </c>
      <c r="N15" s="71">
        <v>2.9000000000000008E-2</v>
      </c>
      <c r="O15" s="72" t="s">
        <v>27</v>
      </c>
      <c r="P15" s="72" t="s">
        <v>79</v>
      </c>
    </row>
    <row r="16" spans="2:16" ht="13.5" thickBot="1">
      <c r="B16" s="31" t="s">
        <v>20</v>
      </c>
      <c r="C16" s="12" t="s">
        <v>15</v>
      </c>
      <c r="D16" s="13" t="s">
        <v>21</v>
      </c>
      <c r="F16" s="17" t="s">
        <v>22</v>
      </c>
      <c r="G16" s="22" t="s">
        <v>69</v>
      </c>
      <c r="M16" s="70" t="s">
        <v>89</v>
      </c>
      <c r="N16" s="71">
        <v>3.0000000000000009E-2</v>
      </c>
      <c r="O16" s="72" t="s">
        <v>27</v>
      </c>
      <c r="P16" s="72" t="s">
        <v>79</v>
      </c>
    </row>
    <row r="17" spans="2:16">
      <c r="B17" s="52" t="s">
        <v>54</v>
      </c>
      <c r="C17" s="28">
        <v>0.98099999999999998</v>
      </c>
      <c r="D17" s="14">
        <v>0.15</v>
      </c>
      <c r="F17" s="18" t="s">
        <v>23</v>
      </c>
      <c r="G17" s="23">
        <f ca="1">G20</f>
        <v>43215</v>
      </c>
      <c r="M17" s="70" t="s">
        <v>90</v>
      </c>
      <c r="N17" s="71">
        <v>3.100000000000001E-2</v>
      </c>
      <c r="O17" s="72" t="s">
        <v>27</v>
      </c>
      <c r="P17" s="72" t="s">
        <v>79</v>
      </c>
    </row>
    <row r="18" spans="2:16">
      <c r="B18" s="53" t="s">
        <v>55</v>
      </c>
      <c r="C18" s="29">
        <v>0.98050000000000004</v>
      </c>
      <c r="D18" s="15">
        <v>0.15</v>
      </c>
      <c r="F18" s="19" t="s">
        <v>18</v>
      </c>
      <c r="G18" s="24">
        <f ca="1">G17</f>
        <v>43215</v>
      </c>
      <c r="M18" s="70" t="s">
        <v>91</v>
      </c>
      <c r="N18" s="71">
        <v>3.2000000000000008E-2</v>
      </c>
      <c r="O18" s="72" t="s">
        <v>27</v>
      </c>
      <c r="P18" s="72" t="s">
        <v>79</v>
      </c>
    </row>
    <row r="19" spans="2:16">
      <c r="B19" s="53" t="s">
        <v>56</v>
      </c>
      <c r="C19" s="29">
        <v>0.98</v>
      </c>
      <c r="D19" s="15">
        <v>0.15</v>
      </c>
      <c r="F19" s="20" t="s">
        <v>17</v>
      </c>
      <c r="G19" s="25" t="str">
        <f>$G$6</f>
        <v>QR_EOD</v>
      </c>
      <c r="M19" s="70" t="s">
        <v>92</v>
      </c>
      <c r="N19" s="71">
        <v>3.3000000000000008E-2</v>
      </c>
      <c r="O19" s="72" t="s">
        <v>27</v>
      </c>
      <c r="P19" s="72" t="s">
        <v>79</v>
      </c>
    </row>
    <row r="20" spans="2:16">
      <c r="B20" s="53" t="s">
        <v>57</v>
      </c>
      <c r="C20" s="29">
        <v>0.97950000000000004</v>
      </c>
      <c r="D20" s="15">
        <v>0.15</v>
      </c>
      <c r="F20" s="20" t="s">
        <v>47</v>
      </c>
      <c r="G20" s="55">
        <f ca="1">$G$7-1</f>
        <v>43215</v>
      </c>
      <c r="M20" s="70" t="s">
        <v>93</v>
      </c>
      <c r="N20" s="71">
        <v>3.4000000000000009E-2</v>
      </c>
      <c r="O20" s="72" t="s">
        <v>27</v>
      </c>
      <c r="P20" s="72" t="s">
        <v>79</v>
      </c>
    </row>
    <row r="21" spans="2:16" ht="13.5" thickBot="1">
      <c r="B21" s="53" t="s">
        <v>58</v>
      </c>
      <c r="C21" s="29">
        <v>0.97899999999999998</v>
      </c>
      <c r="D21" s="15">
        <v>0.15</v>
      </c>
      <c r="F21" s="20" t="s">
        <v>70</v>
      </c>
      <c r="G21" s="25" t="s">
        <v>66</v>
      </c>
      <c r="M21" s="70" t="s">
        <v>94</v>
      </c>
      <c r="N21" s="71">
        <v>3.4100000000000012E-2</v>
      </c>
      <c r="O21" s="72" t="s">
        <v>27</v>
      </c>
      <c r="P21" s="72" t="s">
        <v>79</v>
      </c>
    </row>
    <row r="22" spans="2:16">
      <c r="B22" s="53" t="s">
        <v>59</v>
      </c>
      <c r="C22" s="29">
        <v>0.97850000000000004</v>
      </c>
      <c r="D22" s="15">
        <v>0.15</v>
      </c>
      <c r="F22" s="20" t="s">
        <v>63</v>
      </c>
      <c r="G22" s="25" t="s">
        <v>71</v>
      </c>
      <c r="I22" t="str">
        <f ca="1">G6&amp;"."&amp;TEXT(G7,"YYYY-MM-DD")</f>
        <v>QR_EOD.2018-04-26</v>
      </c>
      <c r="K22" s="79">
        <f>100-100*C17</f>
        <v>1.9000000000000057</v>
      </c>
      <c r="M22" s="73" t="s">
        <v>54</v>
      </c>
      <c r="N22" s="74">
        <f>K22</f>
        <v>1.9000000000000057</v>
      </c>
      <c r="O22" s="74" t="s">
        <v>27</v>
      </c>
      <c r="P22" s="74" t="s">
        <v>98</v>
      </c>
    </row>
    <row r="23" spans="2:16">
      <c r="B23" s="53" t="s">
        <v>60</v>
      </c>
      <c r="C23" s="29">
        <v>0.97799999999999998</v>
      </c>
      <c r="D23" s="15">
        <v>0.15</v>
      </c>
      <c r="F23" s="19" t="s">
        <v>62</v>
      </c>
      <c r="G23" s="26" t="s">
        <v>104</v>
      </c>
      <c r="I23" t="str">
        <f ca="1">G19&amp;"."&amp;TEXT(G20,"YYYY-MM-DD")</f>
        <v>QR_EOD.2018-04-25</v>
      </c>
      <c r="M23" s="75" t="s">
        <v>54</v>
      </c>
      <c r="N23" s="80">
        <v>0.15</v>
      </c>
      <c r="O23" s="76" t="s">
        <v>95</v>
      </c>
      <c r="P23" s="76" t="s">
        <v>96</v>
      </c>
    </row>
    <row r="24" spans="2:16" ht="13.5" thickBot="1">
      <c r="B24" s="54" t="s">
        <v>61</v>
      </c>
      <c r="C24" s="30">
        <v>0.97750000000000004</v>
      </c>
      <c r="D24" s="16">
        <v>0.15</v>
      </c>
      <c r="F24" s="19" t="s">
        <v>24</v>
      </c>
      <c r="G24" s="25">
        <v>0</v>
      </c>
      <c r="I24" t="str">
        <f ca="1">G32&amp;"."&amp;TEXT(G33,"YYYY-MM-DD")</f>
        <v>QR_EOD.2018-04-24</v>
      </c>
      <c r="K24" s="79">
        <f>100-100*C18</f>
        <v>1.9500000000000028</v>
      </c>
      <c r="M24" s="75" t="s">
        <v>55</v>
      </c>
      <c r="N24" s="76">
        <f>K24</f>
        <v>1.9500000000000028</v>
      </c>
      <c r="O24" s="76" t="s">
        <v>27</v>
      </c>
      <c r="P24" s="76" t="s">
        <v>98</v>
      </c>
    </row>
    <row r="25" spans="2:16" ht="13.5" thickBot="1">
      <c r="F25" s="19" t="s">
        <v>25</v>
      </c>
      <c r="G25" s="25" t="s">
        <v>72</v>
      </c>
      <c r="I25" t="str">
        <f ca="1">G45&amp;"."&amp;TEXT(G46,"YYYY-MM-DD")</f>
        <v>QR_EOD.2018-04-23</v>
      </c>
      <c r="M25" s="75" t="s">
        <v>55</v>
      </c>
      <c r="N25" s="80">
        <v>0.15</v>
      </c>
      <c r="O25" s="76" t="s">
        <v>95</v>
      </c>
      <c r="P25" s="76" t="s">
        <v>96</v>
      </c>
    </row>
    <row r="26" spans="2:16">
      <c r="B26" s="52" t="str">
        <f>B17</f>
        <v>AUD-IRFuture-IR-1</v>
      </c>
      <c r="C26" s="28">
        <f>C17+0.001</f>
        <v>0.98199999999999998</v>
      </c>
      <c r="D26" s="14">
        <f>D17+0.05</f>
        <v>0.2</v>
      </c>
      <c r="F26" s="19" t="s">
        <v>27</v>
      </c>
      <c r="G26" s="25" t="s">
        <v>64</v>
      </c>
      <c r="I26" t="str">
        <f ca="1">G58&amp;"."&amp;TEXT(G59,"YYYY-MM-DD")</f>
        <v>QR_EOD.2018-04-22</v>
      </c>
      <c r="K26" s="79">
        <f>100-100*C19</f>
        <v>2</v>
      </c>
      <c r="M26" s="75" t="s">
        <v>56</v>
      </c>
      <c r="N26" s="76">
        <f>K26</f>
        <v>2</v>
      </c>
      <c r="O26" s="76" t="s">
        <v>27</v>
      </c>
      <c r="P26" s="76" t="s">
        <v>98</v>
      </c>
    </row>
    <row r="27" spans="2:16" ht="13.5" thickBot="1">
      <c r="B27" s="53" t="str">
        <f t="shared" ref="B27:B33" si="0">B18</f>
        <v>AUD-IRFuture-IR-2</v>
      </c>
      <c r="C27" s="29">
        <f t="shared" ref="C27:C33" si="1">C18+0.001</f>
        <v>0.98150000000000004</v>
      </c>
      <c r="D27" s="15">
        <f t="shared" ref="D27:D33" si="2">D18+0.05</f>
        <v>0.2</v>
      </c>
      <c r="F27" s="21" t="s">
        <v>26</v>
      </c>
      <c r="G27" s="27" t="s">
        <v>0</v>
      </c>
      <c r="M27" s="75" t="s">
        <v>56</v>
      </c>
      <c r="N27" s="80">
        <v>0.15</v>
      </c>
      <c r="O27" s="76" t="s">
        <v>95</v>
      </c>
      <c r="P27" s="76" t="s">
        <v>96</v>
      </c>
    </row>
    <row r="28" spans="2:16" ht="13.5" thickBot="1">
      <c r="B28" s="53" t="str">
        <f t="shared" si="0"/>
        <v>AUD-IRFuture-IR-3</v>
      </c>
      <c r="C28" s="29">
        <f t="shared" si="1"/>
        <v>0.98099999999999998</v>
      </c>
      <c r="D28" s="15">
        <f t="shared" si="2"/>
        <v>0.2</v>
      </c>
      <c r="F28" s="88" t="str">
        <f ca="1">_xll.HLV5r3.Financial.Cache.CreateCurve(F29:G40, $B$35:$D$42)</f>
        <v>Market.QR_EOD.2018-04-24.ExchangeTradedCurve.AUD-ASXT-IR</v>
      </c>
      <c r="G28" s="89"/>
      <c r="K28" s="79">
        <f>100-100*C20</f>
        <v>2.0499999999999972</v>
      </c>
      <c r="M28" s="75" t="s">
        <v>57</v>
      </c>
      <c r="N28" s="76">
        <f>K28</f>
        <v>2.0499999999999972</v>
      </c>
      <c r="O28" s="76" t="s">
        <v>27</v>
      </c>
      <c r="P28" s="76" t="s">
        <v>98</v>
      </c>
    </row>
    <row r="29" spans="2:16" ht="13.5" thickBot="1">
      <c r="B29" s="53" t="str">
        <f t="shared" si="0"/>
        <v>AUD-IRFuture-IR-4</v>
      </c>
      <c r="C29" s="29">
        <f t="shared" si="1"/>
        <v>0.98050000000000004</v>
      </c>
      <c r="D29" s="15">
        <f t="shared" si="2"/>
        <v>0.2</v>
      </c>
      <c r="F29" s="17" t="s">
        <v>22</v>
      </c>
      <c r="G29" s="22" t="s">
        <v>69</v>
      </c>
      <c r="M29" s="75" t="s">
        <v>57</v>
      </c>
      <c r="N29" s="80">
        <v>0.15</v>
      </c>
      <c r="O29" s="76" t="s">
        <v>95</v>
      </c>
      <c r="P29" s="76" t="s">
        <v>96</v>
      </c>
    </row>
    <row r="30" spans="2:16">
      <c r="B30" s="53" t="str">
        <f t="shared" si="0"/>
        <v>AUD-IRFuture-IR-5</v>
      </c>
      <c r="C30" s="29">
        <f t="shared" si="1"/>
        <v>0.98</v>
      </c>
      <c r="D30" s="15">
        <f t="shared" si="2"/>
        <v>0.2</v>
      </c>
      <c r="F30" s="18" t="s">
        <v>23</v>
      </c>
      <c r="G30" s="23">
        <f ca="1">G33</f>
        <v>43214</v>
      </c>
      <c r="K30" s="79">
        <f>100-100*C21</f>
        <v>2.1000000000000085</v>
      </c>
      <c r="M30" s="75" t="s">
        <v>58</v>
      </c>
      <c r="N30" s="76">
        <f>K30</f>
        <v>2.1000000000000085</v>
      </c>
      <c r="O30" s="76" t="s">
        <v>27</v>
      </c>
      <c r="P30" s="76" t="s">
        <v>98</v>
      </c>
    </row>
    <row r="31" spans="2:16">
      <c r="B31" s="53" t="str">
        <f t="shared" si="0"/>
        <v>AUD-IRFuture-IR-6</v>
      </c>
      <c r="C31" s="29">
        <f t="shared" si="1"/>
        <v>0.97950000000000004</v>
      </c>
      <c r="D31" s="15">
        <f t="shared" si="2"/>
        <v>0.2</v>
      </c>
      <c r="F31" s="19" t="s">
        <v>18</v>
      </c>
      <c r="G31" s="24">
        <f ca="1">G30</f>
        <v>43214</v>
      </c>
      <c r="M31" s="75" t="s">
        <v>58</v>
      </c>
      <c r="N31" s="80">
        <v>0.15</v>
      </c>
      <c r="O31" s="76" t="s">
        <v>95</v>
      </c>
      <c r="P31" s="76" t="s">
        <v>96</v>
      </c>
    </row>
    <row r="32" spans="2:16">
      <c r="B32" s="53" t="str">
        <f t="shared" si="0"/>
        <v>AUD-IRFuture-IR-7</v>
      </c>
      <c r="C32" s="29">
        <f t="shared" si="1"/>
        <v>0.97899999999999998</v>
      </c>
      <c r="D32" s="15">
        <f t="shared" si="2"/>
        <v>0.2</v>
      </c>
      <c r="F32" s="20" t="s">
        <v>17</v>
      </c>
      <c r="G32" s="25" t="str">
        <f>$G$6</f>
        <v>QR_EOD</v>
      </c>
      <c r="K32" s="79">
        <f>100-100*C22</f>
        <v>2.1499999999999915</v>
      </c>
      <c r="M32" s="75" t="s">
        <v>59</v>
      </c>
      <c r="N32" s="76">
        <f>K32</f>
        <v>2.1499999999999915</v>
      </c>
      <c r="O32" s="76" t="s">
        <v>27</v>
      </c>
      <c r="P32" s="76" t="s">
        <v>98</v>
      </c>
    </row>
    <row r="33" spans="2:16" ht="13.5" thickBot="1">
      <c r="B33" s="54" t="str">
        <f t="shared" si="0"/>
        <v>AUD-IRFuture-IR-8</v>
      </c>
      <c r="C33" s="30">
        <f t="shared" si="1"/>
        <v>0.97850000000000004</v>
      </c>
      <c r="D33" s="16">
        <f t="shared" si="2"/>
        <v>0.2</v>
      </c>
      <c r="F33" s="20" t="s">
        <v>47</v>
      </c>
      <c r="G33" s="55">
        <f ca="1">$G$7-2</f>
        <v>43214</v>
      </c>
      <c r="M33" s="75" t="s">
        <v>59</v>
      </c>
      <c r="N33" s="80">
        <v>0.15</v>
      </c>
      <c r="O33" s="76" t="s">
        <v>95</v>
      </c>
      <c r="P33" s="76" t="s">
        <v>96</v>
      </c>
    </row>
    <row r="34" spans="2:16" ht="13.5" thickBot="1">
      <c r="F34" s="20" t="s">
        <v>70</v>
      </c>
      <c r="G34" s="25" t="s">
        <v>66</v>
      </c>
      <c r="K34" s="79">
        <f>100-100*C23</f>
        <v>2.2000000000000028</v>
      </c>
      <c r="M34" s="75" t="s">
        <v>60</v>
      </c>
      <c r="N34" s="76">
        <f>K34</f>
        <v>2.2000000000000028</v>
      </c>
      <c r="O34" s="76" t="s">
        <v>27</v>
      </c>
      <c r="P34" s="76" t="s">
        <v>98</v>
      </c>
    </row>
    <row r="35" spans="2:16">
      <c r="B35" s="52" t="str">
        <f>B26</f>
        <v>AUD-IRFuture-IR-1</v>
      </c>
      <c r="C35" s="28">
        <f>C26-0.0005</f>
        <v>0.98150000000000004</v>
      </c>
      <c r="D35" s="14">
        <f>D26+0.05</f>
        <v>0.25</v>
      </c>
      <c r="F35" s="20" t="s">
        <v>63</v>
      </c>
      <c r="G35" s="25" t="s">
        <v>71</v>
      </c>
      <c r="M35" s="75" t="s">
        <v>60</v>
      </c>
      <c r="N35" s="80">
        <v>0.15</v>
      </c>
      <c r="O35" s="76" t="s">
        <v>95</v>
      </c>
      <c r="P35" s="76" t="s">
        <v>96</v>
      </c>
    </row>
    <row r="36" spans="2:16">
      <c r="B36" s="53" t="str">
        <f t="shared" ref="B36:B42" si="3">B27</f>
        <v>AUD-IRFuture-IR-2</v>
      </c>
      <c r="C36" s="29">
        <f t="shared" ref="C36:C42" si="4">C27-0.0005</f>
        <v>0.98100000000000009</v>
      </c>
      <c r="D36" s="15">
        <f t="shared" ref="D36:D42" si="5">D27+0.05</f>
        <v>0.25</v>
      </c>
      <c r="F36" s="19" t="s">
        <v>62</v>
      </c>
      <c r="G36" s="26" t="s">
        <v>104</v>
      </c>
      <c r="K36" s="79">
        <f>100-100*C24</f>
        <v>2.25</v>
      </c>
      <c r="M36" s="75" t="s">
        <v>61</v>
      </c>
      <c r="N36" s="76">
        <f>K36</f>
        <v>2.25</v>
      </c>
      <c r="O36" s="76" t="s">
        <v>27</v>
      </c>
      <c r="P36" s="76" t="s">
        <v>98</v>
      </c>
    </row>
    <row r="37" spans="2:16" ht="13.5" thickBot="1">
      <c r="B37" s="53" t="str">
        <f t="shared" si="3"/>
        <v>AUD-IRFuture-IR-3</v>
      </c>
      <c r="C37" s="29">
        <f t="shared" si="4"/>
        <v>0.98050000000000004</v>
      </c>
      <c r="D37" s="15">
        <f t="shared" si="5"/>
        <v>0.25</v>
      </c>
      <c r="F37" s="19" t="s">
        <v>24</v>
      </c>
      <c r="G37" s="25">
        <v>0</v>
      </c>
      <c r="M37" s="77" t="s">
        <v>61</v>
      </c>
      <c r="N37" s="81">
        <v>0.15</v>
      </c>
      <c r="O37" s="78" t="s">
        <v>95</v>
      </c>
      <c r="P37" s="78" t="s">
        <v>96</v>
      </c>
    </row>
    <row r="38" spans="2:16">
      <c r="B38" s="53" t="str">
        <f t="shared" si="3"/>
        <v>AUD-IRFuture-IR-4</v>
      </c>
      <c r="C38" s="29">
        <f t="shared" si="4"/>
        <v>0.98000000000000009</v>
      </c>
      <c r="D38" s="15">
        <f t="shared" si="5"/>
        <v>0.25</v>
      </c>
      <c r="F38" s="19" t="s">
        <v>25</v>
      </c>
      <c r="G38" s="25" t="s">
        <v>72</v>
      </c>
    </row>
    <row r="39" spans="2:16">
      <c r="B39" s="53" t="str">
        <f t="shared" si="3"/>
        <v>AUD-IRFuture-IR-5</v>
      </c>
      <c r="C39" s="29">
        <f t="shared" si="4"/>
        <v>0.97950000000000004</v>
      </c>
      <c r="D39" s="15">
        <f t="shared" si="5"/>
        <v>0.25</v>
      </c>
      <c r="F39" s="19" t="s">
        <v>27</v>
      </c>
      <c r="G39" s="25" t="s">
        <v>64</v>
      </c>
    </row>
    <row r="40" spans="2:16" ht="13.5" thickBot="1">
      <c r="B40" s="53" t="str">
        <f t="shared" si="3"/>
        <v>AUD-IRFuture-IR-6</v>
      </c>
      <c r="C40" s="29">
        <f t="shared" si="4"/>
        <v>0.97900000000000009</v>
      </c>
      <c r="D40" s="15">
        <f t="shared" si="5"/>
        <v>0.25</v>
      </c>
      <c r="F40" s="21" t="s">
        <v>26</v>
      </c>
      <c r="G40" s="27" t="s">
        <v>0</v>
      </c>
    </row>
    <row r="41" spans="2:16" ht="13.5" thickBot="1">
      <c r="B41" s="53" t="str">
        <f t="shared" si="3"/>
        <v>AUD-IRFuture-IR-7</v>
      </c>
      <c r="C41" s="29">
        <f t="shared" si="4"/>
        <v>0.97850000000000004</v>
      </c>
      <c r="D41" s="15">
        <f t="shared" si="5"/>
        <v>0.25</v>
      </c>
      <c r="F41" s="88" t="str">
        <f ca="1">_xll.HLV5r3.Financial.Cache.CreateCurve(F42:G53, $B$44:$D$51)</f>
        <v>Market.QR_EOD.2018-04-23.ExchangeTradedCurve.AUD-ASXT-IR</v>
      </c>
      <c r="G41" s="89"/>
    </row>
    <row r="42" spans="2:16" ht="13.5" thickBot="1">
      <c r="B42" s="54" t="str">
        <f t="shared" si="3"/>
        <v>AUD-IRFuture-IR-8</v>
      </c>
      <c r="C42" s="30">
        <f t="shared" si="4"/>
        <v>0.97800000000000009</v>
      </c>
      <c r="D42" s="16">
        <f t="shared" si="5"/>
        <v>0.25</v>
      </c>
      <c r="F42" s="17" t="s">
        <v>22</v>
      </c>
      <c r="G42" s="22" t="s">
        <v>69</v>
      </c>
    </row>
    <row r="43" spans="2:16" ht="13.5" thickBot="1">
      <c r="F43" s="18" t="s">
        <v>23</v>
      </c>
      <c r="G43" s="23">
        <f ca="1">G46</f>
        <v>43213</v>
      </c>
    </row>
    <row r="44" spans="2:16">
      <c r="B44" s="52" t="str">
        <f>B35</f>
        <v>AUD-IRFuture-IR-1</v>
      </c>
      <c r="C44" s="28">
        <f>C35+0.0002</f>
        <v>0.98170000000000002</v>
      </c>
      <c r="D44" s="14">
        <f>D35+0.05</f>
        <v>0.3</v>
      </c>
      <c r="F44" s="19" t="s">
        <v>18</v>
      </c>
      <c r="G44" s="24">
        <f ca="1">G43</f>
        <v>43213</v>
      </c>
    </row>
    <row r="45" spans="2:16">
      <c r="B45" s="53" t="str">
        <f t="shared" ref="B45:B51" si="6">B36</f>
        <v>AUD-IRFuture-IR-2</v>
      </c>
      <c r="C45" s="29">
        <f t="shared" ref="C45:C51" si="7">C36+0.0002</f>
        <v>0.98120000000000007</v>
      </c>
      <c r="D45" s="15">
        <f t="shared" ref="D45:D51" si="8">D36+0.05</f>
        <v>0.3</v>
      </c>
      <c r="F45" s="20" t="s">
        <v>17</v>
      </c>
      <c r="G45" s="25" t="str">
        <f>$G$6</f>
        <v>QR_EOD</v>
      </c>
    </row>
    <row r="46" spans="2:16">
      <c r="B46" s="53" t="str">
        <f t="shared" si="6"/>
        <v>AUD-IRFuture-IR-3</v>
      </c>
      <c r="C46" s="29">
        <f t="shared" si="7"/>
        <v>0.98070000000000002</v>
      </c>
      <c r="D46" s="15">
        <f t="shared" si="8"/>
        <v>0.3</v>
      </c>
      <c r="F46" s="20" t="s">
        <v>47</v>
      </c>
      <c r="G46" s="55">
        <f ca="1">$G$7-3</f>
        <v>43213</v>
      </c>
    </row>
    <row r="47" spans="2:16">
      <c r="B47" s="53" t="str">
        <f t="shared" si="6"/>
        <v>AUD-IRFuture-IR-4</v>
      </c>
      <c r="C47" s="29">
        <f t="shared" si="7"/>
        <v>0.98020000000000007</v>
      </c>
      <c r="D47" s="15">
        <f t="shared" si="8"/>
        <v>0.3</v>
      </c>
      <c r="F47" s="20" t="s">
        <v>70</v>
      </c>
      <c r="G47" s="25" t="s">
        <v>66</v>
      </c>
    </row>
    <row r="48" spans="2:16">
      <c r="B48" s="53" t="str">
        <f t="shared" si="6"/>
        <v>AUD-IRFuture-IR-5</v>
      </c>
      <c r="C48" s="29">
        <f t="shared" si="7"/>
        <v>0.97970000000000002</v>
      </c>
      <c r="D48" s="15">
        <f t="shared" si="8"/>
        <v>0.3</v>
      </c>
      <c r="F48" s="20" t="s">
        <v>63</v>
      </c>
      <c r="G48" s="25" t="s">
        <v>71</v>
      </c>
    </row>
    <row r="49" spans="2:7">
      <c r="B49" s="53" t="str">
        <f t="shared" si="6"/>
        <v>AUD-IRFuture-IR-6</v>
      </c>
      <c r="C49" s="29">
        <f t="shared" si="7"/>
        <v>0.97920000000000007</v>
      </c>
      <c r="D49" s="15">
        <f t="shared" si="8"/>
        <v>0.3</v>
      </c>
      <c r="F49" s="19" t="s">
        <v>62</v>
      </c>
      <c r="G49" s="26" t="s">
        <v>104</v>
      </c>
    </row>
    <row r="50" spans="2:7">
      <c r="B50" s="53" t="str">
        <f t="shared" si="6"/>
        <v>AUD-IRFuture-IR-7</v>
      </c>
      <c r="C50" s="29">
        <f t="shared" si="7"/>
        <v>0.97870000000000001</v>
      </c>
      <c r="D50" s="15">
        <f t="shared" si="8"/>
        <v>0.3</v>
      </c>
      <c r="F50" s="19" t="s">
        <v>24</v>
      </c>
      <c r="G50" s="25">
        <v>0</v>
      </c>
    </row>
    <row r="51" spans="2:7" ht="13.5" thickBot="1">
      <c r="B51" s="54" t="str">
        <f t="shared" si="6"/>
        <v>AUD-IRFuture-IR-8</v>
      </c>
      <c r="C51" s="30">
        <f t="shared" si="7"/>
        <v>0.97820000000000007</v>
      </c>
      <c r="D51" s="16">
        <f t="shared" si="8"/>
        <v>0.3</v>
      </c>
      <c r="F51" s="19" t="s">
        <v>25</v>
      </c>
      <c r="G51" s="25" t="s">
        <v>72</v>
      </c>
    </row>
    <row r="52" spans="2:7" ht="13.5" thickBot="1">
      <c r="F52" s="19" t="s">
        <v>27</v>
      </c>
      <c r="G52" s="25" t="s">
        <v>64</v>
      </c>
    </row>
    <row r="53" spans="2:7" ht="13.5" thickBot="1">
      <c r="B53" s="52" t="str">
        <f>B44</f>
        <v>AUD-IRFuture-IR-1</v>
      </c>
      <c r="C53" s="28">
        <f>C44+0.0002</f>
        <v>0.9819</v>
      </c>
      <c r="D53" s="14">
        <f>D44+0.05</f>
        <v>0.35</v>
      </c>
      <c r="F53" s="21" t="s">
        <v>26</v>
      </c>
      <c r="G53" s="27" t="s">
        <v>0</v>
      </c>
    </row>
    <row r="54" spans="2:7" ht="13.5" thickBot="1">
      <c r="B54" s="53" t="str">
        <f t="shared" ref="B54:B60" si="9">B45</f>
        <v>AUD-IRFuture-IR-2</v>
      </c>
      <c r="C54" s="29">
        <f t="shared" ref="C54:C60" si="10">C45+0.0002</f>
        <v>0.98140000000000005</v>
      </c>
      <c r="D54" s="15">
        <f t="shared" ref="D54:D60" si="11">D45+0.05</f>
        <v>0.35</v>
      </c>
      <c r="F54" s="88" t="str">
        <f ca="1">_xll.HLV5r3.Financial.Cache.CreateCurve(F55:G66, $B$53:$D$60)</f>
        <v>Market.QR_EOD.2018-04-22.ExchangeTradedCurve.AUD-ASXT-IR</v>
      </c>
      <c r="G54" s="89"/>
    </row>
    <row r="55" spans="2:7" ht="13.5" thickBot="1">
      <c r="B55" s="53" t="str">
        <f t="shared" si="9"/>
        <v>AUD-IRFuture-IR-3</v>
      </c>
      <c r="C55" s="29">
        <f t="shared" si="10"/>
        <v>0.98089999999999999</v>
      </c>
      <c r="D55" s="15">
        <f t="shared" si="11"/>
        <v>0.35</v>
      </c>
      <c r="F55" s="17" t="s">
        <v>22</v>
      </c>
      <c r="G55" s="22" t="s">
        <v>69</v>
      </c>
    </row>
    <row r="56" spans="2:7">
      <c r="B56" s="53" t="str">
        <f t="shared" si="9"/>
        <v>AUD-IRFuture-IR-4</v>
      </c>
      <c r="C56" s="29">
        <f t="shared" si="10"/>
        <v>0.98040000000000005</v>
      </c>
      <c r="D56" s="15">
        <f t="shared" si="11"/>
        <v>0.35</v>
      </c>
      <c r="F56" s="18" t="s">
        <v>23</v>
      </c>
      <c r="G56" s="23">
        <f ca="1">G59</f>
        <v>43212</v>
      </c>
    </row>
    <row r="57" spans="2:7">
      <c r="B57" s="53" t="str">
        <f t="shared" si="9"/>
        <v>AUD-IRFuture-IR-5</v>
      </c>
      <c r="C57" s="29">
        <f t="shared" si="10"/>
        <v>0.97989999999999999</v>
      </c>
      <c r="D57" s="15">
        <f t="shared" si="11"/>
        <v>0.35</v>
      </c>
      <c r="F57" s="19" t="s">
        <v>18</v>
      </c>
      <c r="G57" s="24">
        <f ca="1">G56</f>
        <v>43212</v>
      </c>
    </row>
    <row r="58" spans="2:7">
      <c r="B58" s="53" t="str">
        <f t="shared" si="9"/>
        <v>AUD-IRFuture-IR-6</v>
      </c>
      <c r="C58" s="29">
        <f t="shared" si="10"/>
        <v>0.97940000000000005</v>
      </c>
      <c r="D58" s="15">
        <f t="shared" si="11"/>
        <v>0.35</v>
      </c>
      <c r="F58" s="20" t="s">
        <v>17</v>
      </c>
      <c r="G58" s="25" t="str">
        <f>$G$6</f>
        <v>QR_EOD</v>
      </c>
    </row>
    <row r="59" spans="2:7">
      <c r="B59" s="53" t="str">
        <f t="shared" si="9"/>
        <v>AUD-IRFuture-IR-7</v>
      </c>
      <c r="C59" s="29">
        <f t="shared" si="10"/>
        <v>0.97889999999999999</v>
      </c>
      <c r="D59" s="15">
        <f t="shared" si="11"/>
        <v>0.35</v>
      </c>
      <c r="F59" s="20" t="s">
        <v>47</v>
      </c>
      <c r="G59" s="55">
        <f ca="1">$G$7-4</f>
        <v>43212</v>
      </c>
    </row>
    <row r="60" spans="2:7" ht="13.5" thickBot="1">
      <c r="B60" s="54" t="str">
        <f t="shared" si="9"/>
        <v>AUD-IRFuture-IR-8</v>
      </c>
      <c r="C60" s="30">
        <f t="shared" si="10"/>
        <v>0.97840000000000005</v>
      </c>
      <c r="D60" s="16">
        <f t="shared" si="11"/>
        <v>0.35</v>
      </c>
      <c r="F60" s="20" t="s">
        <v>70</v>
      </c>
      <c r="G60" s="25" t="s">
        <v>66</v>
      </c>
    </row>
    <row r="61" spans="2:7">
      <c r="F61" s="20" t="s">
        <v>63</v>
      </c>
      <c r="G61" s="25" t="s">
        <v>71</v>
      </c>
    </row>
    <row r="62" spans="2:7">
      <c r="F62" s="19" t="s">
        <v>62</v>
      </c>
      <c r="G62" s="26" t="s">
        <v>104</v>
      </c>
    </row>
    <row r="63" spans="2:7">
      <c r="F63" s="19" t="s">
        <v>24</v>
      </c>
      <c r="G63" s="25">
        <v>0</v>
      </c>
    </row>
    <row r="64" spans="2:7">
      <c r="F64" s="19" t="s">
        <v>25</v>
      </c>
      <c r="G64" s="25" t="s">
        <v>72</v>
      </c>
    </row>
    <row r="65" spans="6:7">
      <c r="F65" s="19" t="s">
        <v>27</v>
      </c>
      <c r="G65" s="25" t="s">
        <v>64</v>
      </c>
    </row>
    <row r="66" spans="6:7" ht="13.5" thickBot="1">
      <c r="F66" s="21" t="s">
        <v>26</v>
      </c>
      <c r="G66" s="27" t="s">
        <v>0</v>
      </c>
    </row>
  </sheetData>
  <mergeCells count="7">
    <mergeCell ref="I2:J2"/>
    <mergeCell ref="B2:C2"/>
    <mergeCell ref="F54:G54"/>
    <mergeCell ref="F41:G41"/>
    <mergeCell ref="F28:G28"/>
    <mergeCell ref="F15:G15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workbookViewId="0">
      <selection activeCell="E29" sqref="E29"/>
    </sheetView>
  </sheetViews>
  <sheetFormatPr defaultRowHeight="12.75"/>
  <cols>
    <col min="2" max="2" width="13.7109375" bestFit="1" customWidth="1"/>
    <col min="3" max="3" width="26.5703125" bestFit="1" customWidth="1"/>
    <col min="4" max="4" width="2.7109375" customWidth="1"/>
    <col min="5" max="5" width="86.5703125" bestFit="1" customWidth="1"/>
    <col min="6" max="6" width="17.5703125" bestFit="1" customWidth="1"/>
    <col min="8" max="8" width="16.42578125" bestFit="1" customWidth="1"/>
  </cols>
  <sheetData>
    <row r="1" spans="2:8">
      <c r="H1" t="str">
        <f t="array" ref="H1:H13">_xll.HLV5r3.Financial.Cache.SupportedFuturesMetrics()</f>
        <v>NPV</v>
      </c>
    </row>
    <row r="2" spans="2:8">
      <c r="B2" t="s">
        <v>98</v>
      </c>
      <c r="C2" s="79">
        <v>0.95</v>
      </c>
      <c r="H2" t="str">
        <v>NPVChange</v>
      </c>
    </row>
    <row r="3" spans="2:8">
      <c r="B3" t="s">
        <v>50</v>
      </c>
      <c r="C3" t="s">
        <v>51</v>
      </c>
      <c r="E3" s="5" t="s">
        <v>39</v>
      </c>
      <c r="H3" t="str">
        <v>ImpliedQuote</v>
      </c>
    </row>
    <row r="4" spans="2:8">
      <c r="B4" t="s">
        <v>67</v>
      </c>
      <c r="C4" s="82">
        <v>100</v>
      </c>
      <c r="E4" s="5" t="s">
        <v>99</v>
      </c>
      <c r="H4" t="str">
        <v>MarketQuote</v>
      </c>
    </row>
    <row r="5" spans="2:8">
      <c r="B5" t="s">
        <v>2</v>
      </c>
      <c r="C5" s="2">
        <f ca="1">TODAY()</f>
        <v>43217</v>
      </c>
      <c r="E5" s="5" t="s">
        <v>27</v>
      </c>
      <c r="H5" t="str">
        <v>IndexAtMaturity</v>
      </c>
    </row>
    <row r="6" spans="2:8">
      <c r="B6" t="s">
        <v>103</v>
      </c>
      <c r="C6" s="2">
        <f ca="1">C5</f>
        <v>43217</v>
      </c>
      <c r="E6" s="5" t="s">
        <v>100</v>
      </c>
      <c r="H6" t="str">
        <v>PandL</v>
      </c>
    </row>
    <row r="7" spans="2:8">
      <c r="B7" t="s">
        <v>6</v>
      </c>
      <c r="C7" t="b">
        <v>1</v>
      </c>
      <c r="E7" s="5" t="s">
        <v>44</v>
      </c>
      <c r="H7" t="str">
        <v>InitialMargin</v>
      </c>
    </row>
    <row r="8" spans="2:8">
      <c r="B8" t="s">
        <v>7</v>
      </c>
      <c r="C8" t="s">
        <v>46</v>
      </c>
      <c r="E8" s="5" t="s">
        <v>101</v>
      </c>
      <c r="H8" t="str">
        <v>VariationMargin</v>
      </c>
    </row>
    <row r="9" spans="2:8">
      <c r="B9" s="8" t="s">
        <v>19</v>
      </c>
      <c r="C9" s="9" t="s">
        <v>65</v>
      </c>
      <c r="E9" s="5" t="s">
        <v>102</v>
      </c>
      <c r="H9" t="e">
        <v>#N/A</v>
      </c>
    </row>
    <row r="10" spans="2:8">
      <c r="B10" t="s">
        <v>4</v>
      </c>
      <c r="C10" t="s">
        <v>5</v>
      </c>
      <c r="H10" t="e">
        <v>#N/A</v>
      </c>
    </row>
    <row r="11" spans="2:8">
      <c r="B11" t="s">
        <v>3</v>
      </c>
      <c r="C11" t="s">
        <v>1</v>
      </c>
      <c r="H11" t="e">
        <v>#N/A</v>
      </c>
    </row>
    <row r="12" spans="2:8">
      <c r="B12" t="s">
        <v>70</v>
      </c>
      <c r="C12" t="s">
        <v>54</v>
      </c>
      <c r="H12" t="e">
        <v>#N/A</v>
      </c>
    </row>
    <row r="13" spans="2:8">
      <c r="B13" s="90" t="str">
        <f ca="1">_xll.HLV5r3.Financial.Cache.CreateIRFutureTradeWithProperties(C8,C7,C10,C11,C5,C6,C4,C2,C12,B10:C11)</f>
        <v>Trade.SpreadSheet.futureTransaction.IRFuture.testtrade_001</v>
      </c>
      <c r="C13" s="90"/>
      <c r="E13" t="s">
        <v>14</v>
      </c>
      <c r="H13" t="e">
        <v>#N/A</v>
      </c>
    </row>
    <row r="14" spans="2:8">
      <c r="G14" s="8" t="s">
        <v>16</v>
      </c>
    </row>
    <row r="15" spans="2:8">
      <c r="B15" t="str">
        <f t="array" aca="1" ref="B15:C36" ca="1">_xll.HLV5r3.Financial.Cache.ViewTrade(B13)</f>
        <v>buyerPartyReference</v>
      </c>
      <c r="C15" t="str">
        <f ca="1"/>
        <v>Party1</v>
      </c>
    </row>
    <row r="16" spans="2:8">
      <c r="B16" t="str">
        <f ca="1"/>
        <v>sellerPartyReference</v>
      </c>
      <c r="C16" t="str">
        <f ca="1"/>
        <v>Party2</v>
      </c>
      <c r="E16" t="str">
        <f t="array" aca="1" ref="E16:F22" ca="1">_xll.HLV5r3.Financial.Cache.ViewValuationReport(E28)</f>
        <v>NPV</v>
      </c>
      <c r="F16" s="50">
        <f ca="1"/>
        <v>0</v>
      </c>
    </row>
    <row r="17" spans="2:7">
      <c r="B17" t="str">
        <f ca="1"/>
        <v>numberOfUnits</v>
      </c>
      <c r="C17" s="7">
        <f ca="1"/>
        <v>100</v>
      </c>
      <c r="E17" t="str">
        <f ca="1"/>
        <v>ImpliedQuote</v>
      </c>
      <c r="F17" s="50">
        <f ca="1"/>
        <v>0</v>
      </c>
    </row>
    <row r="18" spans="2:7">
      <c r="B18" t="str">
        <f ca="1"/>
        <v>currency</v>
      </c>
      <c r="C18" t="str">
        <f ca="1"/>
        <v>AUD</v>
      </c>
      <c r="E18" t="str">
        <f ca="1"/>
        <v>MarketQuote</v>
      </c>
      <c r="F18" s="58">
        <f ca="1"/>
        <v>0</v>
      </c>
    </row>
    <row r="19" spans="2:7">
      <c r="B19" t="str">
        <f ca="1"/>
        <v>amount</v>
      </c>
      <c r="C19" s="83">
        <f ca="1"/>
        <v>0.95</v>
      </c>
      <c r="E19" t="str">
        <f ca="1"/>
        <v>IndexAtMaturity</v>
      </c>
      <c r="F19" s="58">
        <f ca="1"/>
        <v>0</v>
      </c>
    </row>
    <row r="20" spans="2:7">
      <c r="B20" t="str">
        <f ca="1"/>
        <v>maturity</v>
      </c>
      <c r="C20" s="2">
        <f ca="1"/>
        <v>43259</v>
      </c>
      <c r="E20" t="str">
        <f ca="1"/>
        <v>PandL</v>
      </c>
      <c r="F20">
        <f ca="1"/>
        <v>0</v>
      </c>
    </row>
    <row r="21" spans="2:7">
      <c r="B21" t="str">
        <f ca="1"/>
        <v>id</v>
      </c>
      <c r="C21" s="6" t="str">
        <f ca="1"/>
        <v>AUD-IRFuture-IR-1</v>
      </c>
      <c r="E21" t="e">
        <f ca="1"/>
        <v>#N/A</v>
      </c>
      <c r="F21" t="e">
        <f ca="1"/>
        <v>#N/A</v>
      </c>
    </row>
    <row r="22" spans="2:7">
      <c r="B22" t="str">
        <f ca="1"/>
        <v>paryt1</v>
      </c>
      <c r="C22" t="str">
        <f ca="1"/>
        <v>CBA</v>
      </c>
      <c r="E22" t="e">
        <f ca="1"/>
        <v>#N/A</v>
      </c>
      <c r="F22" t="e">
        <f ca="1"/>
        <v>#N/A</v>
      </c>
    </row>
    <row r="23" spans="2:7">
      <c r="B23" t="str">
        <f ca="1"/>
        <v>party2</v>
      </c>
      <c r="C23" t="str">
        <f ca="1"/>
        <v>NAB</v>
      </c>
    </row>
    <row r="24" spans="2:7">
      <c r="B24" t="str">
        <f ca="1"/>
        <v>exchangeId</v>
      </c>
      <c r="C24" t="str">
        <f ca="1"/>
        <v>ASXT</v>
      </c>
    </row>
    <row r="25" spans="2:7">
      <c r="B25" t="e">
        <f ca="1"/>
        <v>#N/A</v>
      </c>
      <c r="C25" t="e">
        <f ca="1"/>
        <v>#N/A</v>
      </c>
    </row>
    <row r="26" spans="2:7">
      <c r="B26" t="e">
        <f ca="1"/>
        <v>#N/A</v>
      </c>
      <c r="C26" t="e">
        <f ca="1"/>
        <v>#N/A</v>
      </c>
    </row>
    <row r="27" spans="2:7">
      <c r="B27" t="e">
        <f ca="1"/>
        <v>#N/A</v>
      </c>
      <c r="C27" t="e">
        <f ca="1"/>
        <v>#N/A</v>
      </c>
    </row>
    <row r="28" spans="2:7">
      <c r="B28" t="e">
        <f ca="1"/>
        <v>#N/A</v>
      </c>
      <c r="C28" t="e">
        <f ca="1"/>
        <v>#N/A</v>
      </c>
      <c r="E28" s="1" t="str">
        <f ca="1">_xll.HLV5r3.Financial.Cache.ValueTradeFromMarket($B$13,$C$10,$E$3:$E$7,"AUD",G28,$C$5)</f>
        <v>ValuationReport.LOCAL_USER.Orion.futureTransaction.testtrade_001.QR_LIVE</v>
      </c>
      <c r="G28" t="str">
        <f>FuturesCurve!C6</f>
        <v>QR_LIVE</v>
      </c>
    </row>
    <row r="29" spans="2:7">
      <c r="B29" t="e">
        <f ca="1"/>
        <v>#N/A</v>
      </c>
      <c r="C29" t="e">
        <f ca="1"/>
        <v>#N/A</v>
      </c>
      <c r="E29" s="1"/>
      <c r="G29" t="str">
        <f ca="1">FuturesCurve!I22</f>
        <v>QR_EOD.2018-04-26</v>
      </c>
    </row>
    <row r="30" spans="2:7">
      <c r="B30" t="e">
        <f ca="1"/>
        <v>#N/A</v>
      </c>
      <c r="C30" t="e">
        <f ca="1"/>
        <v>#N/A</v>
      </c>
      <c r="E30" s="1"/>
      <c r="G30" t="str">
        <f ca="1">FuturesCurve!I23</f>
        <v>QR_EOD.2018-04-25</v>
      </c>
    </row>
    <row r="31" spans="2:7">
      <c r="B31" t="e">
        <f ca="1"/>
        <v>#N/A</v>
      </c>
      <c r="C31" t="e">
        <f ca="1"/>
        <v>#N/A</v>
      </c>
      <c r="E31" s="1"/>
      <c r="G31" t="str">
        <f ca="1">FuturesCurve!I24</f>
        <v>QR_EOD.2018-04-24</v>
      </c>
    </row>
    <row r="32" spans="2:7">
      <c r="B32" t="e">
        <f ca="1"/>
        <v>#N/A</v>
      </c>
      <c r="C32" t="e">
        <f ca="1"/>
        <v>#N/A</v>
      </c>
      <c r="E32" s="1"/>
      <c r="G32" t="str">
        <f ca="1">FuturesCurve!I25</f>
        <v>QR_EOD.2018-04-23</v>
      </c>
    </row>
    <row r="33" spans="2:7">
      <c r="B33" t="e">
        <f ca="1"/>
        <v>#N/A</v>
      </c>
      <c r="C33" t="e">
        <f ca="1"/>
        <v>#N/A</v>
      </c>
      <c r="E33" s="1"/>
      <c r="G33" t="str">
        <f ca="1">FuturesCurve!I26</f>
        <v>QR_EOD.2018-04-22</v>
      </c>
    </row>
    <row r="34" spans="2:7">
      <c r="B34" t="e">
        <f ca="1"/>
        <v>#N/A</v>
      </c>
      <c r="C34" t="e">
        <f ca="1"/>
        <v>#N/A</v>
      </c>
    </row>
    <row r="35" spans="2:7">
      <c r="B35" t="e">
        <f ca="1"/>
        <v>#N/A</v>
      </c>
      <c r="C35" t="e">
        <f ca="1"/>
        <v>#N/A</v>
      </c>
    </row>
    <row r="36" spans="2:7">
      <c r="B36" t="e">
        <f ca="1"/>
        <v>#N/A</v>
      </c>
      <c r="C36" t="e">
        <f ca="1"/>
        <v>#N/A</v>
      </c>
    </row>
  </sheetData>
  <mergeCells count="1">
    <mergeCell ref="B13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tabSelected="1" workbookViewId="0">
      <selection activeCell="E27" sqref="E27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5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_xll.HLV5r3.Financial.Cache.SupportedFuturesMetrics()</f>
        <v>NPV</v>
      </c>
    </row>
    <row r="2" spans="2:8">
      <c r="B2" t="s">
        <v>98</v>
      </c>
      <c r="C2" s="79">
        <v>0.95</v>
      </c>
      <c r="H2" t="str">
        <v>NPVChange</v>
      </c>
    </row>
    <row r="3" spans="2:8">
      <c r="B3" t="s">
        <v>50</v>
      </c>
      <c r="C3" t="s">
        <v>51</v>
      </c>
      <c r="E3" s="5" t="s">
        <v>15</v>
      </c>
      <c r="H3" t="str">
        <v>ImpliedQuote</v>
      </c>
    </row>
    <row r="4" spans="2:8">
      <c r="B4" t="s">
        <v>67</v>
      </c>
      <c r="C4" s="82">
        <v>100</v>
      </c>
      <c r="E4" s="5" t="s">
        <v>13</v>
      </c>
      <c r="H4" t="str">
        <v>MarketQuote</v>
      </c>
    </row>
    <row r="5" spans="2:8">
      <c r="B5" t="s">
        <v>2</v>
      </c>
      <c r="C5" s="2">
        <f ca="1">TODAY()</f>
        <v>43217</v>
      </c>
      <c r="E5" s="5" t="s">
        <v>39</v>
      </c>
      <c r="H5" t="str">
        <v>IndexAtMaturity</v>
      </c>
    </row>
    <row r="6" spans="2:8">
      <c r="B6" t="s">
        <v>103</v>
      </c>
      <c r="C6" s="2">
        <f ca="1">C5</f>
        <v>43217</v>
      </c>
      <c r="E6" s="5" t="s">
        <v>44</v>
      </c>
      <c r="H6" t="str">
        <v>PandL</v>
      </c>
    </row>
    <row r="7" spans="2:8">
      <c r="B7" t="s">
        <v>6</v>
      </c>
      <c r="C7" t="b">
        <v>1</v>
      </c>
      <c r="E7" s="5" t="s">
        <v>9</v>
      </c>
      <c r="H7" t="str">
        <v>InitialMargin</v>
      </c>
    </row>
    <row r="8" spans="2:8">
      <c r="B8" t="s">
        <v>7</v>
      </c>
      <c r="C8" t="s">
        <v>108</v>
      </c>
      <c r="H8" t="str">
        <v>VariationMargin</v>
      </c>
    </row>
    <row r="9" spans="2:8">
      <c r="B9" s="8" t="s">
        <v>19</v>
      </c>
      <c r="C9" s="9" t="s">
        <v>65</v>
      </c>
      <c r="E9" s="57" t="s">
        <v>48</v>
      </c>
      <c r="F9" s="60" t="s">
        <v>52</v>
      </c>
      <c r="H9" t="e">
        <v>#N/A</v>
      </c>
    </row>
    <row r="10" spans="2:8">
      <c r="B10" t="s">
        <v>4</v>
      </c>
      <c r="C10" t="s">
        <v>5</v>
      </c>
      <c r="E10" s="57" t="s">
        <v>49</v>
      </c>
      <c r="F10" s="60" t="s">
        <v>28</v>
      </c>
      <c r="H10" t="e">
        <v>#N/A</v>
      </c>
    </row>
    <row r="11" spans="2:8">
      <c r="B11" t="s">
        <v>3</v>
      </c>
      <c r="C11" t="s">
        <v>1</v>
      </c>
      <c r="H11" t="e">
        <v>#N/A</v>
      </c>
    </row>
    <row r="12" spans="2:8">
      <c r="B12" t="s">
        <v>70</v>
      </c>
      <c r="C12" t="s">
        <v>54</v>
      </c>
      <c r="H12" t="e">
        <v>#N/A</v>
      </c>
    </row>
    <row r="13" spans="2:8">
      <c r="B13" t="s">
        <v>10</v>
      </c>
      <c r="C13" t="s">
        <v>11</v>
      </c>
      <c r="E13" t="s">
        <v>14</v>
      </c>
      <c r="H13" t="e">
        <v>#N/A</v>
      </c>
    </row>
    <row r="14" spans="2:8">
      <c r="B14" t="s">
        <v>48</v>
      </c>
      <c r="C14" t="s">
        <v>52</v>
      </c>
      <c r="G14" s="8" t="s">
        <v>16</v>
      </c>
    </row>
    <row r="15" spans="2:8">
      <c r="C15" s="85"/>
    </row>
    <row r="16" spans="2:8">
      <c r="B16" t="str">
        <f t="array" aca="1" ref="B16:C37" ca="1">_xll.HLV5r3.Financial.Cache.ViewTrade(E25)</f>
        <v>buyerPartyReference</v>
      </c>
      <c r="C16" t="str">
        <f ca="1"/>
        <v>Party1</v>
      </c>
      <c r="E16" s="51" t="str">
        <f t="array" ref="E16:F22">_xll.HLV5r3.Financial.Cache.ViewValuationReport(E27)</f>
        <v>YieldToMaturity</v>
      </c>
      <c r="F16" s="61">
        <v>0</v>
      </c>
    </row>
    <row r="17" spans="2:8">
      <c r="B17" t="str">
        <f ca="1"/>
        <v>sellerPartyReference</v>
      </c>
      <c r="C17" t="str">
        <f ca="1"/>
        <v>Party2</v>
      </c>
      <c r="E17" s="51" t="str">
        <v>AssetSwapSpread</v>
      </c>
      <c r="F17" s="61">
        <v>0</v>
      </c>
    </row>
    <row r="18" spans="2:8">
      <c r="B18" t="str">
        <f ca="1"/>
        <v>numberOfUnits</v>
      </c>
      <c r="C18" s="7">
        <f ca="1"/>
        <v>100</v>
      </c>
      <c r="E18" s="51" t="str">
        <v>NPV</v>
      </c>
      <c r="F18" s="62">
        <v>0</v>
      </c>
    </row>
    <row r="19" spans="2:8">
      <c r="B19" t="str">
        <f ca="1"/>
        <v>currency</v>
      </c>
      <c r="C19" t="str">
        <f ca="1"/>
        <v>AUD</v>
      </c>
      <c r="E19" s="51" t="str">
        <v>PandL</v>
      </c>
      <c r="F19" s="62">
        <v>0</v>
      </c>
    </row>
    <row r="20" spans="2:8">
      <c r="B20" t="str">
        <f ca="1"/>
        <v>amount</v>
      </c>
      <c r="C20" s="7">
        <f ca="1"/>
        <v>0.95</v>
      </c>
      <c r="E20" s="51" t="str">
        <v>DirtyPrice</v>
      </c>
      <c r="F20" s="51">
        <v>0</v>
      </c>
    </row>
    <row r="21" spans="2:8">
      <c r="B21" t="str">
        <f ca="1"/>
        <v>maturity</v>
      </c>
      <c r="C21" s="2">
        <f ca="1"/>
        <v>43259</v>
      </c>
      <c r="E21" s="51" t="e">
        <v>#N/A</v>
      </c>
      <c r="F21" s="51" t="e">
        <v>#N/A</v>
      </c>
    </row>
    <row r="22" spans="2:8">
      <c r="B22" t="str">
        <f ca="1"/>
        <v>id</v>
      </c>
      <c r="C22" s="6" t="str">
        <f ca="1"/>
        <v>AUD-IRFuture-IR-1</v>
      </c>
      <c r="E22" s="51" t="e">
        <v>#N/A</v>
      </c>
      <c r="F22" s="51" t="e">
        <v>#N/A</v>
      </c>
    </row>
    <row r="23" spans="2:8">
      <c r="B23" t="str">
        <f ca="1"/>
        <v>paryt1</v>
      </c>
      <c r="C23" t="str">
        <f ca="1"/>
        <v>CBA</v>
      </c>
    </row>
    <row r="24" spans="2:8">
      <c r="B24" t="str">
        <f ca="1"/>
        <v>party2</v>
      </c>
      <c r="C24" t="str">
        <f ca="1"/>
        <v>NAB</v>
      </c>
    </row>
    <row r="25" spans="2:8">
      <c r="B25" t="str">
        <f ca="1"/>
        <v>exchangeId</v>
      </c>
      <c r="C25" t="str">
        <f ca="1"/>
        <v>ASXT</v>
      </c>
      <c r="E25" s="85" t="str">
        <f ca="1">_xll.HLV5r3.Financial.Cache.CreateIRFutureTrade(C8,C7,C10,C11,C9,C5,C6,C4,C2,C12,C3)</f>
        <v>Trade.SpreadSheet.futureTransaction.IRFuture.testtrade_002</v>
      </c>
    </row>
    <row r="26" spans="2:8">
      <c r="B26" t="e">
        <f ca="1"/>
        <v>#N/A</v>
      </c>
      <c r="C26" t="e">
        <f ca="1"/>
        <v>#N/A</v>
      </c>
      <c r="E26" s="56" t="s">
        <v>53</v>
      </c>
    </row>
    <row r="27" spans="2:8">
      <c r="B27" t="e">
        <f ca="1"/>
        <v>#N/A</v>
      </c>
      <c r="C27" t="e">
        <f ca="1"/>
        <v>#N/A</v>
      </c>
      <c r="E27" t="s">
        <v>110</v>
      </c>
    </row>
    <row r="28" spans="2:8">
      <c r="B28" t="e">
        <f ca="1"/>
        <v>#N/A</v>
      </c>
      <c r="C28" t="e">
        <f ca="1"/>
        <v>#N/A</v>
      </c>
    </row>
    <row r="29" spans="2:8">
      <c r="B29" t="e">
        <f ca="1"/>
        <v>#N/A</v>
      </c>
      <c r="C29" t="e">
        <f ca="1"/>
        <v>#N/A</v>
      </c>
      <c r="E29" s="1" t="str">
        <f ca="1">_xll.HLV5r3.Financial.Cache.ValueTradeFromMarkets(C14,E25,C10,$E$3:$E$7,"AUD",$H$29:$H$33,C5)</f>
        <v>Var_Run_20170531</v>
      </c>
      <c r="H29" s="1" t="str">
        <f t="array" aca="1" ref="H29:H33" ca="1">Markets</f>
        <v>QR_EOD.2018-04-26</v>
      </c>
    </row>
    <row r="30" spans="2:8">
      <c r="B30" t="e">
        <f ca="1"/>
        <v>#N/A</v>
      </c>
      <c r="C30" t="e">
        <f ca="1"/>
        <v>#N/A</v>
      </c>
      <c r="H30" t="str">
        <f ca="1"/>
        <v>QR_EOD.2018-04-25</v>
      </c>
    </row>
    <row r="31" spans="2:8">
      <c r="B31" t="e">
        <f ca="1"/>
        <v>#N/A</v>
      </c>
      <c r="C31" t="e">
        <f ca="1"/>
        <v>#N/A</v>
      </c>
      <c r="H31" t="str">
        <f ca="1"/>
        <v>QR_EOD.2018-04-24</v>
      </c>
    </row>
    <row r="32" spans="2:8">
      <c r="B32" t="e">
        <f ca="1"/>
        <v>#N/A</v>
      </c>
      <c r="C32" t="e">
        <f ca="1"/>
        <v>#N/A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63">
        <v>0</v>
      </c>
      <c r="H32" t="str">
        <f ca="1"/>
        <v>QR_EOD.2018-04-23</v>
      </c>
    </row>
    <row r="33" spans="2:8">
      <c r="B33" t="e">
        <f ca="1"/>
        <v>#N/A</v>
      </c>
      <c r="C33" t="e">
        <f ca="1"/>
        <v>#N/A</v>
      </c>
      <c r="E33" t="str">
        <v>ValuationReport.Var_Run_20170531.SpreadSheet.futureTransaction.testtrade_001.QR_LIVE.2018-02-21</v>
      </c>
      <c r="F33" s="63">
        <v>0</v>
      </c>
      <c r="H33" t="str">
        <f ca="1"/>
        <v>QR_EOD.2018-04-22</v>
      </c>
    </row>
    <row r="34" spans="2:8">
      <c r="B34" t="e">
        <f ca="1"/>
        <v>#N/A</v>
      </c>
      <c r="C34" t="e">
        <f ca="1"/>
        <v>#N/A</v>
      </c>
      <c r="E34" t="str">
        <v>ValuationReport.Var_Run_20170531.SpreadSheet.futureTransaction.testtrade_001.QR_LIVE.2018-02-20</v>
      </c>
      <c r="F34" s="63">
        <v>0</v>
      </c>
    </row>
    <row r="35" spans="2:8">
      <c r="B35" t="e">
        <f ca="1"/>
        <v>#N/A</v>
      </c>
      <c r="C35" t="e">
        <f ca="1"/>
        <v>#N/A</v>
      </c>
      <c r="E35" t="str">
        <v>ValuationReport.Var_Run_20170531.SpreadSheet.futureTransaction.testtrade_001.QR_LIVE.2018-02-19</v>
      </c>
      <c r="F35" s="63">
        <v>0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ValuationReport.Var_Run_20170531.SpreadSheet.futureTransaction.testtrade_002.QR_LIVE.2018-02-23</v>
      </c>
      <c r="F36" s="63">
        <v>0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ValuationReport.Var_Run_20170531.SpreadSheet.futureTransaction.testtrade_002.QR_LIVE.2018-02-22</v>
      </c>
      <c r="F37" s="63">
        <v>0</v>
      </c>
    </row>
    <row r="38" spans="2:8">
      <c r="E38" t="str">
        <v>ValuationReport.Var_Run_20170531.SpreadSheet.futureTransaction.testtrade_002.QR_LIVE.2018-02-21</v>
      </c>
      <c r="F38" s="63">
        <v>0</v>
      </c>
    </row>
    <row r="39" spans="2:8">
      <c r="E39" t="str">
        <v>ValuationReport.Var_Run_20170531.SpreadSheet.futureTransaction.testtrade_002.QR_LIVE.2018-02-20</v>
      </c>
      <c r="F39" s="63">
        <v>0</v>
      </c>
    </row>
    <row r="40" spans="2:8">
      <c r="E40" t="str">
        <v>ValuationReport.Var_Run_20170531.SpreadSheet.futureTransaction.testtrade_002.QR_LIVE.2018-02-19</v>
      </c>
      <c r="F40" s="63">
        <v>0</v>
      </c>
    </row>
    <row r="41" spans="2:8">
      <c r="E41" t="str">
        <v>ValuationReport.Var_Run_20170531.SpreadSheet.futureTransaction.testtrade_001.QR_LIVE.2018-02-22</v>
      </c>
      <c r="F41" s="63">
        <v>0</v>
      </c>
    </row>
    <row r="42" spans="2:8">
      <c r="E42" t="str">
        <v>ValuationReport.Var_Run_20170531.SpreadSheet.bondTransaction.testtrade_002.QR_LIVE.2018-02-19</v>
      </c>
      <c r="F42" s="63">
        <v>111644767.66734304</v>
      </c>
    </row>
    <row r="43" spans="2:8">
      <c r="E43" t="str">
        <v>ValuationReport.Var_Run_20170531.SpreadSheet.bondTransaction.testtrade_002.QR_LIVE.2018-02-20</v>
      </c>
      <c r="F43" s="63">
        <v>111709224.27935375</v>
      </c>
    </row>
    <row r="44" spans="2:8">
      <c r="E44" t="str">
        <v>ValuationReport.Var_Run_20170531.SpreadSheet.bondTransaction.testtrade_002.QR_LIVE.2018-02-21</v>
      </c>
      <c r="F44" s="63">
        <v>111868041.82686561</v>
      </c>
    </row>
    <row r="45" spans="2:8">
      <c r="E45" t="str">
        <v>ValuationReport.Var_Run_20170531.SpreadSheet.bondTransaction.testtrade_002.QR_LIVE.2018-02-22</v>
      </c>
      <c r="F45" s="63">
        <v>88215245.375233606</v>
      </c>
    </row>
    <row r="46" spans="2:8">
      <c r="E46" t="str">
        <v>ValuationReport.Var_Run_20170531.SpreadSheet.bondTransaction.testtrade_002.QR_LIVE.2018-02-23</v>
      </c>
      <c r="F46" s="63">
        <v>86914292.951297566</v>
      </c>
    </row>
    <row r="47" spans="2:8">
      <c r="E47" t="str">
        <v>ValuationReport.Var_Run_20170531.SpreadSheet.bondTransaction.testtrade_002.QR_LIVE.2018-04-25</v>
      </c>
      <c r="F47" s="63">
        <v>109881089.69656757</v>
      </c>
    </row>
    <row r="48" spans="2:8">
      <c r="E48" t="str">
        <v>ValuationReport.Var_Run_20170531.SpreadSheet.bondTransaction.testtrade_002.QR_LIVE.2018-04-24</v>
      </c>
      <c r="F48" s="63">
        <v>107670344.82123162</v>
      </c>
    </row>
    <row r="49" spans="5:6">
      <c r="E49" t="str">
        <v>ValuationReport.Var_Run_20170531.SpreadSheet.bondTransaction.testtrade_002.QR_LIVE.2018-04-23</v>
      </c>
      <c r="F49" s="63">
        <v>107483294.70281488</v>
      </c>
    </row>
    <row r="50" spans="5:6">
      <c r="E50" t="str">
        <v>ValuationReport.Var_Run_20170531.SpreadSheet.bondTransaction.testtrade_002.QR_LIVE.2018-04-22</v>
      </c>
      <c r="F50" s="63">
        <v>109874739.70564295</v>
      </c>
    </row>
    <row r="51" spans="5:6">
      <c r="E51" t="str">
        <v>ValuationReport.Var_Run_20170531.SpreadSheet.bondTransaction.testtrade_002.QR_LIVE.2018-04-21</v>
      </c>
      <c r="F51" s="63">
        <v>107182060.8829475</v>
      </c>
    </row>
    <row r="52" spans="5:6">
      <c r="E52" t="e">
        <v>#N/A</v>
      </c>
      <c r="F52" s="63" t="e">
        <v>#N/A</v>
      </c>
    </row>
    <row r="53" spans="5:6">
      <c r="E53" t="e">
        <v>#N/A</v>
      </c>
      <c r="F53" s="63" t="e">
        <v>#N/A</v>
      </c>
    </row>
    <row r="54" spans="5:6">
      <c r="E54" t="e">
        <v>#N/A</v>
      </c>
      <c r="F54" s="63" t="e">
        <v>#N/A</v>
      </c>
    </row>
    <row r="55" spans="5:6">
      <c r="E55" t="e">
        <v>#N/A</v>
      </c>
      <c r="F55" s="63" t="e">
        <v>#N/A</v>
      </c>
    </row>
  </sheetData>
  <dataValidations count="2">
    <dataValidation type="list" allowBlank="1" showInputMessage="1" showErrorMessage="1" sqref="E26" xr:uid="{00000000-0002-0000-0600-000000000000}">
      <formula1>$E$32:$E$37</formula1>
    </dataValidation>
    <dataValidation type="list" allowBlank="1" showInputMessage="1" showErrorMessage="1" sqref="E27" xr:uid="{34543898-0EED-4EE2-8E32-297A5633E90E}">
      <formula1>$E$32:$E$35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6"/>
  <sheetViews>
    <sheetView workbookViewId="0">
      <selection activeCell="N9" sqref="N9:Q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3" max="13" width="52.85546875" bestFit="1" customWidth="1"/>
    <col min="14" max="14" width="14" bestFit="1" customWidth="1"/>
    <col min="15" max="15" width="16.42578125" bestFit="1" customWidth="1"/>
    <col min="16" max="16" width="12" bestFit="1" customWidth="1"/>
    <col min="17" max="17" width="11.28515625" bestFit="1" customWidth="1"/>
  </cols>
  <sheetData>
    <row r="1" spans="1:17" ht="39" customHeight="1">
      <c r="A1" s="91" t="s">
        <v>68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59"/>
    </row>
    <row r="2" spans="1:17">
      <c r="J2" s="36" t="s">
        <v>17</v>
      </c>
      <c r="K2" s="39" t="str">
        <f>FuturesCurve!C6</f>
        <v>QR_LIVE</v>
      </c>
      <c r="M2" s="5" t="s">
        <v>15</v>
      </c>
    </row>
    <row r="3" spans="1:17">
      <c r="J3" s="37" t="s">
        <v>38</v>
      </c>
      <c r="K3" s="40">
        <f ca="1">TODAY()</f>
        <v>43217</v>
      </c>
      <c r="M3" s="5" t="s">
        <v>13</v>
      </c>
    </row>
    <row r="4" spans="1:17">
      <c r="J4" s="37" t="s">
        <v>26</v>
      </c>
      <c r="K4" s="40" t="s">
        <v>0</v>
      </c>
      <c r="M4" s="48" t="s">
        <v>39</v>
      </c>
    </row>
    <row r="5" spans="1:17">
      <c r="J5" s="38" t="s">
        <v>42</v>
      </c>
      <c r="K5" s="42" t="str">
        <f>B7</f>
        <v>CBA</v>
      </c>
      <c r="M5" s="48" t="s">
        <v>44</v>
      </c>
    </row>
    <row r="6" spans="1:17">
      <c r="A6" s="33" t="s">
        <v>7</v>
      </c>
      <c r="B6" s="44" t="s">
        <v>4</v>
      </c>
      <c r="C6" s="44" t="s">
        <v>3</v>
      </c>
      <c r="D6" s="44" t="s">
        <v>40</v>
      </c>
      <c r="E6" s="45" t="s">
        <v>19</v>
      </c>
      <c r="F6" s="33" t="s">
        <v>2</v>
      </c>
      <c r="G6" s="33" t="s">
        <v>45</v>
      </c>
      <c r="H6" s="33" t="s">
        <v>50</v>
      </c>
      <c r="I6" s="33" t="s">
        <v>107</v>
      </c>
      <c r="J6" s="33" t="s">
        <v>106</v>
      </c>
      <c r="K6" s="34" t="s">
        <v>105</v>
      </c>
      <c r="L6" s="35" t="s">
        <v>64</v>
      </c>
      <c r="M6" s="1" t="s">
        <v>28</v>
      </c>
      <c r="N6" s="43" t="s">
        <v>15</v>
      </c>
      <c r="O6" s="43" t="s">
        <v>13</v>
      </c>
      <c r="P6" s="43" t="s">
        <v>39</v>
      </c>
      <c r="Q6" s="49" t="s">
        <v>43</v>
      </c>
    </row>
    <row r="7" spans="1:17">
      <c r="A7" s="4" t="s">
        <v>8</v>
      </c>
      <c r="B7" t="s">
        <v>5</v>
      </c>
      <c r="C7" t="s">
        <v>1</v>
      </c>
      <c r="D7" t="b">
        <v>1</v>
      </c>
      <c r="E7" s="41" t="s">
        <v>65</v>
      </c>
      <c r="F7" s="2">
        <f ca="1">TODAY()-20</f>
        <v>43197</v>
      </c>
      <c r="G7" s="2">
        <f ca="1">F7+3</f>
        <v>43200</v>
      </c>
      <c r="H7" s="2" t="s">
        <v>51</v>
      </c>
      <c r="I7" s="84">
        <v>100</v>
      </c>
      <c r="J7" t="s">
        <v>66</v>
      </c>
      <c r="K7" t="e">
        <f ca="1">_xll.HLV5r3.Financial.Cache.CreateBondTrade(A7,D7,B7,C7,E7,F7,G7,I7,$L$6:$L$6,L7:L7,J7,H7)</f>
        <v>#VALUE!</v>
      </c>
      <c r="L7">
        <v>95</v>
      </c>
      <c r="M7" t="e">
        <f ca="1">_xll.HLV5r3.Financial.Cache.ValueTradeFromMarket(K7,$K$5,Metrics,Currency,$K$2,$K$3)</f>
        <v>#VALUE!</v>
      </c>
      <c r="N7" t="e">
        <f t="array" aca="1" ref="N7:Q8" ca="1">TRANSPOSE(_xll.HLV5r3.Financial.Cache.ViewValuationReport(M7))</f>
        <v>#VALUE!</v>
      </c>
      <c r="O7" t="e">
        <f ca="1"/>
        <v>#VALUE!</v>
      </c>
      <c r="P7" t="e">
        <f ca="1"/>
        <v>#VALUE!</v>
      </c>
      <c r="Q7" t="e">
        <f ca="1"/>
        <v>#VALUE!</v>
      </c>
    </row>
    <row r="8" spans="1:17">
      <c r="N8" s="32" t="e">
        <f ca="1"/>
        <v>#VALUE!</v>
      </c>
      <c r="O8" s="32" t="e">
        <f ca="1"/>
        <v>#VALUE!</v>
      </c>
      <c r="P8" s="47" t="e">
        <f ca="1"/>
        <v>#VALUE!</v>
      </c>
      <c r="Q8" s="47" t="e">
        <f ca="1"/>
        <v>#VALUE!</v>
      </c>
    </row>
    <row r="9" spans="1:17">
      <c r="A9" s="4" t="s">
        <v>29</v>
      </c>
      <c r="B9" t="s">
        <v>5</v>
      </c>
      <c r="C9" t="s">
        <v>1</v>
      </c>
      <c r="D9" t="b">
        <v>1</v>
      </c>
      <c r="E9" s="41" t="s">
        <v>65</v>
      </c>
      <c r="F9" s="2">
        <f ca="1">F7+2</f>
        <v>43199</v>
      </c>
      <c r="G9" s="2">
        <f ca="1">F9+3</f>
        <v>43202</v>
      </c>
      <c r="H9" s="2" t="s">
        <v>51</v>
      </c>
      <c r="I9" s="84">
        <v>100</v>
      </c>
      <c r="J9" t="s">
        <v>66</v>
      </c>
      <c r="L9">
        <v>95</v>
      </c>
      <c r="P9" s="7"/>
      <c r="Q9" s="7"/>
    </row>
    <row r="10" spans="1:17">
      <c r="A10" s="4"/>
      <c r="B10" s="4"/>
      <c r="C10" s="4"/>
      <c r="F10" s="2"/>
      <c r="G10" s="2"/>
      <c r="H10" s="2"/>
      <c r="I10" s="3"/>
      <c r="N10" s="32"/>
      <c r="O10" s="32"/>
      <c r="P10" s="47"/>
      <c r="Q10" s="47"/>
    </row>
    <row r="11" spans="1:17">
      <c r="A11" s="4" t="s">
        <v>30</v>
      </c>
      <c r="B11" t="s">
        <v>5</v>
      </c>
      <c r="C11" t="s">
        <v>1</v>
      </c>
      <c r="D11" t="b">
        <v>1</v>
      </c>
      <c r="E11" s="41" t="s">
        <v>65</v>
      </c>
      <c r="F11" s="2">
        <f ca="1">F9+2</f>
        <v>43201</v>
      </c>
      <c r="G11" s="2">
        <f ca="1">F11+3</f>
        <v>43204</v>
      </c>
      <c r="H11" s="2" t="s">
        <v>51</v>
      </c>
      <c r="I11" s="84">
        <v>100</v>
      </c>
      <c r="J11" t="s">
        <v>66</v>
      </c>
      <c r="L11">
        <v>95</v>
      </c>
      <c r="N11" s="32"/>
      <c r="O11" s="32"/>
      <c r="P11" s="47"/>
      <c r="Q11" s="47"/>
    </row>
    <row r="12" spans="1:17">
      <c r="A12" s="4"/>
      <c r="B12" s="4"/>
      <c r="C12" s="4"/>
      <c r="F12" s="2"/>
      <c r="G12" s="2"/>
      <c r="H12" s="2"/>
      <c r="I12" s="3"/>
      <c r="N12" s="32"/>
      <c r="O12" s="32"/>
      <c r="P12" s="47"/>
      <c r="Q12" s="47"/>
    </row>
    <row r="13" spans="1:17">
      <c r="A13" s="4" t="s">
        <v>31</v>
      </c>
      <c r="B13" t="s">
        <v>5</v>
      </c>
      <c r="C13" t="s">
        <v>1</v>
      </c>
      <c r="D13" t="b">
        <v>0</v>
      </c>
      <c r="E13" s="41" t="s">
        <v>65</v>
      </c>
      <c r="F13" s="2">
        <f ca="1">F11+2</f>
        <v>43203</v>
      </c>
      <c r="G13" s="2">
        <f ca="1">F13+3</f>
        <v>43206</v>
      </c>
      <c r="H13" s="2" t="s">
        <v>51</v>
      </c>
      <c r="I13" s="84">
        <v>100</v>
      </c>
      <c r="J13" t="s">
        <v>66</v>
      </c>
      <c r="L13">
        <v>95</v>
      </c>
      <c r="M13" s="46"/>
      <c r="N13" s="32"/>
      <c r="O13" s="32"/>
      <c r="P13" s="47"/>
      <c r="Q13" s="47"/>
    </row>
    <row r="14" spans="1:17">
      <c r="A14" s="4"/>
      <c r="B14" s="4"/>
      <c r="C14" s="4"/>
      <c r="F14" s="2"/>
      <c r="G14" s="2"/>
      <c r="H14" s="2"/>
      <c r="I14" s="3"/>
      <c r="N14" s="32"/>
      <c r="O14" s="32"/>
      <c r="P14" s="47"/>
      <c r="Q14" s="47"/>
    </row>
    <row r="15" spans="1:17">
      <c r="A15" s="4" t="s">
        <v>32</v>
      </c>
      <c r="B15" t="s">
        <v>5</v>
      </c>
      <c r="C15" t="s">
        <v>1</v>
      </c>
      <c r="D15" t="b">
        <v>0</v>
      </c>
      <c r="E15" s="41" t="s">
        <v>65</v>
      </c>
      <c r="F15" s="2">
        <f ca="1">F13+2</f>
        <v>43205</v>
      </c>
      <c r="G15" s="2">
        <f ca="1">F15+3</f>
        <v>43208</v>
      </c>
      <c r="H15" s="2" t="s">
        <v>51</v>
      </c>
      <c r="I15" s="84">
        <v>100</v>
      </c>
      <c r="J15" t="s">
        <v>66</v>
      </c>
      <c r="L15">
        <v>95</v>
      </c>
      <c r="N15" s="32"/>
      <c r="O15" s="32"/>
      <c r="P15" s="47"/>
      <c r="Q15" s="47"/>
    </row>
    <row r="16" spans="1:17">
      <c r="A16" s="4"/>
      <c r="B16" s="4"/>
      <c r="C16" s="4"/>
      <c r="F16" s="2"/>
      <c r="G16" s="2"/>
      <c r="H16" s="2"/>
      <c r="I16" s="3"/>
      <c r="N16" s="32"/>
      <c r="O16" s="32"/>
      <c r="P16" s="47"/>
      <c r="Q16" s="47"/>
    </row>
    <row r="17" spans="1:17">
      <c r="A17" s="4" t="s">
        <v>33</v>
      </c>
      <c r="B17" t="s">
        <v>5</v>
      </c>
      <c r="C17" t="s">
        <v>41</v>
      </c>
      <c r="D17" t="b">
        <v>1</v>
      </c>
      <c r="E17" s="41" t="s">
        <v>65</v>
      </c>
      <c r="F17" s="2">
        <f ca="1">F15+2</f>
        <v>43207</v>
      </c>
      <c r="G17" s="2">
        <f ca="1">F17+3</f>
        <v>43210</v>
      </c>
      <c r="H17" s="2" t="s">
        <v>51</v>
      </c>
      <c r="I17" s="84">
        <v>100</v>
      </c>
      <c r="J17" t="s">
        <v>66</v>
      </c>
      <c r="L17">
        <v>95</v>
      </c>
      <c r="N17" s="32"/>
      <c r="O17" s="32"/>
      <c r="P17" s="47"/>
      <c r="Q17" s="47"/>
    </row>
    <row r="18" spans="1:17">
      <c r="A18" s="4"/>
      <c r="F18" s="2"/>
      <c r="G18" s="2"/>
      <c r="I18" s="3"/>
      <c r="N18" s="32"/>
      <c r="O18" s="32"/>
      <c r="P18" s="47"/>
      <c r="Q18" s="47"/>
    </row>
    <row r="19" spans="1:17">
      <c r="A19" s="4" t="s">
        <v>34</v>
      </c>
      <c r="B19" t="s">
        <v>5</v>
      </c>
      <c r="C19" t="s">
        <v>41</v>
      </c>
      <c r="D19" t="b">
        <v>1</v>
      </c>
      <c r="E19" s="41" t="s">
        <v>65</v>
      </c>
      <c r="F19" s="2">
        <f ca="1">F17+2</f>
        <v>43209</v>
      </c>
      <c r="G19" s="2">
        <f ca="1">F19+3</f>
        <v>43212</v>
      </c>
      <c r="H19" s="2" t="s">
        <v>51</v>
      </c>
      <c r="I19" s="84">
        <v>100</v>
      </c>
      <c r="J19" t="s">
        <v>66</v>
      </c>
      <c r="L19">
        <v>95</v>
      </c>
      <c r="N19" s="32"/>
      <c r="O19" s="32"/>
      <c r="P19" s="47"/>
      <c r="Q19" s="47"/>
    </row>
    <row r="20" spans="1:17">
      <c r="A20" s="4"/>
      <c r="B20" s="4"/>
      <c r="C20" s="4"/>
      <c r="F20" s="2"/>
      <c r="G20" s="2"/>
      <c r="H20" s="2"/>
      <c r="I20" s="3"/>
      <c r="N20" s="32"/>
      <c r="O20" s="32"/>
      <c r="P20" s="47"/>
      <c r="Q20" s="47"/>
    </row>
    <row r="21" spans="1:17">
      <c r="A21" s="4" t="s">
        <v>35</v>
      </c>
      <c r="B21" t="s">
        <v>5</v>
      </c>
      <c r="C21" t="s">
        <v>41</v>
      </c>
      <c r="D21" t="b">
        <v>1</v>
      </c>
      <c r="E21" s="41" t="s">
        <v>65</v>
      </c>
      <c r="F21" s="2">
        <f ca="1">F19+2</f>
        <v>43211</v>
      </c>
      <c r="G21" s="2">
        <f ca="1">F21+3</f>
        <v>43214</v>
      </c>
      <c r="H21" s="2" t="s">
        <v>51</v>
      </c>
      <c r="I21" s="84">
        <v>100</v>
      </c>
      <c r="J21" t="s">
        <v>66</v>
      </c>
      <c r="L21">
        <v>95</v>
      </c>
      <c r="N21" s="32"/>
      <c r="O21" s="32"/>
      <c r="P21" s="47"/>
      <c r="Q21" s="47"/>
    </row>
    <row r="22" spans="1:17">
      <c r="A22" s="4"/>
      <c r="B22" s="4"/>
      <c r="F22" s="2"/>
      <c r="G22" s="2"/>
      <c r="H22" s="2"/>
      <c r="I22" s="3"/>
      <c r="N22" s="32"/>
      <c r="O22" s="32"/>
      <c r="P22" s="47"/>
      <c r="Q22" s="47"/>
    </row>
    <row r="23" spans="1:17">
      <c r="A23" s="4" t="s">
        <v>36</v>
      </c>
      <c r="B23" t="s">
        <v>5</v>
      </c>
      <c r="C23" t="s">
        <v>41</v>
      </c>
      <c r="D23" t="b">
        <v>0</v>
      </c>
      <c r="E23" s="41" t="s">
        <v>65</v>
      </c>
      <c r="F23" s="2">
        <f ca="1">F21+2</f>
        <v>43213</v>
      </c>
      <c r="G23" s="2">
        <f ca="1">F23+3</f>
        <v>43216</v>
      </c>
      <c r="H23" s="2" t="s">
        <v>51</v>
      </c>
      <c r="I23" s="84">
        <v>100</v>
      </c>
      <c r="J23" t="s">
        <v>66</v>
      </c>
      <c r="L23">
        <v>95</v>
      </c>
      <c r="N23" s="32"/>
      <c r="O23" s="32"/>
      <c r="P23" s="47"/>
      <c r="Q23" s="47"/>
    </row>
    <row r="24" spans="1:17">
      <c r="A24" s="4"/>
      <c r="B24" s="4"/>
      <c r="C24" s="4"/>
      <c r="F24" s="2"/>
      <c r="G24" s="2"/>
      <c r="H24" s="2"/>
      <c r="I24" s="3"/>
      <c r="N24" s="32"/>
      <c r="O24" s="32"/>
      <c r="P24" s="47"/>
      <c r="Q24" s="47"/>
    </row>
    <row r="25" spans="1:17">
      <c r="A25" s="4" t="s">
        <v>37</v>
      </c>
      <c r="B25" t="s">
        <v>5</v>
      </c>
      <c r="C25" t="s">
        <v>41</v>
      </c>
      <c r="D25" t="b">
        <v>0</v>
      </c>
      <c r="E25" s="41" t="s">
        <v>65</v>
      </c>
      <c r="F25" s="2">
        <f t="shared" ref="F25" ca="1" si="0">F23+2</f>
        <v>43215</v>
      </c>
      <c r="G25" s="2">
        <f ca="1">F25+3</f>
        <v>43218</v>
      </c>
      <c r="H25" s="2" t="s">
        <v>51</v>
      </c>
      <c r="I25" s="84">
        <v>100</v>
      </c>
      <c r="J25" t="s">
        <v>66</v>
      </c>
      <c r="L25">
        <v>95</v>
      </c>
      <c r="N25" s="32"/>
      <c r="O25" s="32"/>
      <c r="P25" s="47"/>
      <c r="Q25" s="47"/>
    </row>
    <row r="26" spans="1:17">
      <c r="N26" s="32"/>
      <c r="O26" s="32"/>
      <c r="P26" s="47"/>
      <c r="Q26" s="47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FuturesCurve</vt:lpstr>
      <vt:lpstr>FuturesTransaction</vt:lpstr>
      <vt:lpstr>FuturesTransaction (2)</vt:lpstr>
      <vt:lpstr>FuturesTransactions</vt:lpstr>
      <vt:lpstr>Currency</vt:lpstr>
      <vt:lpstr>Markets</vt:lpstr>
      <vt:lpstr>Metrics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2018-04-26T22:25:28Z</dcterms:modified>
</cp:coreProperties>
</file>