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Product Pricers\"/>
    </mc:Choice>
  </mc:AlternateContent>
  <xr:revisionPtr revIDLastSave="0" documentId="13_ncr:1_{F79E758B-5926-4FF0-97AB-85684F69F70B}" xr6:coauthVersionLast="43" xr6:coauthVersionMax="43" xr10:uidLastSave="{00000000-0000-0000-0000-000000000000}"/>
  <bookViews>
    <workbookView xWindow="2415" yWindow="0" windowWidth="26370" windowHeight="148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unt">Sheet1!$B$9</definedName>
    <definedName name="DayTypes">Sheet1!$U$41:$U$42</definedName>
    <definedName name="Holidays">Sheet1!$C$3:$C$4</definedName>
    <definedName name="solver_adj" localSheetId="0" hidden="1">Sheet1!$F$8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L14" i="1"/>
  <c r="J13" i="1"/>
  <c r="I13" i="1"/>
  <c r="G13" i="1"/>
  <c r="I10" i="1"/>
  <c r="I11" i="1" s="1"/>
  <c r="N14" i="1" l="1"/>
  <c r="F6" i="1"/>
  <c r="I35" i="1"/>
  <c r="J35" i="1"/>
  <c r="I36" i="1"/>
  <c r="J36" i="1"/>
  <c r="I37" i="1"/>
  <c r="J37" i="1"/>
  <c r="E7" i="1" l="1"/>
  <c r="C13" i="1"/>
  <c r="E13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4" i="1"/>
  <c r="G14" i="1" l="1"/>
  <c r="E3" i="1"/>
  <c r="C15" i="1"/>
  <c r="E15" i="1" s="1"/>
  <c r="F13" i="1"/>
  <c r="C14" i="1"/>
  <c r="F3" i="1" s="1"/>
  <c r="E14" i="1" l="1"/>
  <c r="F4" i="1" s="1"/>
  <c r="B16" i="1"/>
  <c r="D15" i="1"/>
  <c r="F14" i="1"/>
  <c r="F15" i="1"/>
  <c r="H13" i="1" l="1"/>
  <c r="K13" i="1" s="1"/>
  <c r="B10" i="1"/>
  <c r="C16" i="1"/>
  <c r="E16" i="1" s="1"/>
  <c r="N15" i="1"/>
  <c r="G15" i="1"/>
  <c r="L15" i="1"/>
  <c r="E8" i="1"/>
  <c r="H14" i="1"/>
  <c r="B17" i="1"/>
  <c r="F16" i="1" l="1"/>
  <c r="B18" i="1"/>
  <c r="B19" i="1" s="1"/>
  <c r="D16" i="1"/>
  <c r="C17" i="1"/>
  <c r="G16" i="1" l="1"/>
  <c r="L16" i="1"/>
  <c r="C18" i="1"/>
  <c r="E18" i="1" s="1"/>
  <c r="N16" i="1"/>
  <c r="D17" i="1"/>
  <c r="E17" i="1"/>
  <c r="F17" i="1"/>
  <c r="B20" i="1"/>
  <c r="C19" i="1"/>
  <c r="E19" i="1" s="1"/>
  <c r="D18" i="1" l="1"/>
  <c r="F18" i="1"/>
  <c r="N17" i="1"/>
  <c r="G17" i="1"/>
  <c r="L17" i="1"/>
  <c r="G18" i="1"/>
  <c r="D19" i="1"/>
  <c r="F19" i="1"/>
  <c r="B21" i="1"/>
  <c r="C20" i="1"/>
  <c r="E20" i="1" s="1"/>
  <c r="N18" i="1" l="1"/>
  <c r="L18" i="1"/>
  <c r="N19" i="1"/>
  <c r="G19" i="1"/>
  <c r="L19" i="1"/>
  <c r="D20" i="1"/>
  <c r="F20" i="1"/>
  <c r="B22" i="1"/>
  <c r="C21" i="1"/>
  <c r="E21" i="1" s="1"/>
  <c r="N20" i="1" l="1"/>
  <c r="G20" i="1"/>
  <c r="L20" i="1"/>
  <c r="D21" i="1"/>
  <c r="F21" i="1"/>
  <c r="B23" i="1"/>
  <c r="C22" i="1"/>
  <c r="E22" i="1" s="1"/>
  <c r="N21" i="1" l="1"/>
  <c r="G21" i="1"/>
  <c r="L21" i="1"/>
  <c r="D22" i="1"/>
  <c r="B24" i="1"/>
  <c r="C23" i="1"/>
  <c r="E23" i="1" s="1"/>
  <c r="F22" i="1"/>
  <c r="N22" i="1" l="1"/>
  <c r="G22" i="1"/>
  <c r="L22" i="1"/>
  <c r="D23" i="1"/>
  <c r="B25" i="1"/>
  <c r="C24" i="1"/>
  <c r="E24" i="1" s="1"/>
  <c r="F23" i="1"/>
  <c r="N23" i="1" l="1"/>
  <c r="G23" i="1"/>
  <c r="L23" i="1"/>
  <c r="D24" i="1"/>
  <c r="F24" i="1"/>
  <c r="B26" i="1"/>
  <c r="C25" i="1"/>
  <c r="E25" i="1" s="1"/>
  <c r="N24" i="1" l="1"/>
  <c r="G24" i="1"/>
  <c r="L24" i="1"/>
  <c r="D25" i="1"/>
  <c r="B27" i="1"/>
  <c r="C26" i="1"/>
  <c r="E26" i="1" s="1"/>
  <c r="F25" i="1"/>
  <c r="N25" i="1" l="1"/>
  <c r="G25" i="1"/>
  <c r="L25" i="1"/>
  <c r="D26" i="1"/>
  <c r="B28" i="1"/>
  <c r="C27" i="1"/>
  <c r="E27" i="1" s="1"/>
  <c r="F26" i="1"/>
  <c r="N26" i="1" l="1"/>
  <c r="G26" i="1"/>
  <c r="L26" i="1"/>
  <c r="D27" i="1"/>
  <c r="B29" i="1"/>
  <c r="C28" i="1"/>
  <c r="E28" i="1" s="1"/>
  <c r="F27" i="1"/>
  <c r="N27" i="1" l="1"/>
  <c r="G27" i="1"/>
  <c r="L27" i="1"/>
  <c r="D28" i="1"/>
  <c r="B30" i="1"/>
  <c r="C29" i="1"/>
  <c r="E29" i="1" s="1"/>
  <c r="F28" i="1"/>
  <c r="N28" i="1" l="1"/>
  <c r="G28" i="1"/>
  <c r="L28" i="1"/>
  <c r="D29" i="1"/>
  <c r="B31" i="1"/>
  <c r="C30" i="1"/>
  <c r="E30" i="1" s="1"/>
  <c r="F29" i="1"/>
  <c r="N29" i="1" l="1"/>
  <c r="G29" i="1"/>
  <c r="L29" i="1"/>
  <c r="D30" i="1"/>
  <c r="F30" i="1"/>
  <c r="B32" i="1"/>
  <c r="C31" i="1"/>
  <c r="E31" i="1" s="1"/>
  <c r="N30" i="1" l="1"/>
  <c r="G30" i="1"/>
  <c r="L30" i="1"/>
  <c r="D31" i="1"/>
  <c r="B33" i="1"/>
  <c r="C32" i="1"/>
  <c r="E32" i="1" s="1"/>
  <c r="F31" i="1"/>
  <c r="N31" i="1" l="1"/>
  <c r="G31" i="1"/>
  <c r="L31" i="1"/>
  <c r="D32" i="1"/>
  <c r="B34" i="1"/>
  <c r="C33" i="1"/>
  <c r="E33" i="1" s="1"/>
  <c r="F32" i="1"/>
  <c r="N32" i="1" l="1"/>
  <c r="G32" i="1"/>
  <c r="L32" i="1"/>
  <c r="D33" i="1"/>
  <c r="B35" i="1"/>
  <c r="C34" i="1"/>
  <c r="E34" i="1" s="1"/>
  <c r="F33" i="1"/>
  <c r="N33" i="1" l="1"/>
  <c r="G33" i="1"/>
  <c r="L33" i="1"/>
  <c r="D34" i="1"/>
  <c r="C35" i="1"/>
  <c r="E35" i="1" s="1"/>
  <c r="B36" i="1"/>
  <c r="F34" i="1"/>
  <c r="H30" i="1"/>
  <c r="H32" i="1"/>
  <c r="H31" i="1"/>
  <c r="H15" i="1"/>
  <c r="H16" i="1"/>
  <c r="H26" i="1"/>
  <c r="H29" i="1"/>
  <c r="H24" i="1"/>
  <c r="H27" i="1"/>
  <c r="H19" i="1"/>
  <c r="H22" i="1"/>
  <c r="H21" i="1"/>
  <c r="H20" i="1"/>
  <c r="H23" i="1"/>
  <c r="H17" i="1"/>
  <c r="H25" i="1"/>
  <c r="H18" i="1"/>
  <c r="H28" i="1"/>
  <c r="H33" i="1" l="1"/>
  <c r="N34" i="1"/>
  <c r="G34" i="1"/>
  <c r="H34" i="1" s="1"/>
  <c r="L34" i="1"/>
  <c r="D35" i="1"/>
  <c r="O35" i="1" s="1"/>
  <c r="F35" i="1"/>
  <c r="C36" i="1"/>
  <c r="E36" i="1" s="1"/>
  <c r="B37" i="1"/>
  <c r="C37" i="1" s="1"/>
  <c r="E37" i="1" s="1"/>
  <c r="N35" i="1" l="1"/>
  <c r="G35" i="1"/>
  <c r="K35" i="1" s="1"/>
  <c r="L35" i="1"/>
  <c r="D36" i="1"/>
  <c r="O36" i="1" s="1"/>
  <c r="D37" i="1"/>
  <c r="N37" i="1" s="1"/>
  <c r="F37" i="1"/>
  <c r="F36" i="1"/>
  <c r="H35" i="1" l="1"/>
  <c r="N36" i="1"/>
  <c r="O33" i="1" s="1"/>
  <c r="P35" i="1"/>
  <c r="M35" i="1"/>
  <c r="G36" i="1"/>
  <c r="K36" i="1" s="1"/>
  <c r="L36" i="1"/>
  <c r="G37" i="1"/>
  <c r="K37" i="1" s="1"/>
  <c r="L37" i="1"/>
  <c r="O32" i="1" l="1"/>
  <c r="O18" i="1"/>
  <c r="O30" i="1"/>
  <c r="O20" i="1"/>
  <c r="O34" i="1"/>
  <c r="O21" i="1"/>
  <c r="O28" i="1"/>
  <c r="O15" i="1"/>
  <c r="O27" i="1"/>
  <c r="O16" i="1"/>
  <c r="O24" i="1"/>
  <c r="O14" i="1"/>
  <c r="O23" i="1"/>
  <c r="O29" i="1"/>
  <c r="O22" i="1"/>
  <c r="O31" i="1"/>
  <c r="B9" i="1"/>
  <c r="O25" i="1"/>
  <c r="O19" i="1"/>
  <c r="O26" i="1"/>
  <c r="O17" i="1"/>
  <c r="F2" i="1"/>
  <c r="H37" i="1"/>
  <c r="K14" i="1"/>
  <c r="K15" i="1"/>
  <c r="K16" i="1"/>
  <c r="K17" i="1"/>
  <c r="M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P37" i="1"/>
  <c r="M37" i="1"/>
  <c r="P36" i="1"/>
  <c r="M36" i="1"/>
  <c r="H36" i="1"/>
  <c r="P14" i="1" l="1"/>
  <c r="M14" i="1"/>
  <c r="P32" i="1"/>
  <c r="M32" i="1"/>
  <c r="M34" i="1"/>
  <c r="P34" i="1"/>
  <c r="M33" i="1"/>
  <c r="P33" i="1"/>
  <c r="P29" i="1"/>
  <c r="M29" i="1"/>
  <c r="P25" i="1"/>
  <c r="M25" i="1"/>
  <c r="M21" i="1"/>
  <c r="P21" i="1"/>
  <c r="P28" i="1"/>
  <c r="M28" i="1"/>
  <c r="M24" i="1"/>
  <c r="P24" i="1"/>
  <c r="M20" i="1"/>
  <c r="P20" i="1"/>
  <c r="P17" i="1"/>
  <c r="P16" i="1"/>
  <c r="M16" i="1"/>
  <c r="M31" i="1"/>
  <c r="P31" i="1"/>
  <c r="M27" i="1"/>
  <c r="P27" i="1"/>
  <c r="M23" i="1"/>
  <c r="P23" i="1"/>
  <c r="M19" i="1"/>
  <c r="P19" i="1"/>
  <c r="M15" i="1"/>
  <c r="P15" i="1"/>
  <c r="M30" i="1"/>
  <c r="P30" i="1"/>
  <c r="M26" i="1"/>
  <c r="P26" i="1"/>
  <c r="M22" i="1"/>
  <c r="P22" i="1"/>
  <c r="M18" i="1"/>
  <c r="P18" i="1"/>
  <c r="F9" i="1" l="1"/>
  <c r="G10" i="1" s="1"/>
</calcChain>
</file>

<file path=xl/sharedStrings.xml><?xml version="1.0" encoding="utf-8"?>
<sst xmlns="http://schemas.openxmlformats.org/spreadsheetml/2006/main" count="37" uniqueCount="32">
  <si>
    <t>EOM</t>
  </si>
  <si>
    <t>Date</t>
  </si>
  <si>
    <t>Calendar Days</t>
  </si>
  <si>
    <t>Start of Month(cal)</t>
  </si>
  <si>
    <t>Start Pillar</t>
  </si>
  <si>
    <t>Calendar Days Between Pillars</t>
  </si>
  <si>
    <t>Business Days Between Pillars</t>
  </si>
  <si>
    <t>End Pillar</t>
  </si>
  <si>
    <t>Interp Value</t>
  </si>
  <si>
    <t>Average for the Month</t>
  </si>
  <si>
    <t>Increment</t>
  </si>
  <si>
    <t>Market Quote Average</t>
  </si>
  <si>
    <t>Business</t>
  </si>
  <si>
    <t>Averaging Days</t>
  </si>
  <si>
    <t>Calendar</t>
  </si>
  <si>
    <t>Interpolation Days</t>
  </si>
  <si>
    <t>HolidayCalendar</t>
  </si>
  <si>
    <t>USNY</t>
  </si>
  <si>
    <t>Averaging Start Date</t>
  </si>
  <si>
    <t>Averaging End Date</t>
  </si>
  <si>
    <t>1</t>
  </si>
  <si>
    <t>Extra Data</t>
  </si>
  <si>
    <t>Platts Configuration Data</t>
  </si>
  <si>
    <t>Holidays:USNY</t>
  </si>
  <si>
    <t>Month</t>
  </si>
  <si>
    <t>Year</t>
  </si>
  <si>
    <t>Quick Calc</t>
  </si>
  <si>
    <t>End of Month(Bus)</t>
  </si>
  <si>
    <t>Weighting</t>
  </si>
  <si>
    <t>Business Days</t>
  </si>
  <si>
    <t>NumDaysAveraging</t>
  </si>
  <si>
    <t>NumDaysInterp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</si>
</sst>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9" borderId="16" xfId="0" applyFont="1" applyFill="1" applyBorder="1"/>
    <xf numFmtId="0" fontId="2" fillId="0" borderId="17" xfId="0" applyFont="1" applyBorder="1"/>
    <xf numFmtId="164" fontId="2" fillId="6" borderId="1" xfId="0" applyNumberFormat="1" applyFont="1" applyFill="1" applyBorder="1"/>
    <xf numFmtId="165" fontId="2" fillId="0" borderId="1" xfId="1" quotePrefix="1" applyNumberFormat="1" applyFont="1" applyBorder="1" applyAlignment="1">
      <alignment horizontal="left"/>
    </xf>
    <xf numFmtId="14" fontId="2" fillId="7" borderId="1" xfId="0" applyNumberFormat="1" applyFont="1" applyFill="1" applyBorder="1" applyAlignment="1">
      <alignment horizontal="center"/>
    </xf>
    <xf numFmtId="0" fontId="2" fillId="9" borderId="11" xfId="0" applyFont="1" applyFill="1" applyBorder="1"/>
    <xf numFmtId="0" fontId="2" fillId="0" borderId="12" xfId="0" applyFont="1" applyBorder="1"/>
    <xf numFmtId="164" fontId="2" fillId="0" borderId="1" xfId="0" applyNumberFormat="1" applyFont="1" applyBorder="1" applyAlignment="1">
      <alignment horizontal="left"/>
    </xf>
    <xf numFmtId="0" fontId="2" fillId="9" borderId="13" xfId="0" applyFont="1" applyFill="1" applyBorder="1"/>
    <xf numFmtId="0" fontId="2" fillId="0" borderId="15" xfId="0" applyFont="1" applyBorder="1"/>
    <xf numFmtId="0" fontId="2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1" xfId="0" applyFont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14" fontId="2" fillId="0" borderId="0" xfId="0" applyNumberFormat="1" applyFont="1"/>
    <xf numFmtId="0" fontId="4" fillId="0" borderId="8" xfId="0" applyFont="1" applyBorder="1" applyAlignment="1">
      <alignment horizontal="center" textRotation="75"/>
    </xf>
    <xf numFmtId="0" fontId="4" fillId="0" borderId="9" xfId="0" applyFont="1" applyBorder="1" applyAlignment="1">
      <alignment horizontal="center" textRotation="75"/>
    </xf>
    <xf numFmtId="0" fontId="4" fillId="0" borderId="10" xfId="0" applyFont="1" applyBorder="1" applyAlignment="1">
      <alignment horizontal="center" textRotation="75"/>
    </xf>
    <xf numFmtId="166" fontId="6" fillId="0" borderId="11" xfId="0" applyNumberFormat="1" applyFont="1" applyBorder="1"/>
    <xf numFmtId="164" fontId="6" fillId="0" borderId="0" xfId="0" applyNumberFormat="1" applyFont="1" applyBorder="1"/>
    <xf numFmtId="0" fontId="2" fillId="0" borderId="0" xfId="0" applyFont="1" applyBorder="1"/>
    <xf numFmtId="0" fontId="2" fillId="5" borderId="0" xfId="0" applyFont="1" applyFill="1" applyBorder="1" applyAlignment="1">
      <alignment horizontal="left"/>
    </xf>
    <xf numFmtId="166" fontId="2" fillId="0" borderId="11" xfId="0" applyNumberFormat="1" applyFont="1" applyBorder="1"/>
    <xf numFmtId="164" fontId="2" fillId="0" borderId="0" xfId="0" applyNumberFormat="1" applyFont="1" applyBorder="1"/>
    <xf numFmtId="166" fontId="2" fillId="0" borderId="13" xfId="0" applyNumberFormat="1" applyFont="1" applyBorder="1"/>
    <xf numFmtId="164" fontId="2" fillId="0" borderId="14" xfId="0" applyNumberFormat="1" applyFont="1" applyBorder="1"/>
    <xf numFmtId="0" fontId="2" fillId="0" borderId="14" xfId="0" applyFont="1" applyBorder="1"/>
    <xf numFmtId="0" fontId="2" fillId="5" borderId="14" xfId="0" applyFont="1" applyFill="1" applyBorder="1" applyAlignment="1">
      <alignment horizontal="left"/>
    </xf>
    <xf numFmtId="164" fontId="2" fillId="0" borderId="0" xfId="0" applyNumberFormat="1" applyFont="1"/>
    <xf numFmtId="164" fontId="3" fillId="0" borderId="0" xfId="0" applyNumberFormat="1" applyFont="1" applyBorder="1" applyAlignment="1">
      <alignment horizontal="center"/>
    </xf>
    <xf numFmtId="165" fontId="2" fillId="0" borderId="0" xfId="1" quotePrefix="1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6" fontId="6" fillId="0" borderId="0" xfId="0" applyNumberFormat="1" applyFont="1" applyBorder="1"/>
    <xf numFmtId="166" fontId="2" fillId="0" borderId="0" xfId="0" applyNumberFormat="1" applyFont="1" applyBorder="1"/>
    <xf numFmtId="166" fontId="2" fillId="0" borderId="14" xfId="0" applyNumberFormat="1" applyFont="1" applyBorder="1"/>
    <xf numFmtId="164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514351</xdr:colOff>
      <xdr:row>6</xdr:row>
      <xdr:rowOff>142875</xdr:rowOff>
    </xdr:from>
    <xdr:to>
      <xdr:col>12</xdr:col>
      <xdr:colOff>333375</xdr:colOff>
      <xdr:row>10</xdr:row>
      <xdr:rowOff>114300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782301" y="1181100"/>
          <a:ext cx="1790699" cy="809625"/>
        </a:xfrm>
        <a:prstGeom prst="wedgeEllipseCallout">
          <a:avLst>
            <a:gd name="adj1" fmla="val -73437"/>
            <a:gd name="adj2" fmla="val 2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Input for relevant contract/month</a:t>
          </a:r>
        </a:p>
      </xdr:txBody>
    </xdr:sp>
    <xdr:clientData/>
  </xdr:twoCellAnchor>
  <xdr:twoCellAnchor>
    <xdr:from>
      <xdr:col>2</xdr:col>
      <xdr:colOff>1514476</xdr:colOff>
      <xdr:row>11</xdr:row>
      <xdr:rowOff>76201</xdr:rowOff>
    </xdr:from>
    <xdr:to>
      <xdr:col>4</xdr:col>
      <xdr:colOff>647701</xdr:colOff>
      <xdr:row>11</xdr:row>
      <xdr:rowOff>361951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14876" y="2171701"/>
          <a:ext cx="1428750" cy="285750"/>
        </a:xfrm>
        <a:prstGeom prst="wedgeRoundRectCallout">
          <a:avLst>
            <a:gd name="adj1" fmla="val 216250"/>
            <a:gd name="adj2" fmla="val -155543"/>
            <a:gd name="adj3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Solver target value</a:t>
          </a:r>
        </a:p>
      </xdr:txBody>
    </xdr:sp>
    <xdr:clientData/>
  </xdr:twoCellAnchor>
  <xdr:twoCellAnchor>
    <xdr:from>
      <xdr:col>6</xdr:col>
      <xdr:colOff>66676</xdr:colOff>
      <xdr:row>1</xdr:row>
      <xdr:rowOff>0</xdr:rowOff>
    </xdr:from>
    <xdr:to>
      <xdr:col>15</xdr:col>
      <xdr:colOff>0</xdr:colOff>
      <xdr:row>5</xdr:row>
      <xdr:rowOff>142874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486776" y="200025"/>
          <a:ext cx="5695949" cy="1000124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5/12/13	The</a:t>
          </a:r>
          <a:r>
            <a:rPr lang="en-AU" sz="1100" baseline="0">
              <a:solidFill>
                <a:sysClr val="windowText" lastClr="000000"/>
              </a:solidFill>
            </a:rPr>
            <a:t> only choice for price Interpolation is calendar.</a:t>
          </a:r>
        </a:p>
        <a:p>
          <a:pPr algn="l"/>
          <a:r>
            <a:rPr lang="en-AU" sz="1100" baseline="0">
              <a:solidFill>
                <a:sysClr val="windowText" lastClr="000000"/>
              </a:solidFill>
            </a:rPr>
            <a:t>5/12/13	The model does not handle yet the case when the final date os not a good date.</a:t>
          </a:r>
        </a:p>
        <a:p>
          <a:pPr algn="l"/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zoomScale="86" zoomScaleNormal="86" workbookViewId="0">
      <selection activeCell="P14" sqref="P14"/>
    </sheetView>
  </sheetViews>
  <sheetFormatPr defaultRowHeight="15" x14ac:dyDescent="0.25"/>
  <cols>
    <col min="1" max="1" width="22.85546875" style="1" customWidth="1"/>
    <col min="2" max="2" width="12.140625" style="1" bestFit="1" customWidth="1"/>
    <col min="3" max="3" width="14.28515625" style="1" bestFit="1" customWidth="1"/>
    <col min="4" max="4" width="6.140625" style="1" bestFit="1" customWidth="1"/>
    <col min="5" max="5" width="29.7109375" style="1" bestFit="1" customWidth="1"/>
    <col min="6" max="6" width="14" style="1" bestFit="1" customWidth="1"/>
    <col min="7" max="7" width="4" style="1" bestFit="1" customWidth="1"/>
    <col min="8" max="8" width="13.5703125" style="1" bestFit="1" customWidth="1"/>
    <col min="9" max="9" width="11" style="1" bestFit="1" customWidth="1"/>
    <col min="10" max="10" width="13.5703125" style="1" customWidth="1"/>
    <col min="11" max="11" width="12" style="1" bestFit="1" customWidth="1"/>
    <col min="12" max="12" width="4" style="1" bestFit="1" customWidth="1"/>
    <col min="13" max="15" width="9.7109375" style="1" customWidth="1"/>
    <col min="16" max="16" width="12" style="1" bestFit="1" customWidth="1"/>
    <col min="17" max="17" width="9.7109375" style="1" bestFit="1" customWidth="1"/>
    <col min="18" max="18" width="14" style="1" bestFit="1" customWidth="1"/>
    <col min="19" max="16384" width="9.140625" style="1"/>
  </cols>
  <sheetData>
    <row r="1" spans="1:17" ht="15.75" thickBot="1" x14ac:dyDescent="0.3"/>
    <row r="2" spans="1:17" ht="21" x14ac:dyDescent="0.35">
      <c r="A2" s="49" t="s">
        <v>22</v>
      </c>
      <c r="B2" s="49"/>
      <c r="C2" s="2" t="s">
        <v>23</v>
      </c>
      <c r="E2" s="3" t="s">
        <v>6</v>
      </c>
      <c r="F2" s="4">
        <f>B10</f>
        <v>29</v>
      </c>
    </row>
    <row r="3" spans="1:17" x14ac:dyDescent="0.25">
      <c r="A3" s="5" t="s">
        <v>18</v>
      </c>
      <c r="B3" s="6" t="s">
        <v>20</v>
      </c>
      <c r="C3" s="7">
        <v>41633</v>
      </c>
      <c r="E3" s="8" t="str">
        <f>"Calendar Days in:   "&amp;TEXT(B14,"MMM")</f>
        <v>Calendar Days in:   Mar</v>
      </c>
      <c r="F3" s="9">
        <f>C14-C13</f>
        <v>31</v>
      </c>
    </row>
    <row r="4" spans="1:17" ht="15.75" thickBot="1" x14ac:dyDescent="0.3">
      <c r="A4" s="5" t="s">
        <v>19</v>
      </c>
      <c r="B4" s="10" t="s">
        <v>0</v>
      </c>
      <c r="C4" s="7">
        <v>41640</v>
      </c>
      <c r="E4" s="11" t="s">
        <v>5</v>
      </c>
      <c r="F4" s="12">
        <f>E14-B13</f>
        <v>29</v>
      </c>
    </row>
    <row r="5" spans="1:17" ht="15.75" thickBot="1" x14ac:dyDescent="0.3">
      <c r="A5" s="5" t="s">
        <v>13</v>
      </c>
      <c r="B5" s="13" t="s">
        <v>12</v>
      </c>
      <c r="C5" s="14"/>
    </row>
    <row r="6" spans="1:17" x14ac:dyDescent="0.25">
      <c r="A6" s="5" t="s">
        <v>15</v>
      </c>
      <c r="B6" s="13" t="s">
        <v>14</v>
      </c>
      <c r="C6" s="14"/>
      <c r="E6" s="15" t="s">
        <v>26</v>
      </c>
      <c r="F6" s="16">
        <f>2*F10-F7</f>
        <v>106</v>
      </c>
    </row>
    <row r="7" spans="1:17" x14ac:dyDescent="0.25">
      <c r="A7" s="5" t="s">
        <v>16</v>
      </c>
      <c r="B7" s="13" t="s">
        <v>17</v>
      </c>
      <c r="C7" s="14"/>
      <c r="E7" s="17" t="str">
        <f>"Start Pillar "&amp;TEXT(B13,"DD/MM/YY")</f>
        <v>Start Pillar 28/02/13</v>
      </c>
      <c r="F7" s="18">
        <v>100</v>
      </c>
    </row>
    <row r="8" spans="1:17" ht="21" x14ac:dyDescent="0.35">
      <c r="A8" s="49" t="s">
        <v>21</v>
      </c>
      <c r="B8" s="49"/>
      <c r="C8" s="14"/>
      <c r="E8" s="17" t="str">
        <f>"End Pillar "&amp;TEXT(E14,"DD/MM/YY")</f>
        <v>End Pillar 29/03/13</v>
      </c>
      <c r="F8" s="19">
        <v>105.51963746223571</v>
      </c>
      <c r="H8" s="20" t="s">
        <v>24</v>
      </c>
      <c r="I8" s="21">
        <v>3</v>
      </c>
    </row>
    <row r="9" spans="1:17" x14ac:dyDescent="0.25">
      <c r="A9" s="22" t="s">
        <v>30</v>
      </c>
      <c r="B9" s="23">
        <f>SUM(L14:L37)</f>
        <v>21</v>
      </c>
      <c r="C9" s="14"/>
      <c r="E9" s="17" t="s">
        <v>9</v>
      </c>
      <c r="F9" s="24">
        <f>SUM(M14:M37)/Count</f>
        <v>103.00000000000003</v>
      </c>
      <c r="H9" s="20" t="s">
        <v>25</v>
      </c>
      <c r="I9" s="21">
        <v>2013</v>
      </c>
    </row>
    <row r="10" spans="1:17" ht="16.5" thickBot="1" x14ac:dyDescent="0.3">
      <c r="A10" s="22" t="s">
        <v>31</v>
      </c>
      <c r="B10" s="23">
        <f>IF($B$6="Business",SUM(N14:O14),F4)</f>
        <v>29</v>
      </c>
      <c r="C10" s="14"/>
      <c r="E10" s="25" t="s">
        <v>11</v>
      </c>
      <c r="F10" s="26">
        <v>103</v>
      </c>
      <c r="G10" s="1">
        <f>F10-F9</f>
        <v>0</v>
      </c>
      <c r="I10" s="27">
        <f>DATE($I$9,$I$8,B3)</f>
        <v>41334</v>
      </c>
    </row>
    <row r="11" spans="1:17" ht="15.75" thickBot="1" x14ac:dyDescent="0.3">
      <c r="I11" s="27">
        <f>EDATE(I10,1)</f>
        <v>41365</v>
      </c>
    </row>
    <row r="12" spans="1:17" ht="92.25" x14ac:dyDescent="0.25">
      <c r="B12" s="28" t="s">
        <v>1</v>
      </c>
      <c r="C12" s="29" t="s">
        <v>0</v>
      </c>
      <c r="D12" s="29"/>
      <c r="E12" s="29" t="s">
        <v>27</v>
      </c>
      <c r="F12" s="29" t="s">
        <v>3</v>
      </c>
      <c r="G12" s="29" t="s">
        <v>2</v>
      </c>
      <c r="H12" s="29" t="s">
        <v>2</v>
      </c>
      <c r="I12" s="29" t="s">
        <v>4</v>
      </c>
      <c r="J12" s="29" t="s">
        <v>7</v>
      </c>
      <c r="K12" s="29" t="s">
        <v>8</v>
      </c>
      <c r="L12" s="29" t="s">
        <v>28</v>
      </c>
      <c r="M12" s="29"/>
      <c r="N12" s="29" t="s">
        <v>29</v>
      </c>
      <c r="O12" s="29" t="s">
        <v>29</v>
      </c>
      <c r="P12" s="30" t="s">
        <v>10</v>
      </c>
    </row>
    <row r="13" spans="1:17" x14ac:dyDescent="0.25">
      <c r="B13" s="31">
        <f>WORKDAY(DATE($I$9,$I$8,B3),-1,Holidays)</f>
        <v>41333</v>
      </c>
      <c r="C13" s="46">
        <f>EOMONTH(B13,0)</f>
        <v>41333</v>
      </c>
      <c r="D13" s="32"/>
      <c r="E13" s="46">
        <f>WORKDAY(C13,1,Holidays)</f>
        <v>41334</v>
      </c>
      <c r="F13" s="46">
        <f t="shared" ref="F13:F35" si="0">C13+1</f>
        <v>41334</v>
      </c>
      <c r="G13" s="33">
        <f t="shared" ref="G13:G37" si="1">IF(D13,B13-$B$13,0)</f>
        <v>0</v>
      </c>
      <c r="H13" s="33">
        <f t="shared" ref="H13:H37" si="2">$F$4-G13</f>
        <v>29</v>
      </c>
      <c r="I13" s="33">
        <f t="shared" ref="I13:I37" si="3">$F$7</f>
        <v>100</v>
      </c>
      <c r="J13" s="33">
        <f t="shared" ref="J13:J37" si="4">$F$8</f>
        <v>105.51963746223571</v>
      </c>
      <c r="K13" s="34">
        <f>(H13*I13+G13*J13)/$F$4</f>
        <v>100</v>
      </c>
      <c r="L13" s="34"/>
      <c r="M13" s="34"/>
      <c r="N13" s="33"/>
      <c r="O13" s="33"/>
      <c r="P13" s="9"/>
    </row>
    <row r="14" spans="1:17" x14ac:dyDescent="0.25">
      <c r="B14" s="35">
        <f t="shared" ref="B14:B37" si="5">WORKDAY(B13,1,Holidays)</f>
        <v>41334</v>
      </c>
      <c r="C14" s="47">
        <f>EOMONTH(B14,0)</f>
        <v>41364</v>
      </c>
      <c r="D14" s="36" t="b">
        <v>1</v>
      </c>
      <c r="E14" s="47">
        <f t="shared" ref="E14:E37" si="6">WORKDAY(C14+1,-1,Holidays)</f>
        <v>41362</v>
      </c>
      <c r="F14" s="47">
        <f t="shared" si="0"/>
        <v>41365</v>
      </c>
      <c r="G14" s="33">
        <f t="shared" si="1"/>
        <v>1</v>
      </c>
      <c r="H14" s="33">
        <f t="shared" si="2"/>
        <v>28</v>
      </c>
      <c r="I14" s="33">
        <f t="shared" si="3"/>
        <v>100</v>
      </c>
      <c r="J14" s="33">
        <f t="shared" si="4"/>
        <v>105.51963746223571</v>
      </c>
      <c r="K14" s="34">
        <f>IF($B$6="Calendar",IF(G14&lt;&gt;0,(H14*I14+G14*J14)/B10,""),IF(G14&lt;&gt;0,(O14*I14+N14*J14)/SUM(N14:O14),""))</f>
        <v>100.19033232628398</v>
      </c>
      <c r="L14" s="34">
        <f t="shared" ref="L14:L37" si="7">IF(D14,IF($B$5="Business",1,B15-B14),"")</f>
        <v>1</v>
      </c>
      <c r="M14" s="34">
        <f>IF(K14&lt;&gt;"",L14*K14,"")</f>
        <v>100.19033232628398</v>
      </c>
      <c r="N14" s="33">
        <f>IF(D14,COUNT($B$14:B14),"")</f>
        <v>1</v>
      </c>
      <c r="O14" s="33">
        <f>IF(D14,MAX($N$14:$N$37)-N14,"")</f>
        <v>20</v>
      </c>
      <c r="P14" s="9">
        <f>IF(G14&lt;&gt;0,K14-K13,"")</f>
        <v>0.19033232628397911</v>
      </c>
      <c r="Q14" s="27"/>
    </row>
    <row r="15" spans="1:17" x14ac:dyDescent="0.25">
      <c r="B15" s="35">
        <f t="shared" si="5"/>
        <v>41337</v>
      </c>
      <c r="C15" s="47">
        <f>EOMONTH(B15,0)</f>
        <v>41364</v>
      </c>
      <c r="D15" s="36" t="b">
        <f>IF(C15=$C$14,TRUE,FALSE)</f>
        <v>1</v>
      </c>
      <c r="E15" s="47">
        <f t="shared" si="6"/>
        <v>41362</v>
      </c>
      <c r="F15" s="47">
        <f t="shared" si="0"/>
        <v>41365</v>
      </c>
      <c r="G15" s="33">
        <f t="shared" si="1"/>
        <v>4</v>
      </c>
      <c r="H15" s="33">
        <f t="shared" si="2"/>
        <v>25</v>
      </c>
      <c r="I15" s="33">
        <f t="shared" si="3"/>
        <v>100</v>
      </c>
      <c r="J15" s="33">
        <f t="shared" si="4"/>
        <v>105.51963746223571</v>
      </c>
      <c r="K15" s="34">
        <f t="shared" ref="K15:K37" si="8">IF($B$6="Calendar",IF(G15&lt;&gt;0,(H15*I15+G15*J15)/SUM(G15:H15),""),IF(G15&lt;&gt;0,(O15*I15+N15*J15)/SUM(N15:O15),""))</f>
        <v>100.76132930513596</v>
      </c>
      <c r="L15" s="34">
        <f t="shared" si="7"/>
        <v>1</v>
      </c>
      <c r="M15" s="34">
        <f t="shared" ref="M15:M37" si="9">IF(K15&lt;&gt;"",L15*K15,"")</f>
        <v>100.76132930513596</v>
      </c>
      <c r="N15" s="33">
        <f>IF(D15,COUNT($B$13:B15)-1,"")</f>
        <v>2</v>
      </c>
      <c r="O15" s="33">
        <f>IF(D15,MAX($N$14:$N$37)-N15,"")</f>
        <v>19</v>
      </c>
      <c r="P15" s="9">
        <f>IF(G15&lt;&gt;0,K15-K14,"")</f>
        <v>0.57099697885197997</v>
      </c>
    </row>
    <row r="16" spans="1:17" x14ac:dyDescent="0.25">
      <c r="B16" s="35">
        <f>WORKDAY(B15,1,Holidays)</f>
        <v>41338</v>
      </c>
      <c r="C16" s="47">
        <f t="shared" ref="C16:C37" si="10">EOMONTH(B16,0)</f>
        <v>41364</v>
      </c>
      <c r="D16" s="36" t="b">
        <f t="shared" ref="D16:D37" si="11">IF(C16=$C$14,TRUE,FALSE)</f>
        <v>1</v>
      </c>
      <c r="E16" s="47">
        <f t="shared" si="6"/>
        <v>41362</v>
      </c>
      <c r="F16" s="47">
        <f t="shared" si="0"/>
        <v>41365</v>
      </c>
      <c r="G16" s="33">
        <f t="shared" si="1"/>
        <v>5</v>
      </c>
      <c r="H16" s="33">
        <f t="shared" si="2"/>
        <v>24</v>
      </c>
      <c r="I16" s="33">
        <f t="shared" si="3"/>
        <v>100</v>
      </c>
      <c r="J16" s="33">
        <f t="shared" si="4"/>
        <v>105.51963746223571</v>
      </c>
      <c r="K16" s="34">
        <f t="shared" si="8"/>
        <v>100.95166163141995</v>
      </c>
      <c r="L16" s="34">
        <f t="shared" si="7"/>
        <v>1</v>
      </c>
      <c r="M16" s="34">
        <f t="shared" si="9"/>
        <v>100.95166163141995</v>
      </c>
      <c r="N16" s="33">
        <f>IF(D16,COUNT($B$13:B16)-1,"")</f>
        <v>3</v>
      </c>
      <c r="O16" s="33">
        <f t="shared" ref="O16:O36" si="12">IF(D16,MAX($N$14:$N$37)-N16,"")</f>
        <v>18</v>
      </c>
      <c r="P16" s="9">
        <f t="shared" ref="P16:P37" si="13">IF(G16&lt;&gt;0,K16-K15,"")</f>
        <v>0.19033232628399332</v>
      </c>
    </row>
    <row r="17" spans="2:16" x14ac:dyDescent="0.25">
      <c r="B17" s="35">
        <f t="shared" si="5"/>
        <v>41339</v>
      </c>
      <c r="C17" s="47">
        <f t="shared" si="10"/>
        <v>41364</v>
      </c>
      <c r="D17" s="36" t="b">
        <f t="shared" si="11"/>
        <v>1</v>
      </c>
      <c r="E17" s="47">
        <f t="shared" si="6"/>
        <v>41362</v>
      </c>
      <c r="F17" s="47">
        <f t="shared" si="0"/>
        <v>41365</v>
      </c>
      <c r="G17" s="33">
        <f t="shared" si="1"/>
        <v>6</v>
      </c>
      <c r="H17" s="33">
        <f t="shared" si="2"/>
        <v>23</v>
      </c>
      <c r="I17" s="33">
        <f t="shared" si="3"/>
        <v>100</v>
      </c>
      <c r="J17" s="33">
        <f t="shared" si="4"/>
        <v>105.51963746223571</v>
      </c>
      <c r="K17" s="34">
        <f t="shared" si="8"/>
        <v>101.14199395770393</v>
      </c>
      <c r="L17" s="34">
        <f t="shared" si="7"/>
        <v>1</v>
      </c>
      <c r="M17" s="34">
        <f t="shared" si="9"/>
        <v>101.14199395770393</v>
      </c>
      <c r="N17" s="33">
        <f>IF(D17,COUNT($B$13:B17)-1,"")</f>
        <v>4</v>
      </c>
      <c r="O17" s="33">
        <f t="shared" si="12"/>
        <v>17</v>
      </c>
      <c r="P17" s="9">
        <f t="shared" si="13"/>
        <v>0.19033232628397911</v>
      </c>
    </row>
    <row r="18" spans="2:16" x14ac:dyDescent="0.25">
      <c r="B18" s="35">
        <f t="shared" si="5"/>
        <v>41340</v>
      </c>
      <c r="C18" s="47">
        <f t="shared" si="10"/>
        <v>41364</v>
      </c>
      <c r="D18" s="36" t="b">
        <f t="shared" si="11"/>
        <v>1</v>
      </c>
      <c r="E18" s="47">
        <f t="shared" si="6"/>
        <v>41362</v>
      </c>
      <c r="F18" s="47">
        <f t="shared" si="0"/>
        <v>41365</v>
      </c>
      <c r="G18" s="33">
        <f t="shared" si="1"/>
        <v>7</v>
      </c>
      <c r="H18" s="33">
        <f t="shared" si="2"/>
        <v>22</v>
      </c>
      <c r="I18" s="33">
        <f t="shared" si="3"/>
        <v>100</v>
      </c>
      <c r="J18" s="33">
        <f t="shared" si="4"/>
        <v>105.51963746223571</v>
      </c>
      <c r="K18" s="34">
        <f t="shared" si="8"/>
        <v>101.33232628398792</v>
      </c>
      <c r="L18" s="34">
        <f t="shared" si="7"/>
        <v>1</v>
      </c>
      <c r="M18" s="34">
        <f t="shared" si="9"/>
        <v>101.33232628398792</v>
      </c>
      <c r="N18" s="33">
        <f>IF(D18,COUNT($B$13:B18)-1,"")</f>
        <v>5</v>
      </c>
      <c r="O18" s="33">
        <f t="shared" si="12"/>
        <v>16</v>
      </c>
      <c r="P18" s="9">
        <f t="shared" si="13"/>
        <v>0.19033232628399332</v>
      </c>
    </row>
    <row r="19" spans="2:16" x14ac:dyDescent="0.25">
      <c r="B19" s="35">
        <f t="shared" si="5"/>
        <v>41341</v>
      </c>
      <c r="C19" s="47">
        <f t="shared" si="10"/>
        <v>41364</v>
      </c>
      <c r="D19" s="36" t="b">
        <f t="shared" si="11"/>
        <v>1</v>
      </c>
      <c r="E19" s="47">
        <f t="shared" si="6"/>
        <v>41362</v>
      </c>
      <c r="F19" s="47">
        <f t="shared" si="0"/>
        <v>41365</v>
      </c>
      <c r="G19" s="33">
        <f t="shared" si="1"/>
        <v>8</v>
      </c>
      <c r="H19" s="33">
        <f t="shared" si="2"/>
        <v>21</v>
      </c>
      <c r="I19" s="33">
        <f t="shared" si="3"/>
        <v>100</v>
      </c>
      <c r="J19" s="33">
        <f t="shared" si="4"/>
        <v>105.51963746223571</v>
      </c>
      <c r="K19" s="34">
        <f t="shared" si="8"/>
        <v>101.52265861027192</v>
      </c>
      <c r="L19" s="34">
        <f t="shared" si="7"/>
        <v>1</v>
      </c>
      <c r="M19" s="34">
        <f t="shared" si="9"/>
        <v>101.52265861027192</v>
      </c>
      <c r="N19" s="33">
        <f>IF(D19,COUNT($B$13:B19)-1,"")</f>
        <v>6</v>
      </c>
      <c r="O19" s="33">
        <f t="shared" si="12"/>
        <v>15</v>
      </c>
      <c r="P19" s="9">
        <f t="shared" si="13"/>
        <v>0.19033232628399332</v>
      </c>
    </row>
    <row r="20" spans="2:16" x14ac:dyDescent="0.25">
      <c r="B20" s="35">
        <f t="shared" si="5"/>
        <v>41344</v>
      </c>
      <c r="C20" s="47">
        <f t="shared" si="10"/>
        <v>41364</v>
      </c>
      <c r="D20" s="36" t="b">
        <f t="shared" si="11"/>
        <v>1</v>
      </c>
      <c r="E20" s="47">
        <f t="shared" si="6"/>
        <v>41362</v>
      </c>
      <c r="F20" s="47">
        <f t="shared" si="0"/>
        <v>41365</v>
      </c>
      <c r="G20" s="33">
        <f t="shared" si="1"/>
        <v>11</v>
      </c>
      <c r="H20" s="33">
        <f t="shared" si="2"/>
        <v>18</v>
      </c>
      <c r="I20" s="33">
        <f t="shared" si="3"/>
        <v>100</v>
      </c>
      <c r="J20" s="33">
        <f t="shared" si="4"/>
        <v>105.51963746223571</v>
      </c>
      <c r="K20" s="34">
        <f t="shared" si="8"/>
        <v>102.0936555891239</v>
      </c>
      <c r="L20" s="34">
        <f t="shared" si="7"/>
        <v>1</v>
      </c>
      <c r="M20" s="34">
        <f t="shared" si="9"/>
        <v>102.0936555891239</v>
      </c>
      <c r="N20" s="33">
        <f>IF(D20,COUNT($B$13:B20)-1,"")</f>
        <v>7</v>
      </c>
      <c r="O20" s="33">
        <f t="shared" si="12"/>
        <v>14</v>
      </c>
      <c r="P20" s="9">
        <f t="shared" si="13"/>
        <v>0.57099697885197997</v>
      </c>
    </row>
    <row r="21" spans="2:16" x14ac:dyDescent="0.25">
      <c r="B21" s="35">
        <f t="shared" si="5"/>
        <v>41345</v>
      </c>
      <c r="C21" s="47">
        <f t="shared" si="10"/>
        <v>41364</v>
      </c>
      <c r="D21" s="36" t="b">
        <f t="shared" si="11"/>
        <v>1</v>
      </c>
      <c r="E21" s="47">
        <f t="shared" si="6"/>
        <v>41362</v>
      </c>
      <c r="F21" s="47">
        <f t="shared" si="0"/>
        <v>41365</v>
      </c>
      <c r="G21" s="33">
        <f t="shared" si="1"/>
        <v>12</v>
      </c>
      <c r="H21" s="33">
        <f t="shared" si="2"/>
        <v>17</v>
      </c>
      <c r="I21" s="33">
        <f t="shared" si="3"/>
        <v>100</v>
      </c>
      <c r="J21" s="33">
        <f t="shared" si="4"/>
        <v>105.51963746223571</v>
      </c>
      <c r="K21" s="34">
        <f t="shared" si="8"/>
        <v>102.28398791540788</v>
      </c>
      <c r="L21" s="34">
        <f t="shared" si="7"/>
        <v>1</v>
      </c>
      <c r="M21" s="34">
        <f t="shared" si="9"/>
        <v>102.28398791540788</v>
      </c>
      <c r="N21" s="33">
        <f>IF(D21,COUNT($B$13:B21)-1,"")</f>
        <v>8</v>
      </c>
      <c r="O21" s="33">
        <f t="shared" si="12"/>
        <v>13</v>
      </c>
      <c r="P21" s="9">
        <f t="shared" si="13"/>
        <v>0.19033232628397911</v>
      </c>
    </row>
    <row r="22" spans="2:16" x14ac:dyDescent="0.25">
      <c r="B22" s="35">
        <f t="shared" si="5"/>
        <v>41346</v>
      </c>
      <c r="C22" s="47">
        <f t="shared" si="10"/>
        <v>41364</v>
      </c>
      <c r="D22" s="36" t="b">
        <f t="shared" si="11"/>
        <v>1</v>
      </c>
      <c r="E22" s="47">
        <f t="shared" si="6"/>
        <v>41362</v>
      </c>
      <c r="F22" s="47">
        <f t="shared" si="0"/>
        <v>41365</v>
      </c>
      <c r="G22" s="33">
        <f t="shared" si="1"/>
        <v>13</v>
      </c>
      <c r="H22" s="33">
        <f t="shared" si="2"/>
        <v>16</v>
      </c>
      <c r="I22" s="33">
        <f t="shared" si="3"/>
        <v>100</v>
      </c>
      <c r="J22" s="33">
        <f t="shared" si="4"/>
        <v>105.51963746223571</v>
      </c>
      <c r="K22" s="34">
        <f t="shared" si="8"/>
        <v>102.47432024169186</v>
      </c>
      <c r="L22" s="34">
        <f t="shared" si="7"/>
        <v>1</v>
      </c>
      <c r="M22" s="34">
        <f t="shared" si="9"/>
        <v>102.47432024169186</v>
      </c>
      <c r="N22" s="33">
        <f>IF(D22,COUNT($B$13:B22)-1,"")</f>
        <v>9</v>
      </c>
      <c r="O22" s="33">
        <f t="shared" si="12"/>
        <v>12</v>
      </c>
      <c r="P22" s="9">
        <f t="shared" si="13"/>
        <v>0.19033232628397911</v>
      </c>
    </row>
    <row r="23" spans="2:16" x14ac:dyDescent="0.25">
      <c r="B23" s="35">
        <f t="shared" si="5"/>
        <v>41347</v>
      </c>
      <c r="C23" s="47">
        <f t="shared" si="10"/>
        <v>41364</v>
      </c>
      <c r="D23" s="36" t="b">
        <f t="shared" si="11"/>
        <v>1</v>
      </c>
      <c r="E23" s="47">
        <f t="shared" si="6"/>
        <v>41362</v>
      </c>
      <c r="F23" s="47">
        <f t="shared" si="0"/>
        <v>41365</v>
      </c>
      <c r="G23" s="33">
        <f t="shared" si="1"/>
        <v>14</v>
      </c>
      <c r="H23" s="33">
        <f t="shared" si="2"/>
        <v>15</v>
      </c>
      <c r="I23" s="33">
        <f t="shared" si="3"/>
        <v>100</v>
      </c>
      <c r="J23" s="33">
        <f t="shared" si="4"/>
        <v>105.51963746223571</v>
      </c>
      <c r="K23" s="34">
        <f t="shared" si="8"/>
        <v>102.66465256797586</v>
      </c>
      <c r="L23" s="34">
        <f t="shared" si="7"/>
        <v>1</v>
      </c>
      <c r="M23" s="34">
        <f t="shared" si="9"/>
        <v>102.66465256797586</v>
      </c>
      <c r="N23" s="33">
        <f>IF(D23,COUNT($B$13:B23)-1,"")</f>
        <v>10</v>
      </c>
      <c r="O23" s="33">
        <f t="shared" si="12"/>
        <v>11</v>
      </c>
      <c r="P23" s="9">
        <f t="shared" si="13"/>
        <v>0.19033232628400754</v>
      </c>
    </row>
    <row r="24" spans="2:16" x14ac:dyDescent="0.25">
      <c r="B24" s="35">
        <f t="shared" si="5"/>
        <v>41348</v>
      </c>
      <c r="C24" s="47">
        <f t="shared" si="10"/>
        <v>41364</v>
      </c>
      <c r="D24" s="36" t="b">
        <f t="shared" si="11"/>
        <v>1</v>
      </c>
      <c r="E24" s="47">
        <f t="shared" si="6"/>
        <v>41362</v>
      </c>
      <c r="F24" s="47">
        <f t="shared" si="0"/>
        <v>41365</v>
      </c>
      <c r="G24" s="33">
        <f t="shared" si="1"/>
        <v>15</v>
      </c>
      <c r="H24" s="33">
        <f t="shared" si="2"/>
        <v>14</v>
      </c>
      <c r="I24" s="33">
        <f t="shared" si="3"/>
        <v>100</v>
      </c>
      <c r="J24" s="33">
        <f t="shared" si="4"/>
        <v>105.51963746223571</v>
      </c>
      <c r="K24" s="34">
        <f t="shared" si="8"/>
        <v>102.85498489425984</v>
      </c>
      <c r="L24" s="34">
        <f t="shared" si="7"/>
        <v>1</v>
      </c>
      <c r="M24" s="34">
        <f t="shared" si="9"/>
        <v>102.85498489425984</v>
      </c>
      <c r="N24" s="33">
        <f>IF(D24,COUNT($B$13:B24)-1,"")</f>
        <v>11</v>
      </c>
      <c r="O24" s="33">
        <f t="shared" si="12"/>
        <v>10</v>
      </c>
      <c r="P24" s="9">
        <f t="shared" si="13"/>
        <v>0.19033232628397911</v>
      </c>
    </row>
    <row r="25" spans="2:16" x14ac:dyDescent="0.25">
      <c r="B25" s="35">
        <f t="shared" si="5"/>
        <v>41351</v>
      </c>
      <c r="C25" s="47">
        <f t="shared" si="10"/>
        <v>41364</v>
      </c>
      <c r="D25" s="36" t="b">
        <f t="shared" si="11"/>
        <v>1</v>
      </c>
      <c r="E25" s="47">
        <f t="shared" si="6"/>
        <v>41362</v>
      </c>
      <c r="F25" s="47">
        <f t="shared" si="0"/>
        <v>41365</v>
      </c>
      <c r="G25" s="33">
        <f t="shared" si="1"/>
        <v>18</v>
      </c>
      <c r="H25" s="33">
        <f t="shared" si="2"/>
        <v>11</v>
      </c>
      <c r="I25" s="33">
        <f t="shared" si="3"/>
        <v>100</v>
      </c>
      <c r="J25" s="33">
        <f t="shared" si="4"/>
        <v>105.51963746223571</v>
      </c>
      <c r="K25" s="34">
        <f t="shared" si="8"/>
        <v>103.42598187311181</v>
      </c>
      <c r="L25" s="34">
        <f t="shared" si="7"/>
        <v>1</v>
      </c>
      <c r="M25" s="34">
        <f t="shared" si="9"/>
        <v>103.42598187311181</v>
      </c>
      <c r="N25" s="33">
        <f>IF(D25,COUNT($B$13:B25)-1,"")</f>
        <v>12</v>
      </c>
      <c r="O25" s="33">
        <f t="shared" si="12"/>
        <v>9</v>
      </c>
      <c r="P25" s="9">
        <f t="shared" si="13"/>
        <v>0.57099697885196576</v>
      </c>
    </row>
    <row r="26" spans="2:16" x14ac:dyDescent="0.25">
      <c r="B26" s="35">
        <f t="shared" si="5"/>
        <v>41352</v>
      </c>
      <c r="C26" s="47">
        <f t="shared" si="10"/>
        <v>41364</v>
      </c>
      <c r="D26" s="36" t="b">
        <f t="shared" si="11"/>
        <v>1</v>
      </c>
      <c r="E26" s="47">
        <f t="shared" si="6"/>
        <v>41362</v>
      </c>
      <c r="F26" s="47">
        <f t="shared" si="0"/>
        <v>41365</v>
      </c>
      <c r="G26" s="33">
        <f t="shared" si="1"/>
        <v>19</v>
      </c>
      <c r="H26" s="33">
        <f t="shared" si="2"/>
        <v>10</v>
      </c>
      <c r="I26" s="33">
        <f t="shared" si="3"/>
        <v>100</v>
      </c>
      <c r="J26" s="33">
        <f t="shared" si="4"/>
        <v>105.51963746223571</v>
      </c>
      <c r="K26" s="34">
        <f t="shared" si="8"/>
        <v>103.6163141993958</v>
      </c>
      <c r="L26" s="34">
        <f t="shared" si="7"/>
        <v>1</v>
      </c>
      <c r="M26" s="34">
        <f t="shared" si="9"/>
        <v>103.6163141993958</v>
      </c>
      <c r="N26" s="33">
        <f>IF(D26,COUNT($B$13:B26)-1,"")</f>
        <v>13</v>
      </c>
      <c r="O26" s="33">
        <f t="shared" si="12"/>
        <v>8</v>
      </c>
      <c r="P26" s="9">
        <f t="shared" si="13"/>
        <v>0.19033232628399332</v>
      </c>
    </row>
    <row r="27" spans="2:16" x14ac:dyDescent="0.25">
      <c r="B27" s="35">
        <f t="shared" si="5"/>
        <v>41353</v>
      </c>
      <c r="C27" s="47">
        <f t="shared" si="10"/>
        <v>41364</v>
      </c>
      <c r="D27" s="36" t="b">
        <f t="shared" si="11"/>
        <v>1</v>
      </c>
      <c r="E27" s="47">
        <f t="shared" si="6"/>
        <v>41362</v>
      </c>
      <c r="F27" s="47">
        <f t="shared" si="0"/>
        <v>41365</v>
      </c>
      <c r="G27" s="33">
        <f t="shared" si="1"/>
        <v>20</v>
      </c>
      <c r="H27" s="33">
        <f t="shared" si="2"/>
        <v>9</v>
      </c>
      <c r="I27" s="33">
        <f t="shared" si="3"/>
        <v>100</v>
      </c>
      <c r="J27" s="33">
        <f t="shared" si="4"/>
        <v>105.51963746223571</v>
      </c>
      <c r="K27" s="34">
        <f t="shared" si="8"/>
        <v>103.8066465256798</v>
      </c>
      <c r="L27" s="34">
        <f t="shared" si="7"/>
        <v>1</v>
      </c>
      <c r="M27" s="34">
        <f t="shared" si="9"/>
        <v>103.8066465256798</v>
      </c>
      <c r="N27" s="33">
        <f>IF(D27,COUNT($B$13:B27)-1,"")</f>
        <v>14</v>
      </c>
      <c r="O27" s="33">
        <f t="shared" si="12"/>
        <v>7</v>
      </c>
      <c r="P27" s="9">
        <f t="shared" si="13"/>
        <v>0.19033232628399332</v>
      </c>
    </row>
    <row r="28" spans="2:16" x14ac:dyDescent="0.25">
      <c r="B28" s="35">
        <f t="shared" si="5"/>
        <v>41354</v>
      </c>
      <c r="C28" s="47">
        <f t="shared" si="10"/>
        <v>41364</v>
      </c>
      <c r="D28" s="36" t="b">
        <f t="shared" si="11"/>
        <v>1</v>
      </c>
      <c r="E28" s="47">
        <f t="shared" si="6"/>
        <v>41362</v>
      </c>
      <c r="F28" s="47">
        <f t="shared" si="0"/>
        <v>41365</v>
      </c>
      <c r="G28" s="33">
        <f t="shared" si="1"/>
        <v>21</v>
      </c>
      <c r="H28" s="33">
        <f t="shared" si="2"/>
        <v>8</v>
      </c>
      <c r="I28" s="33">
        <f t="shared" si="3"/>
        <v>100</v>
      </c>
      <c r="J28" s="33">
        <f t="shared" si="4"/>
        <v>105.51963746223571</v>
      </c>
      <c r="K28" s="34">
        <f t="shared" si="8"/>
        <v>103.99697885196379</v>
      </c>
      <c r="L28" s="34">
        <f t="shared" si="7"/>
        <v>1</v>
      </c>
      <c r="M28" s="34">
        <f t="shared" si="9"/>
        <v>103.99697885196379</v>
      </c>
      <c r="N28" s="33">
        <f>IF(D28,COUNT($B$13:B28)-1,"")</f>
        <v>15</v>
      </c>
      <c r="O28" s="33">
        <f t="shared" si="12"/>
        <v>6</v>
      </c>
      <c r="P28" s="9">
        <f t="shared" si="13"/>
        <v>0.19033232628399332</v>
      </c>
    </row>
    <row r="29" spans="2:16" x14ac:dyDescent="0.25">
      <c r="B29" s="35">
        <f t="shared" si="5"/>
        <v>41355</v>
      </c>
      <c r="C29" s="47">
        <f t="shared" si="10"/>
        <v>41364</v>
      </c>
      <c r="D29" s="36" t="b">
        <f t="shared" si="11"/>
        <v>1</v>
      </c>
      <c r="E29" s="47">
        <f t="shared" si="6"/>
        <v>41362</v>
      </c>
      <c r="F29" s="47">
        <f t="shared" si="0"/>
        <v>41365</v>
      </c>
      <c r="G29" s="33">
        <f t="shared" si="1"/>
        <v>22</v>
      </c>
      <c r="H29" s="33">
        <f t="shared" si="2"/>
        <v>7</v>
      </c>
      <c r="I29" s="33">
        <f t="shared" si="3"/>
        <v>100</v>
      </c>
      <c r="J29" s="33">
        <f t="shared" si="4"/>
        <v>105.51963746223571</v>
      </c>
      <c r="K29" s="34">
        <f t="shared" si="8"/>
        <v>104.18731117824778</v>
      </c>
      <c r="L29" s="34">
        <f t="shared" si="7"/>
        <v>1</v>
      </c>
      <c r="M29" s="34">
        <f t="shared" si="9"/>
        <v>104.18731117824778</v>
      </c>
      <c r="N29" s="33">
        <f>IF(D29,COUNT($B$13:B29)-1,"")</f>
        <v>16</v>
      </c>
      <c r="O29" s="33">
        <f t="shared" si="12"/>
        <v>5</v>
      </c>
      <c r="P29" s="9">
        <f t="shared" si="13"/>
        <v>0.19033232628399332</v>
      </c>
    </row>
    <row r="30" spans="2:16" x14ac:dyDescent="0.25">
      <c r="B30" s="35">
        <f t="shared" si="5"/>
        <v>41358</v>
      </c>
      <c r="C30" s="47">
        <f t="shared" si="10"/>
        <v>41364</v>
      </c>
      <c r="D30" s="36" t="b">
        <f t="shared" si="11"/>
        <v>1</v>
      </c>
      <c r="E30" s="47">
        <f t="shared" si="6"/>
        <v>41362</v>
      </c>
      <c r="F30" s="47">
        <f t="shared" si="0"/>
        <v>41365</v>
      </c>
      <c r="G30" s="33">
        <f t="shared" si="1"/>
        <v>25</v>
      </c>
      <c r="H30" s="33">
        <f t="shared" si="2"/>
        <v>4</v>
      </c>
      <c r="I30" s="33">
        <f t="shared" si="3"/>
        <v>100</v>
      </c>
      <c r="J30" s="33">
        <f t="shared" si="4"/>
        <v>105.51963746223571</v>
      </c>
      <c r="K30" s="34">
        <f t="shared" si="8"/>
        <v>104.75830815709975</v>
      </c>
      <c r="L30" s="34">
        <f t="shared" si="7"/>
        <v>1</v>
      </c>
      <c r="M30" s="34">
        <f t="shared" si="9"/>
        <v>104.75830815709975</v>
      </c>
      <c r="N30" s="33">
        <f>IF(D30,COUNT($B$13:B30)-1,"")</f>
        <v>17</v>
      </c>
      <c r="O30" s="33">
        <f t="shared" si="12"/>
        <v>4</v>
      </c>
      <c r="P30" s="9">
        <f t="shared" si="13"/>
        <v>0.57099697885196576</v>
      </c>
    </row>
    <row r="31" spans="2:16" x14ac:dyDescent="0.25">
      <c r="B31" s="35">
        <f t="shared" si="5"/>
        <v>41359</v>
      </c>
      <c r="C31" s="47">
        <f t="shared" si="10"/>
        <v>41364</v>
      </c>
      <c r="D31" s="36" t="b">
        <f t="shared" si="11"/>
        <v>1</v>
      </c>
      <c r="E31" s="47">
        <f t="shared" si="6"/>
        <v>41362</v>
      </c>
      <c r="F31" s="47">
        <f t="shared" si="0"/>
        <v>41365</v>
      </c>
      <c r="G31" s="33">
        <f t="shared" si="1"/>
        <v>26</v>
      </c>
      <c r="H31" s="33">
        <f t="shared" si="2"/>
        <v>3</v>
      </c>
      <c r="I31" s="33">
        <f t="shared" si="3"/>
        <v>100</v>
      </c>
      <c r="J31" s="33">
        <f t="shared" si="4"/>
        <v>105.51963746223571</v>
      </c>
      <c r="K31" s="34">
        <f t="shared" si="8"/>
        <v>104.94864048338374</v>
      </c>
      <c r="L31" s="34">
        <f t="shared" si="7"/>
        <v>1</v>
      </c>
      <c r="M31" s="34">
        <f t="shared" si="9"/>
        <v>104.94864048338374</v>
      </c>
      <c r="N31" s="33">
        <f>IF(D31,COUNT($B$13:B31)-1,"")</f>
        <v>18</v>
      </c>
      <c r="O31" s="33">
        <f t="shared" si="12"/>
        <v>3</v>
      </c>
      <c r="P31" s="9">
        <f t="shared" si="13"/>
        <v>0.19033232628399332</v>
      </c>
    </row>
    <row r="32" spans="2:16" x14ac:dyDescent="0.25">
      <c r="B32" s="35">
        <f t="shared" si="5"/>
        <v>41360</v>
      </c>
      <c r="C32" s="47">
        <f t="shared" si="10"/>
        <v>41364</v>
      </c>
      <c r="D32" s="36" t="b">
        <f t="shared" si="11"/>
        <v>1</v>
      </c>
      <c r="E32" s="47">
        <f t="shared" si="6"/>
        <v>41362</v>
      </c>
      <c r="F32" s="47">
        <f t="shared" si="0"/>
        <v>41365</v>
      </c>
      <c r="G32" s="33">
        <f t="shared" si="1"/>
        <v>27</v>
      </c>
      <c r="H32" s="33">
        <f t="shared" si="2"/>
        <v>2</v>
      </c>
      <c r="I32" s="33">
        <f t="shared" si="3"/>
        <v>100</v>
      </c>
      <c r="J32" s="33">
        <f t="shared" si="4"/>
        <v>105.51963746223571</v>
      </c>
      <c r="K32" s="34">
        <f t="shared" si="8"/>
        <v>105.13897280966772</v>
      </c>
      <c r="L32" s="34">
        <f t="shared" si="7"/>
        <v>1</v>
      </c>
      <c r="M32" s="34">
        <f t="shared" si="9"/>
        <v>105.13897280966772</v>
      </c>
      <c r="N32" s="33">
        <f>IF(D32,COUNT($B$13:B32)-1,"")</f>
        <v>19</v>
      </c>
      <c r="O32" s="33">
        <f t="shared" si="12"/>
        <v>2</v>
      </c>
      <c r="P32" s="9">
        <f t="shared" si="13"/>
        <v>0.19033232628397911</v>
      </c>
    </row>
    <row r="33" spans="2:21" x14ac:dyDescent="0.25">
      <c r="B33" s="35">
        <f t="shared" si="5"/>
        <v>41361</v>
      </c>
      <c r="C33" s="47">
        <f t="shared" si="10"/>
        <v>41364</v>
      </c>
      <c r="D33" s="36" t="b">
        <f t="shared" si="11"/>
        <v>1</v>
      </c>
      <c r="E33" s="47">
        <f t="shared" si="6"/>
        <v>41362</v>
      </c>
      <c r="F33" s="47">
        <f t="shared" si="0"/>
        <v>41365</v>
      </c>
      <c r="G33" s="33">
        <f t="shared" si="1"/>
        <v>28</v>
      </c>
      <c r="H33" s="33">
        <f t="shared" si="2"/>
        <v>1</v>
      </c>
      <c r="I33" s="33">
        <f t="shared" si="3"/>
        <v>100</v>
      </c>
      <c r="J33" s="33">
        <f t="shared" si="4"/>
        <v>105.51963746223571</v>
      </c>
      <c r="K33" s="34">
        <f t="shared" si="8"/>
        <v>105.32930513595173</v>
      </c>
      <c r="L33" s="34">
        <f t="shared" si="7"/>
        <v>1</v>
      </c>
      <c r="M33" s="34">
        <f t="shared" si="9"/>
        <v>105.32930513595173</v>
      </c>
      <c r="N33" s="33">
        <f>IF(D33,COUNT($B$13:B33)-1,"")</f>
        <v>20</v>
      </c>
      <c r="O33" s="33">
        <f t="shared" si="12"/>
        <v>1</v>
      </c>
      <c r="P33" s="9">
        <f t="shared" si="13"/>
        <v>0.19033232628400754</v>
      </c>
    </row>
    <row r="34" spans="2:21" x14ac:dyDescent="0.25">
      <c r="B34" s="35">
        <f t="shared" si="5"/>
        <v>41362</v>
      </c>
      <c r="C34" s="47">
        <f t="shared" si="10"/>
        <v>41364</v>
      </c>
      <c r="D34" s="36" t="b">
        <f t="shared" si="11"/>
        <v>1</v>
      </c>
      <c r="E34" s="47">
        <f t="shared" si="6"/>
        <v>41362</v>
      </c>
      <c r="F34" s="47">
        <f t="shared" si="0"/>
        <v>41365</v>
      </c>
      <c r="G34" s="33">
        <f t="shared" si="1"/>
        <v>29</v>
      </c>
      <c r="H34" s="33">
        <f t="shared" si="2"/>
        <v>0</v>
      </c>
      <c r="I34" s="33">
        <f t="shared" si="3"/>
        <v>100</v>
      </c>
      <c r="J34" s="33">
        <f t="shared" si="4"/>
        <v>105.51963746223571</v>
      </c>
      <c r="K34" s="34">
        <f t="shared" si="8"/>
        <v>105.51963746223571</v>
      </c>
      <c r="L34" s="34">
        <f t="shared" si="7"/>
        <v>1</v>
      </c>
      <c r="M34" s="34">
        <f t="shared" si="9"/>
        <v>105.51963746223571</v>
      </c>
      <c r="N34" s="33">
        <f>IF(D34,COUNT($B$13:B34)-1,"")</f>
        <v>21</v>
      </c>
      <c r="O34" s="33">
        <f t="shared" si="12"/>
        <v>0</v>
      </c>
      <c r="P34" s="9">
        <f t="shared" si="13"/>
        <v>0.19033232628397911</v>
      </c>
    </row>
    <row r="35" spans="2:21" x14ac:dyDescent="0.25">
      <c r="B35" s="35">
        <f t="shared" si="5"/>
        <v>41365</v>
      </c>
      <c r="C35" s="47">
        <f t="shared" si="10"/>
        <v>41394</v>
      </c>
      <c r="D35" s="36" t="b">
        <f t="shared" si="11"/>
        <v>0</v>
      </c>
      <c r="E35" s="47">
        <f t="shared" si="6"/>
        <v>41394</v>
      </c>
      <c r="F35" s="47">
        <f t="shared" si="0"/>
        <v>41395</v>
      </c>
      <c r="G35" s="33">
        <f t="shared" si="1"/>
        <v>0</v>
      </c>
      <c r="H35" s="33">
        <f t="shared" si="2"/>
        <v>29</v>
      </c>
      <c r="I35" s="33">
        <f t="shared" si="3"/>
        <v>100</v>
      </c>
      <c r="J35" s="33">
        <f t="shared" si="4"/>
        <v>105.51963746223571</v>
      </c>
      <c r="K35" s="34" t="str">
        <f t="shared" si="8"/>
        <v/>
      </c>
      <c r="L35" s="34" t="str">
        <f t="shared" si="7"/>
        <v/>
      </c>
      <c r="M35" s="34" t="str">
        <f t="shared" si="9"/>
        <v/>
      </c>
      <c r="N35" s="33" t="str">
        <f>IF(D35,COUNT($B$13:B35)-1,"")</f>
        <v/>
      </c>
      <c r="O35" s="33" t="str">
        <f t="shared" si="12"/>
        <v/>
      </c>
      <c r="P35" s="9" t="str">
        <f t="shared" si="13"/>
        <v/>
      </c>
    </row>
    <row r="36" spans="2:21" x14ac:dyDescent="0.25">
      <c r="B36" s="35">
        <f t="shared" si="5"/>
        <v>41366</v>
      </c>
      <c r="C36" s="47">
        <f t="shared" si="10"/>
        <v>41394</v>
      </c>
      <c r="D36" s="36" t="b">
        <f t="shared" si="11"/>
        <v>0</v>
      </c>
      <c r="E36" s="47">
        <f t="shared" si="6"/>
        <v>41394</v>
      </c>
      <c r="F36" s="47">
        <f t="shared" ref="F36:F37" si="14">C36+1</f>
        <v>41395</v>
      </c>
      <c r="G36" s="33">
        <f t="shared" si="1"/>
        <v>0</v>
      </c>
      <c r="H36" s="33">
        <f t="shared" si="2"/>
        <v>29</v>
      </c>
      <c r="I36" s="33">
        <f t="shared" si="3"/>
        <v>100</v>
      </c>
      <c r="J36" s="33">
        <f t="shared" si="4"/>
        <v>105.51963746223571</v>
      </c>
      <c r="K36" s="34" t="str">
        <f t="shared" si="8"/>
        <v/>
      </c>
      <c r="L36" s="34" t="str">
        <f t="shared" si="7"/>
        <v/>
      </c>
      <c r="M36" s="34" t="str">
        <f t="shared" si="9"/>
        <v/>
      </c>
      <c r="N36" s="33" t="str">
        <f>IF(D36,COUNT($B$13:B36)-1,"")</f>
        <v/>
      </c>
      <c r="O36" s="33" t="str">
        <f t="shared" si="12"/>
        <v/>
      </c>
      <c r="P36" s="9" t="str">
        <f t="shared" si="13"/>
        <v/>
      </c>
    </row>
    <row r="37" spans="2:21" ht="15.75" thickBot="1" x14ac:dyDescent="0.3">
      <c r="B37" s="37">
        <f t="shared" si="5"/>
        <v>41367</v>
      </c>
      <c r="C37" s="48">
        <f t="shared" si="10"/>
        <v>41394</v>
      </c>
      <c r="D37" s="38" t="b">
        <f t="shared" si="11"/>
        <v>0</v>
      </c>
      <c r="E37" s="48">
        <f t="shared" si="6"/>
        <v>41394</v>
      </c>
      <c r="F37" s="48">
        <f t="shared" si="14"/>
        <v>41395</v>
      </c>
      <c r="G37" s="39">
        <f t="shared" si="1"/>
        <v>0</v>
      </c>
      <c r="H37" s="39">
        <f t="shared" si="2"/>
        <v>29</v>
      </c>
      <c r="I37" s="39">
        <f t="shared" si="3"/>
        <v>100</v>
      </c>
      <c r="J37" s="39">
        <f t="shared" si="4"/>
        <v>105.51963746223571</v>
      </c>
      <c r="K37" s="40" t="str">
        <f t="shared" si="8"/>
        <v/>
      </c>
      <c r="L37" s="40" t="str">
        <f t="shared" si="7"/>
        <v/>
      </c>
      <c r="M37" s="40" t="str">
        <f t="shared" si="9"/>
        <v/>
      </c>
      <c r="N37" s="39" t="str">
        <f>IF(D37,COUNT($B$13:B37)-1,"")</f>
        <v/>
      </c>
      <c r="O37" s="39"/>
      <c r="P37" s="12" t="str">
        <f t="shared" si="13"/>
        <v/>
      </c>
    </row>
    <row r="38" spans="2:21" x14ac:dyDescent="0.25">
      <c r="B38" s="41"/>
      <c r="C38" s="41"/>
      <c r="D38" s="41"/>
      <c r="E38" s="41"/>
      <c r="F38" s="41"/>
    </row>
    <row r="39" spans="2:21" ht="22.5" customHeight="1" x14ac:dyDescent="0.35">
      <c r="D39" s="42"/>
    </row>
    <row r="40" spans="2:21" x14ac:dyDescent="0.25">
      <c r="D40" s="43"/>
    </row>
    <row r="41" spans="2:21" x14ac:dyDescent="0.25">
      <c r="D41" s="44"/>
      <c r="U41" s="1" t="s">
        <v>12</v>
      </c>
    </row>
    <row r="42" spans="2:21" x14ac:dyDescent="0.25">
      <c r="D42" s="45"/>
      <c r="U42" s="1" t="s">
        <v>14</v>
      </c>
    </row>
    <row r="43" spans="2:21" x14ac:dyDescent="0.25">
      <c r="D43" s="45"/>
    </row>
    <row r="44" spans="2:21" x14ac:dyDescent="0.25">
      <c r="D44" s="45"/>
    </row>
    <row r="45" spans="2:21" ht="21" x14ac:dyDescent="0.35">
      <c r="D45" s="42"/>
    </row>
    <row r="46" spans="2:21" x14ac:dyDescent="0.25">
      <c r="D46" s="45"/>
    </row>
    <row r="47" spans="2:21" x14ac:dyDescent="0.25">
      <c r="D47" s="33"/>
    </row>
  </sheetData>
  <mergeCells count="2">
    <mergeCell ref="A2:B2"/>
    <mergeCell ref="A8:B8"/>
  </mergeCells>
  <dataValidations count="1">
    <dataValidation type="list" allowBlank="1" showInputMessage="1" showErrorMessage="1" sqref="B5:B6" xr:uid="{00000000-0002-0000-0000-000000000000}">
      <formula1>DayTypes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Count</vt:lpstr>
      <vt:lpstr>DayTypes</vt:lpstr>
      <vt:lpstr>Holidays</vt:lpstr>
    </vt:vector>
  </TitlesOfParts>
  <Company>Commonwealth Bank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watta</dc:creator>
  <cp:lastModifiedBy>Alex</cp:lastModifiedBy>
  <dcterms:created xsi:type="dcterms:W3CDTF">2013-12-05T21:38:32Z</dcterms:created>
  <dcterms:modified xsi:type="dcterms:W3CDTF">2019-06-27T23:32:39Z</dcterms:modified>
</cp:coreProperties>
</file>