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44DEE0FC-A48A-41B4-ADBF-990769E7A24C}" xr6:coauthVersionLast="44" xr6:coauthVersionMax="44" xr10:uidLastSave="{00000000-0000-0000-0000-000000000000}"/>
  <bookViews>
    <workbookView xWindow="1410" yWindow="465" windowWidth="26370" windowHeight="14820" tabRatio="836" activeTab="5" xr2:uid="{00000000-000D-0000-FFFF-FFFF00000000}"/>
  </bookViews>
  <sheets>
    <sheet name="AUDDiscountCurve" sheetId="10" r:id="rId1"/>
    <sheet name="BondDiscountCurve" sheetId="4" r:id="rId2"/>
    <sheet name="BondCurve-BondForward" sheetId="8" r:id="rId3"/>
    <sheet name="BondCurve-Repo" sheetId="7" r:id="rId4"/>
    <sheet name="BondSpreadCurve-RepoSpread" sheetId="9" r:id="rId5"/>
    <sheet name="BondTransaction" sheetId="3" r:id="rId6"/>
    <sheet name="BondTransaction (2)" sheetId="11" r:id="rId7"/>
    <sheet name="BondTransactions" sheetId="5" r:id="rId8"/>
  </sheets>
  <definedNames>
    <definedName name="Currency">BondTransactions!$K$4</definedName>
    <definedName name="HLInstruments" localSheetId="0">AUDDiscountCurve!$C$18:$E$41</definedName>
    <definedName name="Market">AUDDiscountCurve!$B$5</definedName>
    <definedName name="Market1">'BondSpreadCurve-RepoSpread'!$B$2</definedName>
    <definedName name="Market2">'BondSpreadCurve-RepoSpread'!$F$2</definedName>
    <definedName name="Market3">'BondSpreadCurve-RepoSpread'!$F$18</definedName>
    <definedName name="Market4">'BondSpreadCurve-RepoSpread'!$F$34</definedName>
    <definedName name="Market5">'BondSpreadCurve-RepoSpread'!$F$50</definedName>
    <definedName name="Markets">'BondCurve-BondForward'!$I$6:$I$10</definedName>
    <definedName name="Metrics">BondTransactions!$P$2:$P$5</definedName>
    <definedName name="Rates" localSheetId="0">AUDDiscountCurve!$D$18:$D$41</definedName>
    <definedName name="Spreads" localSheetId="0">AUDDiscountCurve!$E$18:$E$41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0" l="1"/>
  <c r="H1" i="11" a="1"/>
  <c r="E32" i="11" a="1"/>
  <c r="H1" i="11" l="1"/>
  <c r="H9" i="11"/>
  <c r="H2" i="11"/>
  <c r="H10" i="11"/>
  <c r="H3" i="11"/>
  <c r="H11" i="11"/>
  <c r="H4" i="11"/>
  <c r="H12" i="11"/>
  <c r="H5" i="11"/>
  <c r="H13" i="11"/>
  <c r="H6" i="11"/>
  <c r="H7" i="11"/>
  <c r="H8" i="11"/>
  <c r="E32" i="11"/>
  <c r="E36" i="11"/>
  <c r="E40" i="11"/>
  <c r="E44" i="11"/>
  <c r="E48" i="11"/>
  <c r="E52" i="11"/>
  <c r="F37" i="11"/>
  <c r="F49" i="11"/>
  <c r="E42" i="11"/>
  <c r="E50" i="11"/>
  <c r="F38" i="11"/>
  <c r="F54" i="11"/>
  <c r="E43" i="11"/>
  <c r="E55" i="11"/>
  <c r="F43" i="11"/>
  <c r="F55" i="11"/>
  <c r="F32" i="11"/>
  <c r="F36" i="11"/>
  <c r="F40" i="11"/>
  <c r="F44" i="11"/>
  <c r="F48" i="11"/>
  <c r="F52" i="11"/>
  <c r="F41" i="11"/>
  <c r="E34" i="11"/>
  <c r="E54" i="11"/>
  <c r="F42" i="11"/>
  <c r="F50" i="11"/>
  <c r="E39" i="11"/>
  <c r="E51" i="11"/>
  <c r="F35" i="11"/>
  <c r="F47" i="11"/>
  <c r="E33" i="11"/>
  <c r="E37" i="11"/>
  <c r="E41" i="11"/>
  <c r="E45" i="11"/>
  <c r="E49" i="11"/>
  <c r="E53" i="11"/>
  <c r="F33" i="11"/>
  <c r="F45" i="11"/>
  <c r="F53" i="11"/>
  <c r="E38" i="11"/>
  <c r="E46" i="11"/>
  <c r="F34" i="11"/>
  <c r="F46" i="11"/>
  <c r="E35" i="11"/>
  <c r="E47" i="11"/>
  <c r="F39" i="11"/>
  <c r="F51" i="11"/>
  <c r="E27" i="11"/>
  <c r="K2" i="5"/>
  <c r="I1" i="3"/>
  <c r="E16" i="11" a="1"/>
  <c r="F1" i="3" a="1"/>
  <c r="F17" i="11" l="1"/>
  <c r="F19" i="11"/>
  <c r="F21" i="11"/>
  <c r="E16" i="11"/>
  <c r="E18" i="11"/>
  <c r="E20" i="11"/>
  <c r="E22" i="11"/>
  <c r="F18" i="11"/>
  <c r="F16" i="11"/>
  <c r="F22" i="11"/>
  <c r="F20" i="11"/>
  <c r="E19" i="11"/>
  <c r="E21" i="11"/>
  <c r="E17" i="11"/>
  <c r="F3" i="3"/>
  <c r="F7" i="3"/>
  <c r="F11" i="3"/>
  <c r="F2" i="3"/>
  <c r="F8" i="3"/>
  <c r="F13" i="3"/>
  <c r="F4" i="3"/>
  <c r="F9" i="3"/>
  <c r="F5" i="3"/>
  <c r="F10" i="3"/>
  <c r="F12" i="3"/>
  <c r="F6" i="3"/>
  <c r="F1" i="3"/>
  <c r="C10" i="11"/>
  <c r="C16" i="11" s="1"/>
  <c r="H61" i="10"/>
  <c r="H62" i="10" s="1"/>
  <c r="H48" i="10"/>
  <c r="H49" i="10" s="1"/>
  <c r="H36" i="10"/>
  <c r="H22" i="10"/>
  <c r="H23" i="10" s="1"/>
  <c r="H9" i="10"/>
  <c r="H10" i="10" s="1"/>
  <c r="C11" i="11" l="1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B8" i="10"/>
  <c r="B9" i="10" s="1"/>
  <c r="B3" i="10"/>
  <c r="B4" i="10" s="1"/>
  <c r="E25" i="11"/>
  <c r="A1" i="10"/>
  <c r="E24" i="11" l="1"/>
  <c r="B13" i="10"/>
  <c r="G62" i="8"/>
  <c r="G48" i="8"/>
  <c r="G34" i="8"/>
  <c r="G20" i="8"/>
  <c r="G55" i="9"/>
  <c r="G54" i="9"/>
  <c r="G53" i="9"/>
  <c r="G6" i="9"/>
  <c r="G22" i="9"/>
  <c r="G38" i="9"/>
  <c r="G39" i="9"/>
  <c r="G23" i="9"/>
  <c r="G7" i="9"/>
  <c r="G37" i="9"/>
  <c r="G21" i="9"/>
  <c r="G5" i="9"/>
  <c r="B24" i="11" a="1"/>
  <c r="C24" i="11" l="1"/>
  <c r="B33" i="11"/>
  <c r="C41" i="11"/>
  <c r="C34" i="11"/>
  <c r="B43" i="11"/>
  <c r="B32" i="11"/>
  <c r="C33" i="11"/>
  <c r="C37" i="11"/>
  <c r="C28" i="11"/>
  <c r="B37" i="11"/>
  <c r="C45" i="11"/>
  <c r="C38" i="11"/>
  <c r="C27" i="11"/>
  <c r="B36" i="11"/>
  <c r="C40" i="11"/>
  <c r="C25" i="11"/>
  <c r="B34" i="11"/>
  <c r="B31" i="11"/>
  <c r="C30" i="11"/>
  <c r="C32" i="11"/>
  <c r="B41" i="11"/>
  <c r="B26" i="11"/>
  <c r="C42" i="11"/>
  <c r="C31" i="11"/>
  <c r="B40" i="11"/>
  <c r="C39" i="11"/>
  <c r="B25" i="11"/>
  <c r="B24" i="11"/>
  <c r="C26" i="11"/>
  <c r="C36" i="11"/>
  <c r="B45" i="11"/>
  <c r="B30" i="11"/>
  <c r="B27" i="11"/>
  <c r="C35" i="11"/>
  <c r="B44" i="11"/>
  <c r="B42" i="11"/>
  <c r="B35" i="11"/>
  <c r="C44" i="11"/>
  <c r="C29" i="11"/>
  <c r="B38" i="11"/>
  <c r="B39" i="11"/>
  <c r="C43" i="11"/>
  <c r="B29" i="11"/>
  <c r="B28" i="11"/>
  <c r="G4" i="9"/>
  <c r="G52" i="9"/>
  <c r="G20" i="9"/>
  <c r="G36" i="9"/>
  <c r="C5" i="9"/>
  <c r="F18" i="9"/>
  <c r="F2" i="9"/>
  <c r="F34" i="9"/>
  <c r="F50" i="9"/>
  <c r="C4" i="9" l="1"/>
  <c r="C5" i="8"/>
  <c r="C5" i="7"/>
  <c r="B2" i="9"/>
  <c r="G7" i="8" l="1"/>
  <c r="C4" i="7"/>
  <c r="C4" i="8"/>
  <c r="K5" i="5"/>
  <c r="F7" i="5"/>
  <c r="G7" i="5" s="1"/>
  <c r="K3" i="5"/>
  <c r="C5" i="4"/>
  <c r="B2" i="8"/>
  <c r="B27" i="9" a="1"/>
  <c r="K7" i="5"/>
  <c r="B34" i="9" a="1"/>
  <c r="B2" i="7"/>
  <c r="C27" i="9" l="1"/>
  <c r="B30" i="9"/>
  <c r="C28" i="9"/>
  <c r="B31" i="9"/>
  <c r="B29" i="9"/>
  <c r="B27" i="9"/>
  <c r="C29" i="9"/>
  <c r="C30" i="9"/>
  <c r="B28" i="9"/>
  <c r="C31" i="9"/>
  <c r="C34" i="9"/>
  <c r="B34" i="9"/>
  <c r="B41" i="9" s="1"/>
  <c r="B38" i="9"/>
  <c r="C36" i="9"/>
  <c r="B35" i="9"/>
  <c r="B42" i="9" s="1"/>
  <c r="B36" i="9"/>
  <c r="B43" i="9" s="1"/>
  <c r="B37" i="9"/>
  <c r="B44" i="9" s="1"/>
  <c r="C37" i="9"/>
  <c r="C35" i="9"/>
  <c r="C38" i="9"/>
  <c r="G63" i="8"/>
  <c r="I10" i="8" s="1"/>
  <c r="G4" i="8"/>
  <c r="G5" i="8" s="1"/>
  <c r="H6" i="10"/>
  <c r="G35" i="8"/>
  <c r="I6" i="8"/>
  <c r="I2" i="3" s="1"/>
  <c r="G21" i="8"/>
  <c r="G49" i="8"/>
  <c r="C4" i="4"/>
  <c r="F9" i="5"/>
  <c r="G9" i="5" s="1"/>
  <c r="C10" i="3"/>
  <c r="B32" i="7" a="1"/>
  <c r="F2" i="8"/>
  <c r="B25" i="7" a="1"/>
  <c r="P7" i="5"/>
  <c r="C41" i="9" a="1"/>
  <c r="B45" i="8" a="1"/>
  <c r="B52" i="8" a="1"/>
  <c r="B2" i="4"/>
  <c r="K9" i="5"/>
  <c r="C27" i="7" l="1"/>
  <c r="C26" i="7"/>
  <c r="C25" i="7"/>
  <c r="B29" i="7"/>
  <c r="B26" i="7"/>
  <c r="C28" i="7"/>
  <c r="B25" i="7"/>
  <c r="B28" i="7"/>
  <c r="C29" i="7"/>
  <c r="B27" i="7"/>
  <c r="B49" i="8"/>
  <c r="B48" i="8"/>
  <c r="C47" i="8"/>
  <c r="B47" i="8"/>
  <c r="C48" i="8"/>
  <c r="B45" i="8"/>
  <c r="C49" i="8"/>
  <c r="B46" i="8"/>
  <c r="C45" i="8"/>
  <c r="C46" i="8"/>
  <c r="C36" i="7"/>
  <c r="B36" i="7"/>
  <c r="B43" i="7" s="1"/>
  <c r="B35" i="7"/>
  <c r="B42" i="7" s="1"/>
  <c r="C35" i="7"/>
  <c r="B33" i="7"/>
  <c r="B40" i="7" s="1"/>
  <c r="C34" i="7"/>
  <c r="C32" i="7"/>
  <c r="B32" i="7"/>
  <c r="B39" i="7" s="1"/>
  <c r="B34" i="7"/>
  <c r="B41" i="7" s="1"/>
  <c r="C33" i="7"/>
  <c r="B53" i="8"/>
  <c r="B60" i="8" s="1"/>
  <c r="C55" i="8"/>
  <c r="B54" i="8"/>
  <c r="B61" i="8" s="1"/>
  <c r="B56" i="8"/>
  <c r="B63" i="8" s="1"/>
  <c r="B52" i="8"/>
  <c r="B59" i="8" s="1"/>
  <c r="C54" i="8"/>
  <c r="B55" i="8"/>
  <c r="B62" i="8" s="1"/>
  <c r="C53" i="8"/>
  <c r="C56" i="8"/>
  <c r="C52" i="8"/>
  <c r="C43" i="9"/>
  <c r="C41" i="9"/>
  <c r="C45" i="9"/>
  <c r="C42" i="9"/>
  <c r="C44" i="9"/>
  <c r="H58" i="10"/>
  <c r="H19" i="10"/>
  <c r="H32" i="10"/>
  <c r="H45" i="10"/>
  <c r="G60" i="8"/>
  <c r="G61" i="8" s="1"/>
  <c r="B45" i="9"/>
  <c r="I9" i="8"/>
  <c r="I5" i="3" s="1"/>
  <c r="I8" i="8"/>
  <c r="I4" i="3" s="1"/>
  <c r="H3" i="10"/>
  <c r="H4" i="10" s="1"/>
  <c r="G32" i="8"/>
  <c r="G33" i="8" s="1"/>
  <c r="G18" i="8"/>
  <c r="G19" i="8" s="1"/>
  <c r="G46" i="8"/>
  <c r="G47" i="8" s="1"/>
  <c r="I7" i="8"/>
  <c r="I3" i="3" s="1"/>
  <c r="I6" i="3"/>
  <c r="C11" i="3"/>
  <c r="F11" i="5"/>
  <c r="G11" i="5" s="1"/>
  <c r="C16" i="3"/>
  <c r="F44" i="8"/>
  <c r="B31" i="4" a="1"/>
  <c r="F16" i="8"/>
  <c r="B24" i="4" a="1"/>
  <c r="C39" i="7" a="1"/>
  <c r="K11" i="5"/>
  <c r="C59" i="8" a="1"/>
  <c r="Q7" i="5" a="1"/>
  <c r="B22" i="3"/>
  <c r="H1" i="3"/>
  <c r="H2" i="3"/>
  <c r="F58" i="8"/>
  <c r="F30" i="8"/>
  <c r="P9" i="5"/>
  <c r="G1" i="10"/>
  <c r="H3" i="3"/>
  <c r="H5" i="3"/>
  <c r="H6" i="3"/>
  <c r="H4" i="3"/>
  <c r="R8" i="5" l="1"/>
  <c r="T8" i="5"/>
  <c r="Q7" i="5"/>
  <c r="R7" i="5"/>
  <c r="T7" i="5"/>
  <c r="S7" i="5"/>
  <c r="Q8" i="5"/>
  <c r="S8" i="5"/>
  <c r="C34" i="4"/>
  <c r="B34" i="4"/>
  <c r="B41" i="4" s="1"/>
  <c r="C31" i="4"/>
  <c r="B33" i="4"/>
  <c r="B40" i="4" s="1"/>
  <c r="B32" i="4"/>
  <c r="B39" i="4" s="1"/>
  <c r="C35" i="4"/>
  <c r="B31" i="4"/>
  <c r="B38" i="4" s="1"/>
  <c r="C33" i="4"/>
  <c r="B35" i="4"/>
  <c r="B42" i="4" s="1"/>
  <c r="C32" i="4"/>
  <c r="C40" i="7"/>
  <c r="C42" i="7"/>
  <c r="C39" i="7"/>
  <c r="C43" i="7"/>
  <c r="C41" i="7"/>
  <c r="C59" i="8"/>
  <c r="C63" i="8"/>
  <c r="C62" i="8"/>
  <c r="C61" i="8"/>
  <c r="C60" i="8"/>
  <c r="B28" i="4"/>
  <c r="C26" i="4"/>
  <c r="B24" i="4"/>
  <c r="C27" i="4"/>
  <c r="C24" i="4"/>
  <c r="C28" i="4"/>
  <c r="B26" i="4"/>
  <c r="C25" i="4"/>
  <c r="B27" i="4"/>
  <c r="B25" i="4"/>
  <c r="H16" i="10"/>
  <c r="H17" i="10" s="1"/>
  <c r="H55" i="10"/>
  <c r="H56" i="10" s="1"/>
  <c r="H42" i="10"/>
  <c r="H43" i="10" s="1"/>
  <c r="H29" i="10"/>
  <c r="H30" i="10" s="1"/>
  <c r="H29" i="11" a="1"/>
  <c r="F13" i="5"/>
  <c r="G13" i="5" s="1"/>
  <c r="B24" i="3" a="1"/>
  <c r="K13" i="5"/>
  <c r="G27" i="10"/>
  <c r="G14" i="10"/>
  <c r="Q9" i="5" a="1"/>
  <c r="C38" i="4" a="1"/>
  <c r="G40" i="10"/>
  <c r="P11" i="5"/>
  <c r="G53" i="10"/>
  <c r="E16" i="3" a="1"/>
  <c r="F20" i="3" l="1"/>
  <c r="F18" i="3"/>
  <c r="E21" i="3"/>
  <c r="F22" i="3"/>
  <c r="F17" i="3"/>
  <c r="E19" i="3"/>
  <c r="F19" i="3"/>
  <c r="F21" i="3"/>
  <c r="E16" i="3"/>
  <c r="E22" i="3"/>
  <c r="E20" i="3"/>
  <c r="F16" i="3"/>
  <c r="E18" i="3"/>
  <c r="E17" i="3"/>
  <c r="C38" i="4"/>
  <c r="C42" i="4"/>
  <c r="C41" i="4"/>
  <c r="C39" i="4"/>
  <c r="C40" i="4"/>
  <c r="Q9" i="5"/>
  <c r="R10" i="5"/>
  <c r="T10" i="5"/>
  <c r="R9" i="5"/>
  <c r="Q10" i="5"/>
  <c r="S10" i="5"/>
  <c r="T9" i="5"/>
  <c r="S9" i="5"/>
  <c r="B44" i="3"/>
  <c r="B35" i="3"/>
  <c r="C38" i="3"/>
  <c r="B27" i="3"/>
  <c r="C41" i="3"/>
  <c r="C28" i="3"/>
  <c r="C31" i="3"/>
  <c r="B39" i="3"/>
  <c r="B43" i="3"/>
  <c r="C45" i="3"/>
  <c r="C40" i="3"/>
  <c r="C24" i="3"/>
  <c r="C39" i="3"/>
  <c r="C27" i="3"/>
  <c r="B26" i="3"/>
  <c r="B32" i="3"/>
  <c r="B45" i="3"/>
  <c r="C44" i="3"/>
  <c r="B34" i="3"/>
  <c r="C29" i="3"/>
  <c r="B31" i="3"/>
  <c r="B36" i="3"/>
  <c r="B37" i="3"/>
  <c r="C26" i="3"/>
  <c r="C35" i="3"/>
  <c r="B24" i="3"/>
  <c r="B29" i="3"/>
  <c r="C32" i="3"/>
  <c r="B25" i="3"/>
  <c r="C43" i="3"/>
  <c r="B42" i="3"/>
  <c r="B28" i="3"/>
  <c r="B33" i="3"/>
  <c r="C36" i="3"/>
  <c r="B41" i="3"/>
  <c r="C25" i="3"/>
  <c r="C30" i="3"/>
  <c r="B30" i="3"/>
  <c r="C33" i="3"/>
  <c r="B40" i="3"/>
  <c r="C34" i="3"/>
  <c r="B38" i="3"/>
  <c r="C42" i="3"/>
  <c r="C37" i="3"/>
  <c r="H29" i="11"/>
  <c r="H33" i="11"/>
  <c r="H30" i="11"/>
  <c r="H31" i="11"/>
  <c r="H32" i="11"/>
  <c r="F15" i="5"/>
  <c r="G15" i="5" s="1"/>
  <c r="K1" i="3" a="1"/>
  <c r="E29" i="11"/>
  <c r="Q11" i="5" a="1"/>
  <c r="P13" i="5"/>
  <c r="K15" i="5"/>
  <c r="M1" i="3" l="1"/>
  <c r="U1" i="3"/>
  <c r="N2" i="3"/>
  <c r="V2" i="3"/>
  <c r="O3" i="3"/>
  <c r="W3" i="3"/>
  <c r="P4" i="3"/>
  <c r="X4" i="3"/>
  <c r="Q5" i="3"/>
  <c r="Y5" i="3"/>
  <c r="R6" i="3"/>
  <c r="K7" i="3"/>
  <c r="S7" i="3"/>
  <c r="L8" i="3"/>
  <c r="T8" i="3"/>
  <c r="M9" i="3"/>
  <c r="U9" i="3"/>
  <c r="N10" i="3"/>
  <c r="V10" i="3"/>
  <c r="O11" i="3"/>
  <c r="W11" i="3"/>
  <c r="N1" i="3"/>
  <c r="V1" i="3"/>
  <c r="O2" i="3"/>
  <c r="W2" i="3"/>
  <c r="P3" i="3"/>
  <c r="X3" i="3"/>
  <c r="Q4" i="3"/>
  <c r="Y4" i="3"/>
  <c r="R5" i="3"/>
  <c r="K6" i="3"/>
  <c r="S6" i="3"/>
  <c r="L7" i="3"/>
  <c r="T7" i="3"/>
  <c r="M8" i="3"/>
  <c r="U8" i="3"/>
  <c r="N9" i="3"/>
  <c r="V9" i="3"/>
  <c r="O10" i="3"/>
  <c r="W10" i="3"/>
  <c r="P11" i="3"/>
  <c r="X11" i="3"/>
  <c r="O1" i="3"/>
  <c r="W1" i="3"/>
  <c r="P2" i="3"/>
  <c r="X2" i="3"/>
  <c r="Q3" i="3"/>
  <c r="Y3" i="3"/>
  <c r="R4" i="3"/>
  <c r="K5" i="3"/>
  <c r="S5" i="3"/>
  <c r="L6" i="3"/>
  <c r="T6" i="3"/>
  <c r="M7" i="3"/>
  <c r="U7" i="3"/>
  <c r="N8" i="3"/>
  <c r="V8" i="3"/>
  <c r="O9" i="3"/>
  <c r="W9" i="3"/>
  <c r="P10" i="3"/>
  <c r="X10" i="3"/>
  <c r="Q11" i="3"/>
  <c r="Y11" i="3"/>
  <c r="P1" i="3"/>
  <c r="X1" i="3"/>
  <c r="Q2" i="3"/>
  <c r="Y2" i="3"/>
  <c r="R3" i="3"/>
  <c r="K4" i="3"/>
  <c r="S4" i="3"/>
  <c r="L5" i="3"/>
  <c r="T5" i="3"/>
  <c r="M6" i="3"/>
  <c r="U6" i="3"/>
  <c r="N7" i="3"/>
  <c r="V7" i="3"/>
  <c r="O8" i="3"/>
  <c r="W8" i="3"/>
  <c r="P9" i="3"/>
  <c r="X9" i="3"/>
  <c r="Q10" i="3"/>
  <c r="Y10" i="3"/>
  <c r="R11" i="3"/>
  <c r="R1" i="3"/>
  <c r="K2" i="3"/>
  <c r="Q1" i="3"/>
  <c r="Y1" i="3"/>
  <c r="R2" i="3"/>
  <c r="K3" i="3"/>
  <c r="S3" i="3"/>
  <c r="L4" i="3"/>
  <c r="T4" i="3"/>
  <c r="M5" i="3"/>
  <c r="U5" i="3"/>
  <c r="N6" i="3"/>
  <c r="V6" i="3"/>
  <c r="O7" i="3"/>
  <c r="W7" i="3"/>
  <c r="P8" i="3"/>
  <c r="X8" i="3"/>
  <c r="Q9" i="3"/>
  <c r="Y9" i="3"/>
  <c r="R10" i="3"/>
  <c r="K11" i="3"/>
  <c r="S11" i="3"/>
  <c r="S1" i="3"/>
  <c r="M3" i="3"/>
  <c r="U4" i="3"/>
  <c r="X5" i="3"/>
  <c r="Q7" i="3"/>
  <c r="Y8" i="3"/>
  <c r="M10" i="3"/>
  <c r="U11" i="3"/>
  <c r="T1" i="3"/>
  <c r="N3" i="3"/>
  <c r="V4" i="3"/>
  <c r="O6" i="3"/>
  <c r="R7" i="3"/>
  <c r="K9" i="3"/>
  <c r="S10" i="3"/>
  <c r="V11" i="3"/>
  <c r="L2" i="3"/>
  <c r="T3" i="3"/>
  <c r="W4" i="3"/>
  <c r="P6" i="3"/>
  <c r="X7" i="3"/>
  <c r="L9" i="3"/>
  <c r="T10" i="3"/>
  <c r="M2" i="3"/>
  <c r="U3" i="3"/>
  <c r="N5" i="3"/>
  <c r="Q6" i="3"/>
  <c r="Y7" i="3"/>
  <c r="R9" i="3"/>
  <c r="U10" i="3"/>
  <c r="V3" i="3"/>
  <c r="O5" i="3"/>
  <c r="W6" i="3"/>
  <c r="K8" i="3"/>
  <c r="S9" i="3"/>
  <c r="L11" i="3"/>
  <c r="T2" i="3"/>
  <c r="M4" i="3"/>
  <c r="P5" i="3"/>
  <c r="X6" i="3"/>
  <c r="Q8" i="3"/>
  <c r="T9" i="3"/>
  <c r="K1" i="3"/>
  <c r="N4" i="3"/>
  <c r="V5" i="3"/>
  <c r="R8" i="3"/>
  <c r="N11" i="3"/>
  <c r="L3" i="3"/>
  <c r="W5" i="3"/>
  <c r="P7" i="3"/>
  <c r="T11" i="3"/>
  <c r="M11" i="3"/>
  <c r="L10" i="3"/>
  <c r="S2" i="3"/>
  <c r="U2" i="3"/>
  <c r="Y6" i="3"/>
  <c r="K10" i="3"/>
  <c r="L1" i="3"/>
  <c r="O4" i="3"/>
  <c r="S8" i="3"/>
  <c r="T11" i="5"/>
  <c r="S12" i="5"/>
  <c r="Q12" i="5"/>
  <c r="R11" i="5"/>
  <c r="S11" i="5"/>
  <c r="T12" i="5"/>
  <c r="Q11" i="5"/>
  <c r="R12" i="5"/>
  <c r="F17" i="5"/>
  <c r="G17" i="5" s="1"/>
  <c r="Q13" i="5" a="1"/>
  <c r="P15" i="5"/>
  <c r="K17" i="5"/>
  <c r="Q14" i="5" l="1"/>
  <c r="R13" i="5"/>
  <c r="R14" i="5"/>
  <c r="T13" i="5"/>
  <c r="Q13" i="5"/>
  <c r="T14" i="5"/>
  <c r="S13" i="5"/>
  <c r="S14" i="5"/>
  <c r="F19" i="5"/>
  <c r="P17" i="5"/>
  <c r="Q15" i="5" a="1"/>
  <c r="S15" i="5" l="1"/>
  <c r="T15" i="5"/>
  <c r="S16" i="5"/>
  <c r="R15" i="5"/>
  <c r="Q16" i="5"/>
  <c r="Q15" i="5"/>
  <c r="T16" i="5"/>
  <c r="R16" i="5"/>
  <c r="F21" i="5"/>
  <c r="G21" i="5" s="1"/>
  <c r="G19" i="5"/>
  <c r="K19" i="5"/>
  <c r="Q17" i="5" a="1"/>
  <c r="K21" i="5"/>
  <c r="T17" i="5" l="1"/>
  <c r="Q18" i="5"/>
  <c r="R18" i="5"/>
  <c r="Q17" i="5"/>
  <c r="S17" i="5"/>
  <c r="R17" i="5"/>
  <c r="T18" i="5"/>
  <c r="S18" i="5"/>
  <c r="F23" i="5"/>
  <c r="G23" i="5" s="1"/>
  <c r="P21" i="5"/>
  <c r="K23" i="5"/>
  <c r="P19" i="5"/>
  <c r="F25" i="5" l="1"/>
  <c r="G25" i="5" s="1"/>
  <c r="Q19" i="5" a="1"/>
  <c r="K25" i="5"/>
  <c r="P23" i="5"/>
  <c r="Q21" i="5" a="1"/>
  <c r="T20" i="5" l="1"/>
  <c r="R20" i="5"/>
  <c r="Q20" i="5"/>
  <c r="S19" i="5"/>
  <c r="T19" i="5"/>
  <c r="S20" i="5"/>
  <c r="R19" i="5"/>
  <c r="Q19" i="5"/>
  <c r="R21" i="5"/>
  <c r="T22" i="5"/>
  <c r="Q22" i="5"/>
  <c r="S22" i="5"/>
  <c r="S21" i="5"/>
  <c r="R22" i="5"/>
  <c r="T21" i="5"/>
  <c r="Q21" i="5"/>
  <c r="P25" i="5"/>
  <c r="Q23" i="5" a="1"/>
  <c r="S23" i="5" l="1"/>
  <c r="Q24" i="5"/>
  <c r="Q23" i="5"/>
  <c r="T24" i="5"/>
  <c r="R24" i="5"/>
  <c r="S24" i="5"/>
  <c r="T23" i="5"/>
  <c r="R23" i="5"/>
  <c r="Q25" i="5" a="1"/>
  <c r="Q26" i="5" l="1"/>
  <c r="Q25" i="5"/>
  <c r="T26" i="5"/>
  <c r="R25" i="5"/>
  <c r="S25" i="5"/>
  <c r="R26" i="5"/>
  <c r="T25" i="5"/>
  <c r="S26" i="5"/>
</calcChain>
</file>

<file path=xl/sharedStrings.xml><?xml version="1.0" encoding="utf-8"?>
<sst xmlns="http://schemas.openxmlformats.org/spreadsheetml/2006/main" count="676" uniqueCount="148">
  <si>
    <t>AUD</t>
  </si>
  <si>
    <t>NAB</t>
  </si>
  <si>
    <t>WATC</t>
  </si>
  <si>
    <t>Notional</t>
  </si>
  <si>
    <t>TradeDate</t>
  </si>
  <si>
    <t>Party2</t>
  </si>
  <si>
    <t>Party1</t>
  </si>
  <si>
    <t>CBA</t>
  </si>
  <si>
    <t>IsParty1Base</t>
  </si>
  <si>
    <t>TradeId</t>
  </si>
  <si>
    <t>001</t>
  </si>
  <si>
    <t>TradeType</t>
  </si>
  <si>
    <t>BondTransaction</t>
  </si>
  <si>
    <t>ProductType</t>
  </si>
  <si>
    <t>Accrued</t>
  </si>
  <si>
    <t>CleanPrice</t>
  </si>
  <si>
    <t>DirtyPrice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</si>
  <si>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</si>
  <si>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</si>
  <si>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</si>
  <si>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</si>
  <si>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</si>
  <si>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</si>
  <si>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</si>
  <si>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</si>
  <si>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</si>
  <si>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Market</t>
  </si>
  <si>
    <t>BaseDate</t>
  </si>
  <si>
    <t>Platform</t>
  </si>
  <si>
    <t>YieldBroker</t>
  </si>
  <si>
    <t>HL Instrument Name</t>
  </si>
  <si>
    <t>Additional</t>
  </si>
  <si>
    <t>PricingStructureType</t>
  </si>
  <si>
    <t>BuildDateTime</t>
  </si>
  <si>
    <t>CreditInstrumentId</t>
  </si>
  <si>
    <t>CreditSeniority</t>
  </si>
  <si>
    <t>SENIOR</t>
  </si>
  <si>
    <t>CurveName</t>
  </si>
  <si>
    <t>DependencyDepth</t>
  </si>
  <si>
    <t>Algorithm</t>
  </si>
  <si>
    <t>Currency</t>
  </si>
  <si>
    <t>AUD-WATC-SENIOR</t>
  </si>
  <si>
    <t>LinearZero</t>
  </si>
  <si>
    <t>MarketQuote</t>
  </si>
  <si>
    <t>AUD-Bond-Govt.WATC.Fixed.5,5.17/07/2012</t>
  </si>
  <si>
    <t>AUD-Bond-Govt.WATC.Fixed.7.15/04/2015</t>
  </si>
  <si>
    <t>AUD-Bond-Govt.WATC.Fixed.8.15/07/2017</t>
  </si>
  <si>
    <t>AUD-Bond-Govt.WATC.Fixed.7.15/10/2019</t>
  </si>
  <si>
    <t>AUD-Bond-Govt.WATC.Fixed.7.15/07/2021</t>
  </si>
  <si>
    <t>Govt.WATC.Fixed.7.15/10/2019</t>
  </si>
  <si>
    <t>GetQuotedAssetSet(C2)</t>
  </si>
  <si>
    <t>GetTermCurve(C2)</t>
  </si>
  <si>
    <t>GetValues(C2,B31:B35)</t>
  </si>
  <si>
    <t>CreateBond</t>
  </si>
  <si>
    <t>ValuationReport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</si>
  <si>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</si>
  <si>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</si>
  <si>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</si>
  <si>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</si>
  <si>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</si>
  <si>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</si>
  <si>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</si>
  <si>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</si>
  <si>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</si>
  <si>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ValuationDate</t>
  </si>
  <si>
    <t>NPV</t>
  </si>
  <si>
    <t>IsParty1Buyer</t>
  </si>
  <si>
    <t>ANZ</t>
  </si>
  <si>
    <t>BaseParty</t>
  </si>
  <si>
    <t>PL</t>
  </si>
  <si>
    <t>PandL</t>
  </si>
  <si>
    <t>BondDiscountCurve</t>
  </si>
  <si>
    <t>BondFinancingCurve</t>
  </si>
  <si>
    <t>EffectivaDate</t>
  </si>
  <si>
    <t>SettlementDate</t>
  </si>
  <si>
    <t>testtrade_001</t>
  </si>
  <si>
    <t>AUD-Repo-1M</t>
  </si>
  <si>
    <t>AUD-Repo-2M</t>
  </si>
  <si>
    <t>AUD-Repo-3M</t>
  </si>
  <si>
    <t>AUD-RepoSpread-1M</t>
  </si>
  <si>
    <t>AUD-RepoSpread-2M</t>
  </si>
  <si>
    <t>AUD-RepoSpread-3M</t>
  </si>
  <si>
    <t>SECURED</t>
  </si>
  <si>
    <t>AUD-WATC-SECURED</t>
  </si>
  <si>
    <t>BondType</t>
  </si>
  <si>
    <t>AGB</t>
  </si>
  <si>
    <t>BondCurve</t>
  </si>
  <si>
    <t>Govt.WATC.Fixed.7.15/04/2015</t>
  </si>
  <si>
    <t>AUD-BondForward-AGB-0D</t>
  </si>
  <si>
    <t>AUD-BondForward-AGB-1M</t>
  </si>
  <si>
    <t>AUD-BondForward-AGB-2M</t>
  </si>
  <si>
    <t>AUD-BondSpot-AGB</t>
  </si>
  <si>
    <t>ReferenceCurveUniqueId</t>
  </si>
  <si>
    <t>Market.QR_LIVE.DiscountCurve.AUD-LIBOR-SENIOR</t>
  </si>
  <si>
    <t>BondFinancingBasisCurve</t>
  </si>
  <si>
    <t>AUD-RepoSpread-1D</t>
  </si>
  <si>
    <t>AUD-Repo-1D</t>
  </si>
  <si>
    <t>GC</t>
  </si>
  <si>
    <t>AUD-GC-SECURED</t>
  </si>
  <si>
    <t>=CreateCurve_Old(B3:C16, B20:B23, C20:C23, D20:D23)</t>
  </si>
  <si>
    <t>MarketDate</t>
  </si>
  <si>
    <t>DiscountCurve</t>
  </si>
  <si>
    <t>LIBOR</t>
  </si>
  <si>
    <t>Identifier</t>
  </si>
  <si>
    <t>FastLinearZero</t>
  </si>
  <si>
    <t>TimeToLive</t>
  </si>
  <si>
    <t>UniqueIdentifier</t>
  </si>
  <si>
    <t>IR Term Structure</t>
  </si>
  <si>
    <t>Instrument</t>
  </si>
  <si>
    <t>Maturity</t>
  </si>
  <si>
    <t>Rates</t>
  </si>
  <si>
    <t>XccyDepo</t>
  </si>
  <si>
    <t>1D</t>
  </si>
  <si>
    <t>TN</t>
  </si>
  <si>
    <t>1W</t>
  </si>
  <si>
    <t>2W</t>
  </si>
  <si>
    <t>1M</t>
  </si>
  <si>
    <t>2M</t>
  </si>
  <si>
    <t>3M</t>
  </si>
  <si>
    <t>XccySwap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</si>
  <si>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</si>
  <si>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</si>
  <si>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</si>
  <si>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</si>
  <si>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</si>
  <si>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</si>
  <si>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</si>
  <si>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</si>
  <si>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</si>
  <si>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</si>
  <si>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</si>
  <si>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</si>
  <si>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</si>
  <si>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</si>
  <si>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</si>
  <si>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</si>
  <si>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</si>
  <si>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Create Curve</t>
  </si>
  <si>
    <t>testtrade_002</t>
  </si>
  <si>
    <t>PortfolioId</t>
  </si>
  <si>
    <t>Function</t>
  </si>
  <si>
    <t>TradingBook</t>
  </si>
  <si>
    <t>Test</t>
  </si>
  <si>
    <t>TRadingBook</t>
  </si>
  <si>
    <t>bondTransaction</t>
  </si>
  <si>
    <t>BOND TRANSACTIONS</t>
  </si>
  <si>
    <t>Var_Run_20170531</t>
  </si>
  <si>
    <t>ValuationReport.Var_Run_20170531.SpreadSheet.bondTransaction.testtrade_002.TEST_EOD.2017-09-18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</si>
</sst>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dd/mm/yyyy;@"/>
    <numFmt numFmtId="170" formatCode="[$-F800]dddd\,\ mmmm\ dd\,\ yyyy"/>
    <numFmt numFmtId="171" formatCode="0.000%"/>
    <numFmt numFmtId="172" formatCode="&quot;$&quot;#,##0\ ;\(&quot;$&quot;#,##0\)"/>
    <numFmt numFmtId="173" formatCode="0.00_)"/>
    <numFmt numFmtId="174" formatCode="#,##0.0;#,##0.0"/>
    <numFmt numFmtId="175" formatCode="\+#,##0.00;\-#,##0.00"/>
    <numFmt numFmtId="176" formatCode="_-* #,##0_-;\-* #,##0_-;_-* &quot;-&quot;??_-;_-@_-"/>
  </numFmts>
  <fonts count="31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"/>
      <color indexed="16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36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darkGray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23"/>
      </right>
      <top style="medium">
        <color indexed="9"/>
      </top>
      <bottom style="medium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</borders>
  <cellStyleXfs count="67">
    <xf numFmtId="0" fontId="0" fillId="0" borderId="0"/>
    <xf numFmtId="0" fontId="1" fillId="0" borderId="0"/>
    <xf numFmtId="4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4" borderId="0"/>
    <xf numFmtId="43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horizontal="left" wrapText="1"/>
    </xf>
    <xf numFmtId="0" fontId="15" fillId="22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6" fillId="23" borderId="0" applyNumberFormat="0" applyBorder="0">
      <alignment horizontal="right" vertical="center"/>
    </xf>
    <xf numFmtId="19" fontId="16" fillId="23" borderId="5" applyNumberFormat="0" applyBorder="0">
      <alignment horizontal="left" vertical="center"/>
    </xf>
    <xf numFmtId="2" fontId="17" fillId="24" borderId="0">
      <alignment horizontal="center" vertical="center"/>
    </xf>
    <xf numFmtId="2" fontId="17" fillId="24" borderId="4" applyBorder="0">
      <alignment horizontal="left" vertical="center"/>
    </xf>
    <xf numFmtId="0" fontId="16" fillId="23" borderId="0">
      <alignment horizontal="right" vertical="center"/>
    </xf>
    <xf numFmtId="19" fontId="18" fillId="23" borderId="12" applyNumberFormat="0" applyBorder="0">
      <alignment horizontal="left" vertical="center" indent="1"/>
    </xf>
    <xf numFmtId="2" fontId="19" fillId="24" borderId="16" applyBorder="0">
      <alignment horizontal="left" vertical="center" indent="1"/>
    </xf>
    <xf numFmtId="2" fontId="19" fillId="24" borderId="9" applyBorder="0">
      <alignment horizontal="center" vertical="center"/>
    </xf>
    <xf numFmtId="2" fontId="3" fillId="25" borderId="23" applyBorder="0">
      <alignment horizontal="left" vertical="center" indent="1"/>
    </xf>
    <xf numFmtId="0" fontId="3" fillId="25" borderId="0">
      <alignment horizontal="right" vertical="center"/>
    </xf>
    <xf numFmtId="2" fontId="3" fillId="25" borderId="5" applyNumberFormat="0" applyBorder="0">
      <alignment horizontal="right" vertical="center"/>
    </xf>
    <xf numFmtId="2" fontId="20" fillId="26" borderId="12" applyBorder="0">
      <alignment horizontal="left" vertical="center" indent="1"/>
    </xf>
    <xf numFmtId="2" fontId="20" fillId="26" borderId="0">
      <alignment horizontal="right" vertical="center"/>
    </xf>
    <xf numFmtId="2" fontId="20" fillId="26" borderId="4" applyBorder="0">
      <alignment horizontal="left" vertical="center"/>
    </xf>
    <xf numFmtId="2" fontId="20" fillId="26" borderId="10" applyBorder="0">
      <alignment horizontal="center" vertical="center"/>
    </xf>
    <xf numFmtId="19" fontId="18" fillId="27" borderId="24" applyNumberFormat="0" applyBorder="0">
      <alignment horizontal="left" vertical="center"/>
    </xf>
    <xf numFmtId="15" fontId="18" fillId="27" borderId="9" applyNumberFormat="0" applyBorder="0">
      <alignment horizontal="right" vertical="center"/>
    </xf>
    <xf numFmtId="19" fontId="18" fillId="27" borderId="1" applyNumberFormat="0" applyBorder="0">
      <alignment horizontal="right" vertical="center"/>
    </xf>
    <xf numFmtId="2" fontId="19" fillId="28" borderId="25" applyBorder="0">
      <alignment horizontal="left" vertical="center" indent="1"/>
    </xf>
    <xf numFmtId="2" fontId="19" fillId="28" borderId="4" applyNumberFormat="0">
      <alignment horizontal="center" vertical="center"/>
    </xf>
    <xf numFmtId="2" fontId="19" fillId="28" borderId="4" applyNumberFormat="0" applyBorder="0">
      <alignment horizontal="left" vertical="center"/>
    </xf>
    <xf numFmtId="2" fontId="3" fillId="29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73" fontId="21" fillId="0" borderId="0"/>
    <xf numFmtId="0" fontId="9" fillId="18" borderId="19" applyNumberFormat="0" applyBorder="0">
      <alignment horizontal="left" vertical="center"/>
    </xf>
    <xf numFmtId="2" fontId="9" fillId="18" borderId="4" applyNumberFormat="0" applyBorder="0">
      <alignment horizontal="left" vertical="center"/>
    </xf>
    <xf numFmtId="2" fontId="20" fillId="26" borderId="8" applyNumberFormat="0" applyBorder="0">
      <alignment horizontal="left" vertical="center"/>
    </xf>
    <xf numFmtId="2" fontId="20" fillId="26" borderId="4" applyNumberFormat="0" applyBorder="0">
      <alignment horizontal="left" vertical="center"/>
    </xf>
    <xf numFmtId="19" fontId="3" fillId="30" borderId="13" applyNumberFormat="0" applyBorder="0">
      <alignment horizontal="left" vertical="center" indent="1"/>
    </xf>
    <xf numFmtId="0" fontId="3" fillId="30" borderId="0">
      <alignment horizontal="right" vertical="center"/>
    </xf>
    <xf numFmtId="19" fontId="3" fillId="30" borderId="1" applyNumberFormat="0" applyBorder="0">
      <alignment horizontal="right" vertical="center"/>
    </xf>
    <xf numFmtId="2" fontId="22" fillId="31" borderId="16" applyBorder="0">
      <alignment horizontal="left" vertical="center" indent="1"/>
    </xf>
    <xf numFmtId="2" fontId="22" fillId="31" borderId="0">
      <alignment horizontal="center" vertical="center"/>
    </xf>
    <xf numFmtId="2" fontId="22" fillId="31" borderId="6">
      <alignment horizontal="left" vertical="center"/>
    </xf>
    <xf numFmtId="0" fontId="23" fillId="32" borderId="10">
      <alignment horizontal="center"/>
    </xf>
    <xf numFmtId="9" fontId="3" fillId="0" borderId="0" applyFont="0" applyFill="0" applyBorder="0" applyAlignment="0" applyProtection="0"/>
    <xf numFmtId="171" fontId="24" fillId="33" borderId="0" applyNumberFormat="0" applyBorder="0">
      <alignment horizontal="right" vertical="center"/>
    </xf>
    <xf numFmtId="171" fontId="24" fillId="33" borderId="0" applyNumberFormat="0" applyBorder="0">
      <alignment horizontal="right" vertical="center"/>
    </xf>
    <xf numFmtId="0" fontId="25" fillId="34" borderId="10" applyNumberFormat="0">
      <alignment horizontal="center" vertical="center"/>
    </xf>
    <xf numFmtId="0" fontId="25" fillId="34" borderId="0" applyNumberFormat="0" applyBorder="0">
      <alignment horizontal="left" vertical="center" indent="1"/>
    </xf>
    <xf numFmtId="174" fontId="26" fillId="35" borderId="0">
      <alignment horizontal="center" vertical="center"/>
    </xf>
    <xf numFmtId="175" fontId="27" fillId="36" borderId="0">
      <alignment horizontal="center" vertical="center"/>
      <protection locked="0"/>
    </xf>
    <xf numFmtId="0" fontId="3" fillId="0" borderId="0">
      <alignment horizontal="left" wrapText="1"/>
    </xf>
    <xf numFmtId="2" fontId="28" fillId="37" borderId="19" applyNumberFormat="0" applyFill="0" applyBorder="0" applyAlignment="0">
      <alignment horizontal="center"/>
      <protection locked="0"/>
    </xf>
    <xf numFmtId="2" fontId="3" fillId="38" borderId="4" applyNumberFormat="0" applyBorder="0">
      <alignment horizontal="right" vertical="center"/>
    </xf>
    <xf numFmtId="2" fontId="3" fillId="38" borderId="0">
      <alignment horizontal="right" vertical="center"/>
    </xf>
    <xf numFmtId="2" fontId="20" fillId="39" borderId="10">
      <alignment horizontal="center" vertical="center"/>
    </xf>
    <xf numFmtId="2" fontId="20" fillId="39" borderId="0" applyNumberFormat="0" applyBorder="0">
      <alignment horizontal="left" vertical="center"/>
    </xf>
    <xf numFmtId="2" fontId="20" fillId="39" borderId="10">
      <alignment horizontal="center" vertical="center"/>
    </xf>
    <xf numFmtId="38" fontId="29" fillId="0" borderId="0" applyFont="0" applyFill="0" applyBorder="0" applyAlignment="0" applyProtection="0"/>
    <xf numFmtId="0" fontId="29" fillId="0" borderId="0"/>
  </cellStyleXfs>
  <cellXfs count="130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5" fillId="5" borderId="0" xfId="0" applyFont="1" applyFill="1" applyBorder="1"/>
    <xf numFmtId="0" fontId="5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6" borderId="9" xfId="4" applyFont="1" applyFill="1" applyBorder="1" applyAlignment="1">
      <alignment horizontal="center"/>
    </xf>
    <xf numFmtId="0" fontId="8" fillId="7" borderId="4" xfId="4" applyFont="1" applyFill="1" applyBorder="1" applyAlignment="1">
      <alignment horizontal="center"/>
    </xf>
    <xf numFmtId="0" fontId="8" fillId="7" borderId="6" xfId="4" applyFont="1" applyFill="1" applyBorder="1" applyAlignment="1">
      <alignment horizontal="center"/>
    </xf>
    <xf numFmtId="14" fontId="8" fillId="7" borderId="6" xfId="4" applyNumberFormat="1" applyFont="1" applyFill="1" applyBorder="1" applyAlignment="1">
      <alignment horizontal="center"/>
    </xf>
    <xf numFmtId="0" fontId="8" fillId="7" borderId="7" xfId="4" applyFont="1" applyFill="1" applyBorder="1" applyAlignment="1">
      <alignment horizontal="center"/>
    </xf>
    <xf numFmtId="0" fontId="7" fillId="6" borderId="11" xfId="4" applyFont="1" applyFill="1" applyBorder="1" applyAlignment="1">
      <alignment horizontal="center"/>
    </xf>
    <xf numFmtId="169" fontId="8" fillId="8" borderId="4" xfId="4" applyNumberFormat="1" applyFont="1" applyFill="1" applyBorder="1" applyAlignment="1">
      <alignment horizontal="center"/>
    </xf>
    <xf numFmtId="169" fontId="8" fillId="8" borderId="6" xfId="4" applyNumberFormat="1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22" fontId="8" fillId="8" borderId="6" xfId="4" applyNumberFormat="1" applyFont="1" applyFill="1" applyBorder="1" applyAlignment="1">
      <alignment horizontal="center"/>
    </xf>
    <xf numFmtId="0" fontId="8" fillId="8" borderId="7" xfId="4" applyFont="1" applyFill="1" applyBorder="1" applyAlignment="1">
      <alignment horizontal="center"/>
    </xf>
    <xf numFmtId="10" fontId="2" fillId="0" borderId="5" xfId="0" applyNumberFormat="1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0" fontId="5" fillId="5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0" fontId="0" fillId="0" borderId="0" xfId="3" applyNumberFormat="1" applyFont="1"/>
    <xf numFmtId="170" fontId="0" fillId="0" borderId="4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0" fontId="9" fillId="0" borderId="10" xfId="0" applyFont="1" applyBorder="1"/>
    <xf numFmtId="0" fontId="10" fillId="0" borderId="10" xfId="0" applyFont="1" applyFill="1" applyBorder="1" applyAlignment="1">
      <alignment horizontal="left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3" borderId="12" xfId="0" applyFill="1" applyBorder="1"/>
    <xf numFmtId="14" fontId="0" fillId="13" borderId="13" xfId="0" applyNumberFormat="1" applyFill="1" applyBorder="1"/>
    <xf numFmtId="14" fontId="3" fillId="13" borderId="13" xfId="0" applyNumberFormat="1" applyFont="1" applyFill="1" applyBorder="1"/>
    <xf numFmtId="0" fontId="0" fillId="13" borderId="14" xfId="0" applyFill="1" applyBorder="1"/>
    <xf numFmtId="0" fontId="0" fillId="14" borderId="0" xfId="0" applyFill="1"/>
    <xf numFmtId="0" fontId="0" fillId="9" borderId="0" xfId="0" applyFill="1"/>
    <xf numFmtId="0" fontId="4" fillId="15" borderId="0" xfId="6" applyFill="1" applyAlignment="1">
      <alignment horizontal="center"/>
    </xf>
    <xf numFmtId="0" fontId="0" fillId="15" borderId="0" xfId="6" applyFont="1" applyFill="1" applyAlignment="1">
      <alignment horizontal="center"/>
    </xf>
    <xf numFmtId="168" fontId="0" fillId="0" borderId="0" xfId="5" applyNumberFormat="1" applyFont="1"/>
    <xf numFmtId="0" fontId="3" fillId="3" borderId="0" xfId="0" applyFont="1" applyFill="1" applyAlignment="1">
      <alignment horizontal="center"/>
    </xf>
    <xf numFmtId="0" fontId="3" fillId="9" borderId="0" xfId="0" applyFont="1" applyFill="1"/>
    <xf numFmtId="171" fontId="0" fillId="0" borderId="0" xfId="3" applyNumberFormat="1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4" fontId="8" fillId="8" borderId="6" xfId="4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/>
    </xf>
    <xf numFmtId="0" fontId="2" fillId="0" borderId="0" xfId="0" applyFont="1" applyBorder="1"/>
    <xf numFmtId="0" fontId="2" fillId="17" borderId="0" xfId="0" applyFont="1" applyFill="1" applyBorder="1"/>
    <xf numFmtId="0" fontId="2" fillId="17" borderId="5" xfId="0" applyFont="1" applyFill="1" applyBorder="1"/>
    <xf numFmtId="0" fontId="2" fillId="0" borderId="0" xfId="0" applyFont="1"/>
    <xf numFmtId="0" fontId="7" fillId="6" borderId="18" xfId="4" applyFont="1" applyFill="1" applyBorder="1" applyAlignment="1">
      <alignment horizontal="center"/>
    </xf>
    <xf numFmtId="0" fontId="2" fillId="17" borderId="1" xfId="0" applyFont="1" applyFill="1" applyBorder="1"/>
    <xf numFmtId="169" fontId="8" fillId="8" borderId="9" xfId="4" applyNumberFormat="1" applyFont="1" applyFill="1" applyBorder="1" applyAlignment="1">
      <alignment horizontal="center"/>
    </xf>
    <xf numFmtId="169" fontId="8" fillId="8" borderId="19" xfId="4" applyNumberFormat="1" applyFont="1" applyFill="1" applyBorder="1" applyAlignment="1">
      <alignment horizontal="center"/>
    </xf>
    <xf numFmtId="0" fontId="8" fillId="8" borderId="19" xfId="4" applyFont="1" applyFill="1" applyBorder="1" applyAlignment="1">
      <alignment horizontal="center"/>
    </xf>
    <xf numFmtId="165" fontId="8" fillId="8" borderId="19" xfId="4" applyNumberFormat="1" applyFont="1" applyFill="1" applyBorder="1" applyAlignment="1">
      <alignment horizontal="center"/>
    </xf>
    <xf numFmtId="22" fontId="8" fillId="8" borderId="19" xfId="4" applyNumberFormat="1" applyFont="1" applyFill="1" applyBorder="1" applyAlignment="1">
      <alignment horizontal="center"/>
    </xf>
    <xf numFmtId="0" fontId="8" fillId="8" borderId="20" xfId="4" applyFont="1" applyFill="1" applyBorder="1" applyAlignment="1">
      <alignment horizontal="center"/>
    </xf>
    <xf numFmtId="14" fontId="8" fillId="7" borderId="7" xfId="4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8" borderId="0" xfId="0" applyFill="1" applyAlignment="1">
      <alignment horizontal="left"/>
    </xf>
    <xf numFmtId="0" fontId="0" fillId="19" borderId="21" xfId="0" applyFill="1" applyBorder="1" applyAlignment="1">
      <alignment horizontal="center"/>
    </xf>
    <xf numFmtId="0" fontId="2" fillId="17" borderId="19" xfId="0" applyFont="1" applyFill="1" applyBorder="1"/>
    <xf numFmtId="0" fontId="5" fillId="5" borderId="9" xfId="0" applyFont="1" applyFill="1" applyBorder="1"/>
    <xf numFmtId="0" fontId="5" fillId="5" borderId="21" xfId="0" applyFont="1" applyFill="1" applyBorder="1"/>
    <xf numFmtId="0" fontId="5" fillId="5" borderId="5" xfId="0" applyFont="1" applyFill="1" applyBorder="1"/>
    <xf numFmtId="0" fontId="5" fillId="5" borderId="20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10" fontId="2" fillId="0" borderId="4" xfId="0" applyNumberFormat="1" applyFont="1" applyBorder="1"/>
    <xf numFmtId="0" fontId="11" fillId="0" borderId="6" xfId="0" applyFont="1" applyFill="1" applyBorder="1" applyAlignment="1">
      <alignment horizontal="center"/>
    </xf>
    <xf numFmtId="10" fontId="2" fillId="0" borderId="6" xfId="0" applyNumberFormat="1" applyFont="1" applyBorder="1"/>
    <xf numFmtId="0" fontId="11" fillId="0" borderId="7" xfId="0" applyFont="1" applyFill="1" applyBorder="1" applyAlignment="1">
      <alignment horizontal="center"/>
    </xf>
    <xf numFmtId="10" fontId="2" fillId="0" borderId="7" xfId="0" applyNumberFormat="1" applyFont="1" applyBorder="1"/>
    <xf numFmtId="10" fontId="2" fillId="0" borderId="3" xfId="7" applyNumberFormat="1" applyFont="1" applyBorder="1"/>
    <xf numFmtId="0" fontId="13" fillId="20" borderId="22" xfId="8" applyFont="1" applyFill="1" applyBorder="1" applyAlignment="1" applyProtection="1">
      <alignment horizontal="center"/>
    </xf>
    <xf numFmtId="0" fontId="2" fillId="17" borderId="20" xfId="0" applyFont="1" applyFill="1" applyBorder="1"/>
    <xf numFmtId="0" fontId="2" fillId="17" borderId="2" xfId="0" applyFont="1" applyFill="1" applyBorder="1"/>
    <xf numFmtId="0" fontId="2" fillId="17" borderId="3" xfId="0" applyFont="1" applyFill="1" applyBorder="1"/>
    <xf numFmtId="0" fontId="0" fillId="21" borderId="0" xfId="0" applyFill="1"/>
    <xf numFmtId="0" fontId="14" fillId="16" borderId="0" xfId="0" applyFont="1" applyFill="1"/>
    <xf numFmtId="176" fontId="0" fillId="0" borderId="0" xfId="5" applyNumberFormat="1" applyFont="1"/>
    <xf numFmtId="0" fontId="30" fillId="16" borderId="0" xfId="0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171" fontId="0" fillId="0" borderId="0" xfId="3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76" fontId="0" fillId="0" borderId="0" xfId="5" applyNumberFormat="1" applyFont="1" applyAlignment="1">
      <alignment horizontal="center"/>
    </xf>
    <xf numFmtId="0" fontId="4" fillId="0" borderId="0" xfId="6"/>
    <xf numFmtId="0" fontId="7" fillId="6" borderId="20" xfId="4" applyFont="1" applyFill="1" applyBorder="1" applyAlignment="1">
      <alignment horizontal="center"/>
    </xf>
    <xf numFmtId="0" fontId="7" fillId="6" borderId="2" xfId="4" applyFont="1" applyFill="1" applyBorder="1" applyAlignment="1">
      <alignment horizontal="center"/>
    </xf>
    <xf numFmtId="0" fontId="7" fillId="6" borderId="20" xfId="4" quotePrefix="1" applyFont="1" applyFill="1" applyBorder="1" applyAlignment="1">
      <alignment horizontal="center"/>
    </xf>
    <xf numFmtId="0" fontId="7" fillId="6" borderId="2" xfId="4" quotePrefix="1" applyFont="1" applyFill="1" applyBorder="1" applyAlignment="1">
      <alignment horizontal="center"/>
    </xf>
    <xf numFmtId="0" fontId="7" fillId="6" borderId="8" xfId="4" quotePrefix="1" applyFont="1" applyFill="1" applyBorder="1" applyAlignment="1">
      <alignment horizontal="center"/>
    </xf>
    <xf numFmtId="0" fontId="7" fillId="6" borderId="18" xfId="4" quotePrefix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0" fillId="16" borderId="0" xfId="0" applyFont="1" applyFill="1" applyAlignment="1">
      <alignment horizontal="center"/>
    </xf>
  </cellXfs>
  <cellStyles count="67">
    <cellStyle name="_Copy of Portfolios to Archeus 6-3-04 (2)" xfId="9" xr:uid="{00000000-0005-0000-0000-000000000000}"/>
    <cellStyle name="back" xfId="10" xr:uid="{00000000-0005-0000-0000-000001000000}"/>
    <cellStyle name="Comma" xfId="5" builtinId="3"/>
    <cellStyle name="Comma0" xfId="11" xr:uid="{00000000-0005-0000-0000-000003000000}"/>
    <cellStyle name="Currency" xfId="2" builtinId="4"/>
    <cellStyle name="Currency 2" xfId="12" xr:uid="{00000000-0005-0000-0000-000005000000}"/>
    <cellStyle name="Currency0" xfId="13" xr:uid="{00000000-0005-0000-0000-000006000000}"/>
    <cellStyle name="Date" xfId="14" xr:uid="{00000000-0005-0000-0000-000007000000}"/>
    <cellStyle name="Fixed" xfId="15" xr:uid="{00000000-0005-0000-0000-000008000000}"/>
    <cellStyle name="Header" xfId="1" xr:uid="{00000000-0005-0000-0000-000009000000}"/>
    <cellStyle name="Hyperlink" xfId="8" builtinId="8"/>
    <cellStyle name="InfoDataColumn" xfId="16" xr:uid="{00000000-0005-0000-0000-00000B000000}"/>
    <cellStyle name="InfoDataRow" xfId="17" xr:uid="{00000000-0005-0000-0000-00000C000000}"/>
    <cellStyle name="InfoLabelColumn" xfId="18" xr:uid="{00000000-0005-0000-0000-00000D000000}"/>
    <cellStyle name="InfoLabelRow" xfId="19" xr:uid="{00000000-0005-0000-0000-00000E000000}"/>
    <cellStyle name="InfolDataColumn" xfId="20" xr:uid="{00000000-0005-0000-0000-00000F000000}"/>
    <cellStyle name="InformationalData" xfId="21" xr:uid="{00000000-0005-0000-0000-000010000000}"/>
    <cellStyle name="InformationalLabel" xfId="22" xr:uid="{00000000-0005-0000-0000-000011000000}"/>
    <cellStyle name="InformationalLabelTop" xfId="23" xr:uid="{00000000-0005-0000-0000-000012000000}"/>
    <cellStyle name="InputData" xfId="24" xr:uid="{00000000-0005-0000-0000-000013000000}"/>
    <cellStyle name="InputDataColumn" xfId="25" xr:uid="{00000000-0005-0000-0000-000014000000}"/>
    <cellStyle name="InputDataRow" xfId="26" xr:uid="{00000000-0005-0000-0000-000015000000}"/>
    <cellStyle name="InputLabel" xfId="27" xr:uid="{00000000-0005-0000-0000-000016000000}"/>
    <cellStyle name="InputLabelColumn" xfId="28" xr:uid="{00000000-0005-0000-0000-000017000000}"/>
    <cellStyle name="InputLabelRow" xfId="29" xr:uid="{00000000-0005-0000-0000-000018000000}"/>
    <cellStyle name="InputLabelTop" xfId="30" xr:uid="{00000000-0005-0000-0000-000019000000}"/>
    <cellStyle name="IntermediateData" xfId="31" xr:uid="{00000000-0005-0000-0000-00001A000000}"/>
    <cellStyle name="IntermediateDataColumn" xfId="32" xr:uid="{00000000-0005-0000-0000-00001B000000}"/>
    <cellStyle name="IntermediateDataRow" xfId="33" xr:uid="{00000000-0005-0000-0000-00001C000000}"/>
    <cellStyle name="IntermediateLabel" xfId="34" xr:uid="{00000000-0005-0000-0000-00001D000000}"/>
    <cellStyle name="IntermediateLabelColumn" xfId="35" xr:uid="{00000000-0005-0000-0000-00001E000000}"/>
    <cellStyle name="IntermediateLabelRow" xfId="36" xr:uid="{00000000-0005-0000-0000-00001F000000}"/>
    <cellStyle name="InvalidCell" xfId="37" xr:uid="{00000000-0005-0000-0000-000020000000}"/>
    <cellStyle name="NewSheet" xfId="38" xr:uid="{00000000-0005-0000-0000-000021000000}"/>
    <cellStyle name="Normal" xfId="0" builtinId="0"/>
    <cellStyle name="Normal - Style1" xfId="39" xr:uid="{00000000-0005-0000-0000-000023000000}"/>
    <cellStyle name="Normal 2" xfId="6" xr:uid="{00000000-0005-0000-0000-000024000000}"/>
    <cellStyle name="Normal_Sheet1 2_RateVols Examples" xfId="4" xr:uid="{00000000-0005-0000-0000-000025000000}"/>
    <cellStyle name="ObjectDataColumn" xfId="40" xr:uid="{00000000-0005-0000-0000-000026000000}"/>
    <cellStyle name="ObjectDataRow" xfId="41" xr:uid="{00000000-0005-0000-0000-000027000000}"/>
    <cellStyle name="ObjectLabelColumn" xfId="42" xr:uid="{00000000-0005-0000-0000-000028000000}"/>
    <cellStyle name="ObjectLabelRow" xfId="43" xr:uid="{00000000-0005-0000-0000-000029000000}"/>
    <cellStyle name="OutputData" xfId="44" xr:uid="{00000000-0005-0000-0000-00002A000000}"/>
    <cellStyle name="OutputDataColumn" xfId="45" xr:uid="{00000000-0005-0000-0000-00002B000000}"/>
    <cellStyle name="OutputDataRow" xfId="46" xr:uid="{00000000-0005-0000-0000-00002C000000}"/>
    <cellStyle name="OutputLabel" xfId="47" xr:uid="{00000000-0005-0000-0000-00002D000000}"/>
    <cellStyle name="OutputLabelColumn" xfId="48" xr:uid="{00000000-0005-0000-0000-00002E000000}"/>
    <cellStyle name="OutputLabelRow" xfId="49" xr:uid="{00000000-0005-0000-0000-00002F000000}"/>
    <cellStyle name="PanelLabel" xfId="50" xr:uid="{00000000-0005-0000-0000-000030000000}"/>
    <cellStyle name="Percent" xfId="3" builtinId="5"/>
    <cellStyle name="Percent 2" xfId="7" xr:uid="{00000000-0005-0000-0000-000032000000}"/>
    <cellStyle name="Percent 3" xfId="51" xr:uid="{00000000-0005-0000-0000-000033000000}"/>
    <cellStyle name="PersonalDataColumn" xfId="52" xr:uid="{00000000-0005-0000-0000-000034000000}"/>
    <cellStyle name="PersonalDataRow" xfId="53" xr:uid="{00000000-0005-0000-0000-000035000000}"/>
    <cellStyle name="PersonalLabelColumn" xfId="54" xr:uid="{00000000-0005-0000-0000-000036000000}"/>
    <cellStyle name="PersonalLabelRow" xfId="55" xr:uid="{00000000-0005-0000-0000-000037000000}"/>
    <cellStyle name="result" xfId="56" xr:uid="{00000000-0005-0000-0000-000038000000}"/>
    <cellStyle name="spreads" xfId="57" xr:uid="{00000000-0005-0000-0000-000039000000}"/>
    <cellStyle name="Style 1" xfId="58" xr:uid="{00000000-0005-0000-0000-00003A000000}"/>
    <cellStyle name="swaptn" xfId="59" xr:uid="{00000000-0005-0000-0000-00003B000000}"/>
    <cellStyle name="TableDataColumn" xfId="60" xr:uid="{00000000-0005-0000-0000-00003C000000}"/>
    <cellStyle name="TableDataRow" xfId="61" xr:uid="{00000000-0005-0000-0000-00003D000000}"/>
    <cellStyle name="TableLabelColumn" xfId="62" xr:uid="{00000000-0005-0000-0000-00003E000000}"/>
    <cellStyle name="TableLabelRow" xfId="63" xr:uid="{00000000-0005-0000-0000-00003F000000}"/>
    <cellStyle name="TableLabelTop" xfId="64" xr:uid="{00000000-0005-0000-0000-000040000000}"/>
    <cellStyle name="桁区切り_NewDemo" xfId="65" xr:uid="{00000000-0005-0000-0000-000041000000}"/>
    <cellStyle name="標準_NewDemo" xfId="66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123825</xdr:rowOff>
    </xdr:from>
    <xdr:to>
      <xdr:col>7</xdr:col>
      <xdr:colOff>142876</xdr:colOff>
      <xdr:row>12</xdr:row>
      <xdr:rowOff>114300</xdr:rowOff>
    </xdr:to>
    <xdr:sp macro="" textlink="">
      <xdr:nvSpPr>
        <xdr:cNvPr id="2" name="Oval Callou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391275" y="123825"/>
          <a:ext cx="2047876" cy="1962150"/>
        </a:xfrm>
        <a:prstGeom prst="wedgeEllipseCallout">
          <a:avLst>
            <a:gd name="adj1" fmla="val -75167"/>
            <a:gd name="adj2" fmla="val -441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AU" sz="1400"/>
            <a:t>This would be a BondBasisCurve made up of bond asset swap spreads when used in HistSim!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selection activeCell="G54" sqref="G54"/>
    </sheetView>
  </sheetViews>
  <sheetFormatPr defaultRowHeight="12.75"/>
  <cols>
    <col min="1" max="1" width="21" bestFit="1" customWidth="1"/>
    <col min="2" max="2" width="32.28515625" customWidth="1"/>
    <col min="3" max="3" width="17.42578125" bestFit="1" customWidth="1"/>
    <col min="4" max="4" width="5.42578125" bestFit="1" customWidth="1"/>
    <col min="5" max="5" width="8.85546875" bestFit="1" customWidth="1"/>
    <col min="6" max="6" width="2" customWidth="1"/>
    <col min="7" max="7" width="25.140625" customWidth="1"/>
    <col min="8" max="8" width="37.7109375" customWidth="1"/>
    <col min="9" max="9" width="2" customWidth="1"/>
  </cols>
  <sheetData>
    <row r="1" spans="1:9" ht="13.5" thickBot="1">
      <c r="A1" s="122" t="str">
        <f ca="1">_xll.HLV5r3.Financial.Cache.CreateCurve( A2:B11, $C$18:$E$41)</f>
        <v>Market.QR_LIVE.DiscountCurve.AUD-LIBOR-SENIOR</v>
      </c>
      <c r="B1" s="123"/>
      <c r="C1" s="80"/>
      <c r="D1" s="80"/>
      <c r="E1" s="80"/>
      <c r="F1" s="81"/>
      <c r="G1" s="122" t="str">
        <f ca="1">_xll.HLV5r3.Financial.Cache.CreateCurve( G2:H12, $C$18:$E$41)</f>
        <v>Market.QR_LIVE.2019-09-01.DiscountCurve.AUD-LIBOR-SENIOR</v>
      </c>
      <c r="H1" s="123"/>
      <c r="I1" s="81"/>
    </row>
    <row r="2" spans="1:9" ht="13.5" thickBot="1">
      <c r="A2" s="19" t="s">
        <v>32</v>
      </c>
      <c r="B2" s="83" t="s">
        <v>101</v>
      </c>
      <c r="C2" s="80"/>
      <c r="D2" s="80"/>
      <c r="E2" s="80"/>
      <c r="F2" s="84"/>
      <c r="G2" s="19" t="s">
        <v>32</v>
      </c>
      <c r="H2" s="83" t="s">
        <v>101</v>
      </c>
      <c r="I2" s="84"/>
    </row>
    <row r="3" spans="1:9">
      <c r="A3" s="20" t="s">
        <v>33</v>
      </c>
      <c r="B3" s="85">
        <f ca="1">TODAY()</f>
        <v>43710</v>
      </c>
      <c r="C3" s="80"/>
      <c r="D3" s="80"/>
      <c r="E3" s="80"/>
      <c r="F3" s="84"/>
      <c r="G3" s="20" t="s">
        <v>33</v>
      </c>
      <c r="H3" s="85">
        <f ca="1">H6</f>
        <v>43709</v>
      </c>
      <c r="I3" s="84"/>
    </row>
    <row r="4" spans="1:9">
      <c r="A4" s="21" t="s">
        <v>27</v>
      </c>
      <c r="B4" s="86">
        <f ca="1">B3</f>
        <v>43710</v>
      </c>
      <c r="C4" s="80"/>
      <c r="D4" s="80"/>
      <c r="E4" s="80"/>
      <c r="F4" s="84"/>
      <c r="G4" s="21" t="s">
        <v>27</v>
      </c>
      <c r="H4" s="86">
        <f ca="1">H3</f>
        <v>43709</v>
      </c>
      <c r="I4" s="84"/>
    </row>
    <row r="5" spans="1:9">
      <c r="A5" s="22" t="s">
        <v>26</v>
      </c>
      <c r="B5" s="27" t="s">
        <v>20</v>
      </c>
      <c r="C5" s="80"/>
      <c r="D5" s="80"/>
      <c r="E5" s="80"/>
      <c r="F5" s="84"/>
      <c r="G5" s="22" t="s">
        <v>26</v>
      </c>
      <c r="H5" s="27" t="s">
        <v>20</v>
      </c>
      <c r="I5" s="84"/>
    </row>
    <row r="6" spans="1:9">
      <c r="A6" s="21" t="s">
        <v>34</v>
      </c>
      <c r="B6" s="89" t="s">
        <v>102</v>
      </c>
      <c r="C6" s="80"/>
      <c r="D6" s="80"/>
      <c r="E6" s="80"/>
      <c r="F6" s="84"/>
      <c r="G6" s="22" t="s">
        <v>100</v>
      </c>
      <c r="H6" s="88">
        <f ca="1">'BondCurve-BondForward'!G7</f>
        <v>43709</v>
      </c>
      <c r="I6" s="84"/>
    </row>
    <row r="7" spans="1:9">
      <c r="A7" s="21" t="s">
        <v>35</v>
      </c>
      <c r="B7" s="87" t="s">
        <v>36</v>
      </c>
      <c r="C7" s="80"/>
      <c r="D7" s="80"/>
      <c r="E7" s="80"/>
      <c r="F7" s="84"/>
      <c r="G7" s="21" t="s">
        <v>34</v>
      </c>
      <c r="H7" s="89" t="s">
        <v>102</v>
      </c>
      <c r="I7" s="84"/>
    </row>
    <row r="8" spans="1:9">
      <c r="A8" s="21" t="s">
        <v>37</v>
      </c>
      <c r="B8" s="87" t="str">
        <f>B11&amp;"-"&amp;B6&amp;"-"&amp;B7</f>
        <v>AUD-LIBOR-SENIOR</v>
      </c>
      <c r="C8" s="80"/>
      <c r="D8" s="80"/>
      <c r="E8" s="80"/>
      <c r="F8" s="84"/>
      <c r="G8" s="21" t="s">
        <v>35</v>
      </c>
      <c r="H8" s="87" t="s">
        <v>36</v>
      </c>
      <c r="I8" s="84"/>
    </row>
    <row r="9" spans="1:9">
      <c r="A9" s="21" t="s">
        <v>103</v>
      </c>
      <c r="B9" s="87" t="str">
        <f>B2&amp;"."&amp;B8</f>
        <v>DiscountCurve.AUD-LIBOR-SENIOR</v>
      </c>
      <c r="C9" s="80"/>
      <c r="D9" s="80"/>
      <c r="E9" s="80"/>
      <c r="F9" s="84"/>
      <c r="G9" s="21" t="s">
        <v>37</v>
      </c>
      <c r="H9" s="87" t="str">
        <f>H12&amp;"-"&amp;H7&amp;"-"&amp;H8</f>
        <v>AUD-LIBOR-SENIOR</v>
      </c>
      <c r="I9" s="84"/>
    </row>
    <row r="10" spans="1:9">
      <c r="A10" s="21" t="s">
        <v>39</v>
      </c>
      <c r="B10" s="87" t="s">
        <v>104</v>
      </c>
      <c r="C10" s="80"/>
      <c r="D10" s="80"/>
      <c r="E10" s="80"/>
      <c r="F10" s="84"/>
      <c r="G10" s="21" t="s">
        <v>103</v>
      </c>
      <c r="H10" s="87" t="str">
        <f>H2&amp;"."&amp;H9</f>
        <v>DiscountCurve.AUD-LIBOR-SENIOR</v>
      </c>
      <c r="I10" s="84"/>
    </row>
    <row r="11" spans="1:9" ht="13.5" thickBot="1">
      <c r="A11" s="23" t="s">
        <v>40</v>
      </c>
      <c r="B11" s="90" t="s">
        <v>0</v>
      </c>
      <c r="C11" s="80"/>
      <c r="D11" s="80"/>
      <c r="E11" s="80"/>
      <c r="F11" s="84"/>
      <c r="G11" s="21" t="s">
        <v>39</v>
      </c>
      <c r="H11" s="87" t="s">
        <v>104</v>
      </c>
      <c r="I11" s="84"/>
    </row>
    <row r="12" spans="1:9" ht="13.5" thickBot="1">
      <c r="A12" s="22" t="s">
        <v>105</v>
      </c>
      <c r="B12" s="87">
        <v>7200</v>
      </c>
      <c r="C12" s="80"/>
      <c r="D12" s="80"/>
      <c r="E12" s="80"/>
      <c r="F12" s="84"/>
      <c r="G12" s="23" t="s">
        <v>40</v>
      </c>
      <c r="H12" s="90" t="s">
        <v>0</v>
      </c>
      <c r="I12" s="84"/>
    </row>
    <row r="13" spans="1:9" ht="13.5" thickBot="1">
      <c r="A13" s="91" t="s">
        <v>106</v>
      </c>
      <c r="B13" s="92" t="str">
        <f ca="1">A1</f>
        <v>Market.QR_LIVE.DiscountCurve.AUD-LIBOR-SENIOR</v>
      </c>
      <c r="C13" s="80"/>
      <c r="D13" s="80"/>
      <c r="E13" s="80"/>
      <c r="F13" s="84"/>
      <c r="I13" s="84"/>
    </row>
    <row r="14" spans="1:9" ht="13.5" thickBot="1">
      <c r="A14" s="93"/>
      <c r="B14" s="94"/>
      <c r="C14" s="80"/>
      <c r="D14" s="80"/>
      <c r="E14" s="80"/>
      <c r="F14" s="84"/>
      <c r="G14" s="122" t="str">
        <f ca="1">_xll.HLV5r3.Financial.Cache.CreateCurve( G15:H25,HLInstruments)</f>
        <v>Market.QR_LIVE.2019-08-31.DiscountCurve.AUD-LIBOR-SENIOR</v>
      </c>
      <c r="H14" s="123"/>
      <c r="I14" s="84"/>
    </row>
    <row r="15" spans="1:9" ht="13.5" thickBot="1">
      <c r="A15" s="95"/>
      <c r="B15" s="80"/>
      <c r="C15" s="80"/>
      <c r="D15" s="80"/>
      <c r="E15" s="80"/>
      <c r="F15" s="84"/>
      <c r="G15" s="19" t="s">
        <v>32</v>
      </c>
      <c r="H15" s="83" t="s">
        <v>101</v>
      </c>
      <c r="I15" s="84"/>
    </row>
    <row r="16" spans="1:9">
      <c r="A16" s="96" t="s">
        <v>107</v>
      </c>
      <c r="B16" s="97"/>
      <c r="C16" s="97"/>
      <c r="D16" s="97"/>
      <c r="E16" s="98"/>
      <c r="F16" s="84"/>
      <c r="G16" s="20" t="s">
        <v>33</v>
      </c>
      <c r="H16" s="85">
        <f ca="1">H19</f>
        <v>43708</v>
      </c>
      <c r="I16" s="84"/>
    </row>
    <row r="17" spans="1:9" ht="13.5" thickBot="1">
      <c r="A17" s="99" t="s">
        <v>108</v>
      </c>
      <c r="B17" s="63" t="s">
        <v>109</v>
      </c>
      <c r="C17" s="63" t="s">
        <v>30</v>
      </c>
      <c r="D17" s="14" t="s">
        <v>110</v>
      </c>
      <c r="E17" s="15" t="s">
        <v>31</v>
      </c>
      <c r="F17" s="84"/>
      <c r="G17" s="21" t="s">
        <v>27</v>
      </c>
      <c r="H17" s="86">
        <f ca="1">H16</f>
        <v>43708</v>
      </c>
      <c r="I17" s="84"/>
    </row>
    <row r="18" spans="1:9">
      <c r="A18" s="100" t="s">
        <v>111</v>
      </c>
      <c r="B18" s="101" t="s">
        <v>112</v>
      </c>
      <c r="C18" s="102" t="str">
        <f>$B$11&amp;"-"&amp;A18&amp;"-"&amp;B18</f>
        <v>AUD-XccyDepo-1D</v>
      </c>
      <c r="D18" s="103">
        <v>0.05</v>
      </c>
      <c r="E18" s="103">
        <v>0</v>
      </c>
      <c r="F18" s="84"/>
      <c r="G18" s="22" t="s">
        <v>26</v>
      </c>
      <c r="H18" s="27" t="s">
        <v>20</v>
      </c>
      <c r="I18" s="84"/>
    </row>
    <row r="19" spans="1:9">
      <c r="A19" s="100" t="s">
        <v>111</v>
      </c>
      <c r="B19" s="104" t="s">
        <v>113</v>
      </c>
      <c r="C19" s="102" t="str">
        <f t="shared" ref="C19:C41" si="0">$B$11&amp;"-"&amp;A19&amp;"-"&amp;B19</f>
        <v>AUD-XccyDepo-TN</v>
      </c>
      <c r="D19" s="105">
        <v>0.05</v>
      </c>
      <c r="E19" s="105">
        <v>0</v>
      </c>
      <c r="F19" s="84"/>
      <c r="G19" s="22" t="s">
        <v>100</v>
      </c>
      <c r="H19" s="88">
        <f ca="1">'BondCurve-BondForward'!G21</f>
        <v>43708</v>
      </c>
      <c r="I19" s="84"/>
    </row>
    <row r="20" spans="1:9">
      <c r="A20" s="100" t="s">
        <v>111</v>
      </c>
      <c r="B20" s="104" t="s">
        <v>114</v>
      </c>
      <c r="C20" s="102" t="str">
        <f t="shared" si="0"/>
        <v>AUD-XccyDepo-1W</v>
      </c>
      <c r="D20" s="105">
        <v>0.05</v>
      </c>
      <c r="E20" s="105">
        <v>0</v>
      </c>
      <c r="F20" s="84"/>
      <c r="G20" s="21" t="s">
        <v>34</v>
      </c>
      <c r="H20" s="89" t="s">
        <v>102</v>
      </c>
      <c r="I20" s="84"/>
    </row>
    <row r="21" spans="1:9">
      <c r="A21" s="100" t="s">
        <v>111</v>
      </c>
      <c r="B21" s="104" t="s">
        <v>115</v>
      </c>
      <c r="C21" s="102" t="str">
        <f t="shared" si="0"/>
        <v>AUD-XccyDepo-2W</v>
      </c>
      <c r="D21" s="105">
        <v>0.05</v>
      </c>
      <c r="E21" s="105">
        <v>0</v>
      </c>
      <c r="F21" s="84"/>
      <c r="G21" s="21" t="s">
        <v>35</v>
      </c>
      <c r="H21" s="87" t="s">
        <v>36</v>
      </c>
      <c r="I21" s="84"/>
    </row>
    <row r="22" spans="1:9">
      <c r="A22" s="100" t="s">
        <v>111</v>
      </c>
      <c r="B22" s="104" t="s">
        <v>116</v>
      </c>
      <c r="C22" s="102" t="str">
        <f t="shared" si="0"/>
        <v>AUD-XccyDepo-1M</v>
      </c>
      <c r="D22" s="105">
        <v>0.05</v>
      </c>
      <c r="E22" s="105">
        <v>0</v>
      </c>
      <c r="F22" s="84"/>
      <c r="G22" s="21" t="s">
        <v>37</v>
      </c>
      <c r="H22" s="87" t="str">
        <f>H25&amp;"-"&amp;H20&amp;"-"&amp;H21</f>
        <v>AUD-LIBOR-SENIOR</v>
      </c>
      <c r="I22" s="84"/>
    </row>
    <row r="23" spans="1:9">
      <c r="A23" s="100" t="s">
        <v>111</v>
      </c>
      <c r="B23" s="104" t="s">
        <v>117</v>
      </c>
      <c r="C23" s="102" t="str">
        <f t="shared" si="0"/>
        <v>AUD-XccyDepo-2M</v>
      </c>
      <c r="D23" s="105">
        <v>0.05</v>
      </c>
      <c r="E23" s="105">
        <v>0</v>
      </c>
      <c r="F23" s="84"/>
      <c r="G23" s="21" t="s">
        <v>103</v>
      </c>
      <c r="H23" s="87" t="str">
        <f>H15&amp;"."&amp;H22</f>
        <v>DiscountCurve.AUD-LIBOR-SENIOR</v>
      </c>
      <c r="I23" s="84"/>
    </row>
    <row r="24" spans="1:9">
      <c r="A24" s="100" t="s">
        <v>111</v>
      </c>
      <c r="B24" s="104" t="s">
        <v>118</v>
      </c>
      <c r="C24" s="102" t="str">
        <f t="shared" si="0"/>
        <v>AUD-XccyDepo-3M</v>
      </c>
      <c r="D24" s="105">
        <v>0.05</v>
      </c>
      <c r="E24" s="105">
        <v>0</v>
      </c>
      <c r="F24" s="84"/>
      <c r="G24" s="21" t="s">
        <v>39</v>
      </c>
      <c r="H24" s="87" t="s">
        <v>104</v>
      </c>
      <c r="I24" s="84"/>
    </row>
    <row r="25" spans="1:9" ht="13.5" thickBot="1">
      <c r="A25" s="100" t="s">
        <v>119</v>
      </c>
      <c r="B25" s="104" t="s">
        <v>120</v>
      </c>
      <c r="C25" s="102" t="str">
        <f t="shared" si="0"/>
        <v>AUD-XccySwap-6M</v>
      </c>
      <c r="D25" s="105">
        <v>0.05</v>
      </c>
      <c r="E25" s="105">
        <v>0</v>
      </c>
      <c r="F25" s="84"/>
      <c r="G25" s="23" t="s">
        <v>40</v>
      </c>
      <c r="H25" s="90" t="s">
        <v>0</v>
      </c>
      <c r="I25" s="84"/>
    </row>
    <row r="26" spans="1:9">
      <c r="A26" s="100" t="s">
        <v>119</v>
      </c>
      <c r="B26" s="104" t="s">
        <v>121</v>
      </c>
      <c r="C26" s="102" t="str">
        <f t="shared" si="0"/>
        <v>AUD-XccySwap-9M</v>
      </c>
      <c r="D26" s="105">
        <v>0.05</v>
      </c>
      <c r="E26" s="105">
        <v>0</v>
      </c>
      <c r="F26" s="84"/>
      <c r="I26" s="84"/>
    </row>
    <row r="27" spans="1:9" ht="13.5" thickBot="1">
      <c r="A27" s="100" t="s">
        <v>119</v>
      </c>
      <c r="B27" s="104" t="s">
        <v>122</v>
      </c>
      <c r="C27" s="102" t="str">
        <f t="shared" si="0"/>
        <v>AUD-XccySwap-1Y</v>
      </c>
      <c r="D27" s="105">
        <v>0.05</v>
      </c>
      <c r="E27" s="105">
        <v>0</v>
      </c>
      <c r="F27" s="84"/>
      <c r="G27" s="122" t="str">
        <f ca="1">_xll.HLV5r3.Financial.Cache.CreateCurve( G28:H38, HLInstruments)</f>
        <v>Market.QR_LIVE.2019-08-30.DiscountCurve.AUD-LIBOR-SENIOR</v>
      </c>
      <c r="H27" s="123"/>
      <c r="I27" s="84"/>
    </row>
    <row r="28" spans="1:9" ht="13.5" thickBot="1">
      <c r="A28" s="100" t="s">
        <v>119</v>
      </c>
      <c r="B28" s="104" t="s">
        <v>123</v>
      </c>
      <c r="C28" s="102" t="str">
        <f t="shared" si="0"/>
        <v>AUD-XccySwap-2Y</v>
      </c>
      <c r="D28" s="105">
        <v>0.05</v>
      </c>
      <c r="E28" s="105">
        <v>0</v>
      </c>
      <c r="F28" s="84"/>
      <c r="G28" s="19" t="s">
        <v>32</v>
      </c>
      <c r="H28" s="83" t="s">
        <v>101</v>
      </c>
      <c r="I28" s="84"/>
    </row>
    <row r="29" spans="1:9">
      <c r="A29" s="100" t="s">
        <v>119</v>
      </c>
      <c r="B29" s="104" t="s">
        <v>124</v>
      </c>
      <c r="C29" s="102" t="str">
        <f t="shared" si="0"/>
        <v>AUD-XccySwap-3Y</v>
      </c>
      <c r="D29" s="105">
        <v>0.05</v>
      </c>
      <c r="E29" s="105">
        <v>0</v>
      </c>
      <c r="F29" s="84"/>
      <c r="G29" s="20" t="s">
        <v>33</v>
      </c>
      <c r="H29" s="85">
        <f ca="1">H32</f>
        <v>43707</v>
      </c>
      <c r="I29" s="84"/>
    </row>
    <row r="30" spans="1:9">
      <c r="A30" s="100" t="s">
        <v>119</v>
      </c>
      <c r="B30" s="104" t="s">
        <v>125</v>
      </c>
      <c r="C30" s="102" t="str">
        <f t="shared" si="0"/>
        <v>AUD-XccySwap-4Y</v>
      </c>
      <c r="D30" s="105">
        <v>0.05</v>
      </c>
      <c r="E30" s="105">
        <v>0</v>
      </c>
      <c r="F30" s="84"/>
      <c r="G30" s="21" t="s">
        <v>27</v>
      </c>
      <c r="H30" s="86">
        <f ca="1">H29</f>
        <v>43707</v>
      </c>
      <c r="I30" s="84"/>
    </row>
    <row r="31" spans="1:9">
      <c r="A31" s="100" t="s">
        <v>119</v>
      </c>
      <c r="B31" s="104" t="s">
        <v>126</v>
      </c>
      <c r="C31" s="102" t="str">
        <f t="shared" si="0"/>
        <v>AUD-XccySwap-5Y</v>
      </c>
      <c r="D31" s="105">
        <v>0.05</v>
      </c>
      <c r="E31" s="105">
        <v>0</v>
      </c>
      <c r="F31" s="84"/>
      <c r="G31" s="22" t="s">
        <v>26</v>
      </c>
      <c r="H31" s="27" t="s">
        <v>20</v>
      </c>
      <c r="I31" s="84"/>
    </row>
    <row r="32" spans="1:9">
      <c r="A32" s="100" t="s">
        <v>119</v>
      </c>
      <c r="B32" s="104" t="s">
        <v>127</v>
      </c>
      <c r="C32" s="102" t="str">
        <f t="shared" si="0"/>
        <v>AUD-XccySwap-6Y</v>
      </c>
      <c r="D32" s="105">
        <v>0.05</v>
      </c>
      <c r="E32" s="105">
        <v>0</v>
      </c>
      <c r="F32" s="84"/>
      <c r="G32" s="22" t="s">
        <v>100</v>
      </c>
      <c r="H32" s="88">
        <f ca="1">'BondCurve-BondForward'!G35</f>
        <v>43707</v>
      </c>
      <c r="I32" s="84"/>
    </row>
    <row r="33" spans="1:9">
      <c r="A33" s="100" t="s">
        <v>119</v>
      </c>
      <c r="B33" s="104" t="s">
        <v>128</v>
      </c>
      <c r="C33" s="102" t="str">
        <f t="shared" si="0"/>
        <v>AUD-XccySwap-7Y</v>
      </c>
      <c r="D33" s="105">
        <v>0.05</v>
      </c>
      <c r="E33" s="105">
        <v>0</v>
      </c>
      <c r="F33" s="84"/>
      <c r="G33" s="21" t="s">
        <v>34</v>
      </c>
      <c r="H33" s="89" t="s">
        <v>102</v>
      </c>
      <c r="I33" s="84"/>
    </row>
    <row r="34" spans="1:9">
      <c r="A34" s="100" t="s">
        <v>119</v>
      </c>
      <c r="B34" s="104" t="s">
        <v>129</v>
      </c>
      <c r="C34" s="102" t="str">
        <f t="shared" si="0"/>
        <v>AUD-XccySwap-8Y</v>
      </c>
      <c r="D34" s="105">
        <v>0.05</v>
      </c>
      <c r="E34" s="105">
        <v>0</v>
      </c>
      <c r="F34" s="84"/>
      <c r="G34" s="21" t="s">
        <v>35</v>
      </c>
      <c r="H34" s="87" t="s">
        <v>36</v>
      </c>
      <c r="I34" s="84"/>
    </row>
    <row r="35" spans="1:9">
      <c r="A35" s="100" t="s">
        <v>119</v>
      </c>
      <c r="B35" s="104" t="s">
        <v>130</v>
      </c>
      <c r="C35" s="102" t="str">
        <f t="shared" si="0"/>
        <v>AUD-XccySwap-9Y</v>
      </c>
      <c r="D35" s="105">
        <v>0.05</v>
      </c>
      <c r="E35" s="105">
        <v>0</v>
      </c>
      <c r="F35" s="84"/>
      <c r="G35" s="21" t="s">
        <v>37</v>
      </c>
      <c r="H35" s="87" t="str">
        <f>H38&amp;"-"&amp;H33&amp;"-"&amp;H34</f>
        <v>AUD-LIBOR-SENIOR</v>
      </c>
      <c r="I35" s="84"/>
    </row>
    <row r="36" spans="1:9">
      <c r="A36" s="100" t="s">
        <v>119</v>
      </c>
      <c r="B36" s="104" t="s">
        <v>131</v>
      </c>
      <c r="C36" s="102" t="str">
        <f t="shared" si="0"/>
        <v>AUD-XccySwap-10Y</v>
      </c>
      <c r="D36" s="105">
        <v>0.05</v>
      </c>
      <c r="E36" s="105">
        <v>0</v>
      </c>
      <c r="F36" s="84"/>
      <c r="G36" s="21" t="s">
        <v>103</v>
      </c>
      <c r="H36" s="87" t="str">
        <f>H28&amp;"."&amp;H35</f>
        <v>DiscountCurve.AUD-LIBOR-SENIOR</v>
      </c>
      <c r="I36" s="84"/>
    </row>
    <row r="37" spans="1:9">
      <c r="A37" s="100" t="s">
        <v>119</v>
      </c>
      <c r="B37" s="104" t="s">
        <v>132</v>
      </c>
      <c r="C37" s="102" t="str">
        <f t="shared" si="0"/>
        <v>AUD-XccySwap-12Y</v>
      </c>
      <c r="D37" s="105">
        <v>0.05</v>
      </c>
      <c r="E37" s="105">
        <v>0</v>
      </c>
      <c r="F37" s="84"/>
      <c r="G37" s="21" t="s">
        <v>39</v>
      </c>
      <c r="H37" s="87" t="s">
        <v>104</v>
      </c>
      <c r="I37" s="84"/>
    </row>
    <row r="38" spans="1:9" ht="13.5" thickBot="1">
      <c r="A38" s="100" t="s">
        <v>119</v>
      </c>
      <c r="B38" s="104" t="s">
        <v>133</v>
      </c>
      <c r="C38" s="102" t="str">
        <f t="shared" si="0"/>
        <v>AUD-XccySwap-15Y</v>
      </c>
      <c r="D38" s="105">
        <v>0.05</v>
      </c>
      <c r="E38" s="105">
        <v>0</v>
      </c>
      <c r="F38" s="84"/>
      <c r="G38" s="23" t="s">
        <v>40</v>
      </c>
      <c r="H38" s="90" t="s">
        <v>0</v>
      </c>
      <c r="I38" s="84"/>
    </row>
    <row r="39" spans="1:9">
      <c r="A39" s="100" t="s">
        <v>119</v>
      </c>
      <c r="B39" s="104" t="s">
        <v>134</v>
      </c>
      <c r="C39" s="102" t="str">
        <f t="shared" si="0"/>
        <v>AUD-XccySwap-20Y</v>
      </c>
      <c r="D39" s="105">
        <v>0.05</v>
      </c>
      <c r="E39" s="105">
        <v>0</v>
      </c>
      <c r="F39" s="84"/>
      <c r="I39" s="84"/>
    </row>
    <row r="40" spans="1:9" ht="13.5" thickBot="1">
      <c r="A40" s="100" t="s">
        <v>119</v>
      </c>
      <c r="B40" s="104" t="s">
        <v>135</v>
      </c>
      <c r="C40" s="102" t="str">
        <f>$B$11&amp;"-"&amp;A40&amp;"-"&amp;B40</f>
        <v>AUD-XccySwap-25Y</v>
      </c>
      <c r="D40" s="105">
        <v>0.05</v>
      </c>
      <c r="E40" s="105">
        <v>0</v>
      </c>
      <c r="F40" s="84"/>
      <c r="G40" s="122" t="str">
        <f ca="1">_xll.HLV5r3.Financial.Cache.CreateCurve( G41:H51, HLInstruments)</f>
        <v>Market.QR_LIVE.2019-08-29.DiscountCurve.AUD-LIBOR-SENIOR</v>
      </c>
      <c r="H40" s="123"/>
      <c r="I40" s="84"/>
    </row>
    <row r="41" spans="1:9" ht="13.5" thickBot="1">
      <c r="A41" s="100" t="s">
        <v>119</v>
      </c>
      <c r="B41" s="106" t="s">
        <v>136</v>
      </c>
      <c r="C41" s="102" t="str">
        <f t="shared" si="0"/>
        <v>AUD-XccySwap-30Y</v>
      </c>
      <c r="D41" s="107">
        <v>0.05</v>
      </c>
      <c r="E41" s="108">
        <v>0</v>
      </c>
      <c r="F41" s="84"/>
      <c r="G41" s="19" t="s">
        <v>32</v>
      </c>
      <c r="H41" s="83" t="s">
        <v>101</v>
      </c>
      <c r="I41" s="84"/>
    </row>
    <row r="42" spans="1:9" ht="13.5" thickBot="1">
      <c r="A42" s="95"/>
      <c r="B42" s="80"/>
      <c r="C42" s="80"/>
      <c r="D42" s="80"/>
      <c r="E42" s="80"/>
      <c r="F42" s="84"/>
      <c r="G42" s="20" t="s">
        <v>33</v>
      </c>
      <c r="H42" s="85">
        <f ca="1">H45</f>
        <v>43706</v>
      </c>
      <c r="I42" s="84"/>
    </row>
    <row r="43" spans="1:9" ht="13.5" thickBot="1">
      <c r="A43" s="109" t="s">
        <v>137</v>
      </c>
      <c r="B43" s="80"/>
      <c r="C43" s="80"/>
      <c r="D43" s="80"/>
      <c r="E43" s="80"/>
      <c r="F43" s="84"/>
      <c r="G43" s="21" t="s">
        <v>27</v>
      </c>
      <c r="H43" s="86">
        <f ca="1">H42</f>
        <v>43706</v>
      </c>
      <c r="I43" s="84"/>
    </row>
    <row r="44" spans="1:9" ht="13.5" thickBot="1">
      <c r="A44" s="110"/>
      <c r="B44" s="111"/>
      <c r="C44" s="111"/>
      <c r="D44" s="111"/>
      <c r="E44" s="111"/>
      <c r="F44" s="112"/>
      <c r="G44" s="22" t="s">
        <v>26</v>
      </c>
      <c r="H44" s="27" t="s">
        <v>20</v>
      </c>
      <c r="I44" s="112"/>
    </row>
    <row r="45" spans="1:9">
      <c r="A45" s="82"/>
      <c r="B45" s="82"/>
      <c r="C45" s="82"/>
      <c r="D45" s="82"/>
      <c r="E45" s="82"/>
      <c r="F45" s="82"/>
      <c r="G45" s="22" t="s">
        <v>100</v>
      </c>
      <c r="H45" s="88">
        <f ca="1">'BondCurve-BondForward'!G49</f>
        <v>43706</v>
      </c>
      <c r="I45" s="82"/>
    </row>
    <row r="46" spans="1:9">
      <c r="G46" s="21" t="s">
        <v>34</v>
      </c>
      <c r="H46" s="89" t="s">
        <v>102</v>
      </c>
    </row>
    <row r="47" spans="1:9">
      <c r="G47" s="21" t="s">
        <v>35</v>
      </c>
      <c r="H47" s="87" t="s">
        <v>36</v>
      </c>
    </row>
    <row r="48" spans="1:9">
      <c r="G48" s="21" t="s">
        <v>37</v>
      </c>
      <c r="H48" s="87" t="str">
        <f>H51&amp;"-"&amp;H46&amp;"-"&amp;H47</f>
        <v>AUD-LIBOR-SENIOR</v>
      </c>
    </row>
    <row r="49" spans="7:8">
      <c r="G49" s="21" t="s">
        <v>103</v>
      </c>
      <c r="H49" s="87" t="str">
        <f>H41&amp;"."&amp;H48</f>
        <v>DiscountCurve.AUD-LIBOR-SENIOR</v>
      </c>
    </row>
    <row r="50" spans="7:8">
      <c r="G50" s="21" t="s">
        <v>39</v>
      </c>
      <c r="H50" s="87" t="s">
        <v>104</v>
      </c>
    </row>
    <row r="51" spans="7:8" ht="13.5" thickBot="1">
      <c r="G51" s="23" t="s">
        <v>40</v>
      </c>
      <c r="H51" s="90" t="s">
        <v>0</v>
      </c>
    </row>
    <row r="53" spans="7:8" ht="13.5" thickBot="1">
      <c r="G53" s="122" t="str">
        <f ca="1">_xll.HLV5r3.Financial.Cache.CreateCurve( G54:H64, HLInstruments)</f>
        <v>Market.QR_LIVE.2019-08-28.DiscountCurve.AUD-LIBOR-SENIOR</v>
      </c>
      <c r="H53" s="123"/>
    </row>
    <row r="54" spans="7:8" ht="13.5" thickBot="1">
      <c r="G54" s="19" t="s">
        <v>32</v>
      </c>
      <c r="H54" s="83" t="s">
        <v>101</v>
      </c>
    </row>
    <row r="55" spans="7:8">
      <c r="G55" s="20" t="s">
        <v>33</v>
      </c>
      <c r="H55" s="85">
        <f ca="1">H58</f>
        <v>43705</v>
      </c>
    </row>
    <row r="56" spans="7:8">
      <c r="G56" s="21" t="s">
        <v>27</v>
      </c>
      <c r="H56" s="86">
        <f ca="1">H55</f>
        <v>43705</v>
      </c>
    </row>
    <row r="57" spans="7:8">
      <c r="G57" s="22" t="s">
        <v>26</v>
      </c>
      <c r="H57" s="27" t="s">
        <v>20</v>
      </c>
    </row>
    <row r="58" spans="7:8">
      <c r="G58" s="22" t="s">
        <v>100</v>
      </c>
      <c r="H58" s="88">
        <f ca="1">'BondCurve-BondForward'!G63</f>
        <v>43705</v>
      </c>
    </row>
    <row r="59" spans="7:8">
      <c r="G59" s="21" t="s">
        <v>34</v>
      </c>
      <c r="H59" s="89" t="s">
        <v>102</v>
      </c>
    </row>
    <row r="60" spans="7:8">
      <c r="G60" s="21" t="s">
        <v>35</v>
      </c>
      <c r="H60" s="87" t="s">
        <v>36</v>
      </c>
    </row>
    <row r="61" spans="7:8">
      <c r="G61" s="21" t="s">
        <v>37</v>
      </c>
      <c r="H61" s="87" t="str">
        <f>H64&amp;"-"&amp;H59&amp;"-"&amp;H60</f>
        <v>AUD-LIBOR-SENIOR</v>
      </c>
    </row>
    <row r="62" spans="7:8">
      <c r="G62" s="21" t="s">
        <v>103</v>
      </c>
      <c r="H62" s="87" t="str">
        <f>H54&amp;"."&amp;H61</f>
        <v>DiscountCurve.AUD-LIBOR-SENIOR</v>
      </c>
    </row>
    <row r="63" spans="7:8">
      <c r="G63" s="21" t="s">
        <v>39</v>
      </c>
      <c r="H63" s="87" t="s">
        <v>104</v>
      </c>
    </row>
    <row r="64" spans="7:8" ht="13.5" thickBot="1">
      <c r="G64" s="23" t="s">
        <v>40</v>
      </c>
      <c r="H64" s="90" t="s">
        <v>0</v>
      </c>
    </row>
  </sheetData>
  <protectedRanges>
    <protectedRange sqref="B10 H11 H24 H37 H50" name="Range2_1_1"/>
  </protectedRanges>
  <mergeCells count="6">
    <mergeCell ref="A1:B1"/>
    <mergeCell ref="G40:H40"/>
    <mergeCell ref="G53:H53"/>
    <mergeCell ref="G1:H1"/>
    <mergeCell ref="G14:H14"/>
    <mergeCell ref="G27:H27"/>
  </mergeCells>
  <dataValidations count="5">
    <dataValidation type="list" allowBlank="1" showInputMessage="1" showErrorMessage="1" sqref="B10 H63 H50 H37 H24 H11" xr:uid="{00000000-0002-0000-0000-000000000000}">
      <formula1>Algorithms</formula1>
    </dataValidation>
    <dataValidation type="list" allowBlank="1" showInputMessage="1" showErrorMessage="1" sqref="B7 H60 H47 H34 H21 H8" xr:uid="{00000000-0002-0000-0000-000001000000}">
      <formula1>"SENIOR"</formula1>
    </dataValidation>
    <dataValidation type="list" allowBlank="1" showInputMessage="1" showErrorMessage="1" sqref="B6 H59 H46 H33 H20 H7" xr:uid="{00000000-0002-0000-0000-000002000000}">
      <formula1>"NAB, LIBOR"</formula1>
    </dataValidation>
    <dataValidation type="list" allowBlank="1" showInputMessage="1" showErrorMessage="1" sqref="B11 H64 H51 H38 H25 H12" xr:uid="{00000000-0002-0000-0000-000003000000}">
      <formula1>Currency</formula1>
    </dataValidation>
    <dataValidation type="list" allowBlank="1" showInputMessage="1" showErrorMessage="1" sqref="B2 H54 H41 H28 H15 H2" xr:uid="{00000000-0002-0000-0000-000004000000}">
      <formula1>"RateCurve,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8"/>
  <sheetViews>
    <sheetView workbookViewId="0">
      <selection activeCell="B3" sqref="B3"/>
    </sheetView>
  </sheetViews>
  <sheetFormatPr defaultRowHeight="12.75"/>
  <cols>
    <col min="1" max="1" width="1.5703125" customWidth="1"/>
    <col min="2" max="2" width="31.85546875" customWidth="1"/>
    <col min="3" max="3" width="22.42578125" customWidth="1"/>
    <col min="10" max="10" width="9.5703125" customWidth="1"/>
  </cols>
  <sheetData>
    <row r="2" spans="2:4" ht="13.5" thickBot="1">
      <c r="B2" s="124" t="str">
        <f ca="1">_xll.HLV5r3.Financial.Cache.CreateCurve(B3:C13, B17:D21)</f>
        <v>Market.QR_LIVE.DiscountCurve.AUD-WATC-SENIOR</v>
      </c>
      <c r="C2" s="125"/>
    </row>
    <row r="3" spans="2:4" ht="13.5" thickBot="1">
      <c r="B3" s="19" t="s">
        <v>32</v>
      </c>
      <c r="C3" s="24" t="s">
        <v>71</v>
      </c>
    </row>
    <row r="4" spans="2:4">
      <c r="B4" s="20" t="s">
        <v>33</v>
      </c>
      <c r="C4" s="25">
        <f ca="1">C5</f>
        <v>43710</v>
      </c>
    </row>
    <row r="5" spans="2:4">
      <c r="B5" s="21" t="s">
        <v>27</v>
      </c>
      <c r="C5" s="26">
        <f ca="1">TODAY()</f>
        <v>43710</v>
      </c>
    </row>
    <row r="6" spans="2:4">
      <c r="B6" s="22" t="s">
        <v>26</v>
      </c>
      <c r="C6" s="27" t="s">
        <v>20</v>
      </c>
    </row>
    <row r="7" spans="2:4">
      <c r="B7" s="21" t="s">
        <v>34</v>
      </c>
      <c r="C7" s="28" t="s">
        <v>2</v>
      </c>
    </row>
    <row r="8" spans="2:4">
      <c r="B8" s="21" t="s">
        <v>35</v>
      </c>
      <c r="C8" s="27" t="s">
        <v>36</v>
      </c>
    </row>
    <row r="9" spans="2:4">
      <c r="B9" s="21" t="s">
        <v>37</v>
      </c>
      <c r="C9" s="27" t="s">
        <v>41</v>
      </c>
    </row>
    <row r="10" spans="2:4">
      <c r="B10" s="21" t="s">
        <v>38</v>
      </c>
      <c r="C10" s="27">
        <v>0</v>
      </c>
    </row>
    <row r="11" spans="2:4">
      <c r="B11" s="21" t="s">
        <v>39</v>
      </c>
      <c r="C11" s="27" t="s">
        <v>42</v>
      </c>
    </row>
    <row r="12" spans="2:4">
      <c r="B12" s="21" t="s">
        <v>43</v>
      </c>
      <c r="C12" s="27" t="s">
        <v>23</v>
      </c>
    </row>
    <row r="13" spans="2:4" ht="13.5" thickBot="1">
      <c r="B13" s="23" t="s">
        <v>40</v>
      </c>
      <c r="C13" s="29" t="s">
        <v>0</v>
      </c>
    </row>
    <row r="15" spans="2:4">
      <c r="B15" s="12"/>
      <c r="C15" s="12"/>
      <c r="D15" s="13"/>
    </row>
    <row r="16" spans="2:4" ht="13.5" thickBot="1">
      <c r="B16" s="33" t="s">
        <v>30</v>
      </c>
      <c r="C16" s="14" t="s">
        <v>23</v>
      </c>
      <c r="D16" s="15" t="s">
        <v>31</v>
      </c>
    </row>
    <row r="17" spans="2:4">
      <c r="B17" s="34" t="s">
        <v>44</v>
      </c>
      <c r="C17" s="30">
        <v>2.5000000000000001E-2</v>
      </c>
      <c r="D17" s="16">
        <v>0</v>
      </c>
    </row>
    <row r="18" spans="2:4">
      <c r="B18" s="35" t="s">
        <v>45</v>
      </c>
      <c r="C18" s="31">
        <v>2.5000000000000001E-2</v>
      </c>
      <c r="D18" s="17">
        <v>0</v>
      </c>
    </row>
    <row r="19" spans="2:4">
      <c r="B19" s="35" t="s">
        <v>46</v>
      </c>
      <c r="C19" s="31">
        <v>2.5000000000000001E-2</v>
      </c>
      <c r="D19" s="17">
        <v>0</v>
      </c>
    </row>
    <row r="20" spans="2:4">
      <c r="B20" s="35" t="s">
        <v>47</v>
      </c>
      <c r="C20" s="31">
        <v>2.5000000000000001E-2</v>
      </c>
      <c r="D20" s="17">
        <v>0</v>
      </c>
    </row>
    <row r="21" spans="2:4" ht="13.5" thickBot="1">
      <c r="B21" s="36" t="s">
        <v>48</v>
      </c>
      <c r="C21" s="32">
        <v>2.5000000000000001E-2</v>
      </c>
      <c r="D21" s="18">
        <v>0</v>
      </c>
    </row>
    <row r="22" spans="2:4" ht="13.5" thickBot="1"/>
    <row r="23" spans="2:4" ht="13.5" thickBot="1">
      <c r="B23" s="42" t="s">
        <v>50</v>
      </c>
    </row>
    <row r="24" spans="2:4">
      <c r="B24" s="34" t="str">
        <f t="array" aca="1" ref="B24:C28" ca="1">_xll.HLV5r3.Financial.Cache.GetQuotedAssetSet(B2)</f>
        <v>AUD-Bond-Govt.WATC.Fixed.5,5.17/07/2012</v>
      </c>
      <c r="C24" s="30">
        <f ca="1"/>
        <v>2.5000000000000001E-2</v>
      </c>
    </row>
    <row r="25" spans="2:4">
      <c r="B25" s="35" t="str">
        <f ca="1"/>
        <v>AUD-Bond-Govt.WATC.Fixed.7.15/04/2015</v>
      </c>
      <c r="C25" s="31">
        <f ca="1"/>
        <v>2.5000000000000001E-2</v>
      </c>
    </row>
    <row r="26" spans="2:4">
      <c r="B26" s="35" t="str">
        <f ca="1"/>
        <v>AUD-Bond-Govt.WATC.Fixed.8.15/07/2017</v>
      </c>
      <c r="C26" s="31">
        <f ca="1"/>
        <v>2.5000000000000001E-2</v>
      </c>
    </row>
    <row r="27" spans="2:4">
      <c r="B27" s="35" t="str">
        <f ca="1"/>
        <v>AUD-Bond-Govt.WATC.Fixed.7.15/10/2019</v>
      </c>
      <c r="C27" s="31">
        <f ca="1"/>
        <v>2.5000000000000001E-2</v>
      </c>
    </row>
    <row r="28" spans="2:4" ht="13.5" thickBot="1">
      <c r="B28" s="36" t="str">
        <f ca="1"/>
        <v>AUD-Bond-Govt.WATC.Fixed.7.15/07/2021</v>
      </c>
      <c r="C28" s="32">
        <f ca="1"/>
        <v>2.5000000000000001E-2</v>
      </c>
    </row>
    <row r="29" spans="2:4" ht="13.5" thickBot="1"/>
    <row r="30" spans="2:4" ht="13.5" thickBot="1">
      <c r="B30" s="41" t="s">
        <v>51</v>
      </c>
    </row>
    <row r="31" spans="2:4">
      <c r="B31" s="38">
        <f t="array" aca="1" ref="B31:C35" ca="1">_xll.HLV5r3.Financial.Cache.GetTermCurve(B2)</f>
        <v>41107</v>
      </c>
      <c r="C31" s="30">
        <f ca="1"/>
        <v>2.5000000000000001E-2</v>
      </c>
    </row>
    <row r="32" spans="2:4">
      <c r="B32" s="39">
        <f ca="1"/>
        <v>42109</v>
      </c>
      <c r="C32" s="31">
        <f ca="1"/>
        <v>2.5000000000000001E-2</v>
      </c>
    </row>
    <row r="33" spans="2:3">
      <c r="B33" s="39">
        <f ca="1"/>
        <v>42931</v>
      </c>
      <c r="C33" s="31">
        <f ca="1"/>
        <v>2.5000000000000001E-2</v>
      </c>
    </row>
    <row r="34" spans="2:3">
      <c r="B34" s="39">
        <f ca="1"/>
        <v>43753</v>
      </c>
      <c r="C34" s="31">
        <f ca="1"/>
        <v>2.5000000000000001E-2</v>
      </c>
    </row>
    <row r="35" spans="2:3" ht="13.5" thickBot="1">
      <c r="B35" s="40">
        <f ca="1"/>
        <v>44392</v>
      </c>
      <c r="C35" s="32">
        <f ca="1"/>
        <v>2.5000000000000001E-2</v>
      </c>
    </row>
    <row r="36" spans="2:3" ht="13.5" thickBot="1"/>
    <row r="37" spans="2:3" ht="13.5" thickBot="1">
      <c r="B37" s="41" t="s">
        <v>52</v>
      </c>
    </row>
    <row r="38" spans="2:3">
      <c r="B38" s="38">
        <f ca="1">B31</f>
        <v>41107</v>
      </c>
      <c r="C38" s="30">
        <f t="array" aca="1" ref="C38:C42" ca="1">_xll.HLV5r3.Financial.Cache.GetValues(B2,B31:B35)</f>
        <v>2.5000000000000012E-2</v>
      </c>
    </row>
    <row r="39" spans="2:3">
      <c r="B39" s="39">
        <f t="shared" ref="B39:B42" ca="1" si="0">B32</f>
        <v>42109</v>
      </c>
      <c r="C39" s="31">
        <f ca="1"/>
        <v>2.5000000000000001E-2</v>
      </c>
    </row>
    <row r="40" spans="2:3">
      <c r="B40" s="39">
        <f t="shared" ca="1" si="0"/>
        <v>42931</v>
      </c>
      <c r="C40" s="31">
        <f ca="1"/>
        <v>2.5000000000000001E-2</v>
      </c>
    </row>
    <row r="41" spans="2:3">
      <c r="B41" s="39">
        <f t="shared" ca="1" si="0"/>
        <v>43753</v>
      </c>
      <c r="C41" s="31">
        <f ca="1"/>
        <v>2.5000000000000001E-2</v>
      </c>
    </row>
    <row r="42" spans="2:3" ht="13.5" thickBot="1">
      <c r="B42" s="40">
        <f t="shared" ca="1" si="0"/>
        <v>44392</v>
      </c>
      <c r="C42" s="32">
        <f ca="1"/>
        <v>2.5000000000000001E-2</v>
      </c>
    </row>
    <row r="44" spans="2:3">
      <c r="B44" s="5"/>
      <c r="C44" s="37"/>
    </row>
    <row r="45" spans="2:3">
      <c r="B45" s="5"/>
      <c r="C45" s="37"/>
    </row>
    <row r="46" spans="2:3">
      <c r="B46" s="5"/>
      <c r="C46" s="37"/>
    </row>
    <row r="47" spans="2:3">
      <c r="B47" s="5"/>
      <c r="C47" s="37"/>
    </row>
    <row r="48" spans="2:3">
      <c r="B48" s="5"/>
      <c r="C48" s="37"/>
    </row>
  </sheetData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71"/>
  <sheetViews>
    <sheetView topLeftCell="A25" workbookViewId="0">
      <selection activeCell="K36" sqref="K36"/>
    </sheetView>
  </sheetViews>
  <sheetFormatPr defaultRowHeight="12.75"/>
  <cols>
    <col min="1" max="1" width="2.7109375" customWidth="1"/>
    <col min="2" max="2" width="25.5703125" style="61" bestFit="1" customWidth="1"/>
    <col min="3" max="3" width="38.42578125" customWidth="1"/>
    <col min="5" max="5" width="2.7109375" customWidth="1"/>
    <col min="6" max="6" width="21" bestFit="1" customWidth="1"/>
    <col min="7" max="7" width="55" customWidth="1"/>
    <col min="10" max="10" width="9.5703125" customWidth="1"/>
  </cols>
  <sheetData>
    <row r="2" spans="2:9" ht="13.5" thickBot="1">
      <c r="B2" s="124" t="str">
        <f ca="1">_xll.HLV5r3.Financial.Cache.CreateCurve(B3:C14, B18:D21)</f>
        <v>Market.QR_LIVE.BondCurve.AUD-Govt:WATC:Fixed:7-15/10/2019</v>
      </c>
      <c r="C2" s="125"/>
      <c r="F2" s="124" t="str">
        <f ca="1">_xll.HLV5r3.Financial.Cache.CreateCurve(F3:G15, $B$18:$D$21)</f>
        <v>Market.QR_LIVE.2019-09-01.BondCurve.AUD-Govt:WATC:Fixed:7-15/10/2019</v>
      </c>
      <c r="G2" s="125"/>
    </row>
    <row r="3" spans="2:9" ht="13.5" thickBot="1">
      <c r="B3" s="19" t="s">
        <v>32</v>
      </c>
      <c r="C3" s="24" t="s">
        <v>86</v>
      </c>
      <c r="F3" s="19" t="s">
        <v>32</v>
      </c>
      <c r="G3" s="24" t="s">
        <v>86</v>
      </c>
    </row>
    <row r="4" spans="2:9">
      <c r="B4" s="20" t="s">
        <v>33</v>
      </c>
      <c r="C4" s="25">
        <f ca="1">C5</f>
        <v>43710</v>
      </c>
      <c r="F4" s="20" t="s">
        <v>33</v>
      </c>
      <c r="G4" s="25">
        <f ca="1">G7</f>
        <v>43709</v>
      </c>
    </row>
    <row r="5" spans="2:9">
      <c r="B5" s="21" t="s">
        <v>27</v>
      </c>
      <c r="C5" s="26">
        <f ca="1">TODAY()</f>
        <v>43710</v>
      </c>
      <c r="F5" s="21" t="s">
        <v>27</v>
      </c>
      <c r="G5" s="26">
        <f ca="1">G4</f>
        <v>43709</v>
      </c>
    </row>
    <row r="6" spans="2:9">
      <c r="B6" s="22" t="s">
        <v>26</v>
      </c>
      <c r="C6" s="27" t="s">
        <v>20</v>
      </c>
      <c r="F6" s="22" t="s">
        <v>26</v>
      </c>
      <c r="G6" s="27" t="s">
        <v>20</v>
      </c>
      <c r="I6" t="str">
        <f ca="1">G6&amp;"."&amp;TEXT(G7,"YYYY-MM-DD")</f>
        <v>QR_LIVE.2019-09-01</v>
      </c>
    </row>
    <row r="7" spans="2:9">
      <c r="B7" s="22" t="s">
        <v>24</v>
      </c>
      <c r="C7" s="27" t="s">
        <v>49</v>
      </c>
      <c r="F7" s="22" t="s">
        <v>100</v>
      </c>
      <c r="G7" s="77">
        <f ca="1">$C$5-1</f>
        <v>43709</v>
      </c>
      <c r="I7" t="str">
        <f ca="1">G20&amp;"."&amp;TEXT(G21,"YYYY-MM-DD")</f>
        <v>QR_LIVE.2019-08-31</v>
      </c>
    </row>
    <row r="8" spans="2:9">
      <c r="B8" s="22" t="s">
        <v>84</v>
      </c>
      <c r="C8" s="27" t="s">
        <v>85</v>
      </c>
      <c r="F8" s="22" t="s">
        <v>24</v>
      </c>
      <c r="G8" s="27" t="s">
        <v>49</v>
      </c>
      <c r="I8" t="str">
        <f ca="1">G34&amp;"."&amp;TEXT(G35,"YYYY-MM-DD")</f>
        <v>QR_LIVE.2019-08-30</v>
      </c>
    </row>
    <row r="9" spans="2:9">
      <c r="B9" s="21" t="s">
        <v>34</v>
      </c>
      <c r="C9" s="28" t="s">
        <v>2</v>
      </c>
      <c r="F9" s="22" t="s">
        <v>84</v>
      </c>
      <c r="G9" s="27" t="s">
        <v>85</v>
      </c>
      <c r="I9" t="str">
        <f ca="1">G48&amp;"."&amp;TEXT(G49,"YYYY-MM-DD")</f>
        <v>QR_LIVE.2019-08-29</v>
      </c>
    </row>
    <row r="10" spans="2:9">
      <c r="B10" s="21" t="s">
        <v>35</v>
      </c>
      <c r="C10" s="27" t="s">
        <v>36</v>
      </c>
      <c r="F10" s="21" t="s">
        <v>34</v>
      </c>
      <c r="G10" s="28" t="s">
        <v>2</v>
      </c>
      <c r="I10" t="str">
        <f ca="1">G62&amp;"."&amp;TEXT(G63,"YYYY-MM-DD")</f>
        <v>QR_LIVE.2019-08-28</v>
      </c>
    </row>
    <row r="11" spans="2:9">
      <c r="B11" s="21" t="s">
        <v>38</v>
      </c>
      <c r="C11" s="27">
        <v>0</v>
      </c>
      <c r="F11" s="21" t="s">
        <v>35</v>
      </c>
      <c r="G11" s="27" t="s">
        <v>36</v>
      </c>
    </row>
    <row r="12" spans="2:9">
      <c r="B12" s="21" t="s">
        <v>39</v>
      </c>
      <c r="C12" s="27" t="s">
        <v>42</v>
      </c>
      <c r="F12" s="21" t="s">
        <v>38</v>
      </c>
      <c r="G12" s="27">
        <v>0</v>
      </c>
    </row>
    <row r="13" spans="2:9">
      <c r="B13" s="21" t="s">
        <v>43</v>
      </c>
      <c r="C13" s="27" t="s">
        <v>23</v>
      </c>
      <c r="F13" s="21" t="s">
        <v>39</v>
      </c>
      <c r="G13" s="27" t="s">
        <v>42</v>
      </c>
    </row>
    <row r="14" spans="2:9" ht="13.5" thickBot="1">
      <c r="B14" s="23" t="s">
        <v>40</v>
      </c>
      <c r="C14" s="29" t="s">
        <v>0</v>
      </c>
      <c r="F14" s="21" t="s">
        <v>43</v>
      </c>
      <c r="G14" s="27" t="s">
        <v>23</v>
      </c>
    </row>
    <row r="15" spans="2:9" ht="13.5" thickBot="1">
      <c r="F15" s="23" t="s">
        <v>40</v>
      </c>
      <c r="G15" s="29" t="s">
        <v>0</v>
      </c>
    </row>
    <row r="16" spans="2:9" ht="13.5" thickBot="1">
      <c r="B16" s="33"/>
      <c r="C16" s="12"/>
      <c r="D16" s="13"/>
      <c r="F16" s="126" t="str">
        <f ca="1">_xll.HLV5r3.Financial.Cache.CreateCurve(F17:G29, $B$23:$D$26)</f>
        <v>Market.QR_LIVE.2019-08-31.BondCurve.AUD-Govt:WATC:Fixed:7-15/10/2019</v>
      </c>
      <c r="G16" s="127"/>
    </row>
    <row r="17" spans="2:7" ht="13.5" thickBot="1">
      <c r="B17" s="33" t="s">
        <v>30</v>
      </c>
      <c r="C17" s="14" t="s">
        <v>23</v>
      </c>
      <c r="D17" s="15" t="s">
        <v>31</v>
      </c>
      <c r="F17" s="19" t="s">
        <v>32</v>
      </c>
      <c r="G17" s="24" t="s">
        <v>86</v>
      </c>
    </row>
    <row r="18" spans="2:7">
      <c r="B18" s="68" t="s">
        <v>88</v>
      </c>
      <c r="C18" s="30">
        <v>0.05</v>
      </c>
      <c r="D18" s="16">
        <v>0</v>
      </c>
      <c r="F18" s="20" t="s">
        <v>33</v>
      </c>
      <c r="G18" s="25">
        <f ca="1">G21</f>
        <v>43708</v>
      </c>
    </row>
    <row r="19" spans="2:7">
      <c r="B19" s="69" t="s">
        <v>91</v>
      </c>
      <c r="C19" s="31">
        <v>0.05</v>
      </c>
      <c r="D19" s="17">
        <v>0</v>
      </c>
      <c r="F19" s="21" t="s">
        <v>27</v>
      </c>
      <c r="G19" s="26">
        <f ca="1">G18</f>
        <v>43708</v>
      </c>
    </row>
    <row r="20" spans="2:7">
      <c r="B20" s="69" t="s">
        <v>89</v>
      </c>
      <c r="C20" s="31">
        <v>0.05</v>
      </c>
      <c r="D20" s="17">
        <v>0</v>
      </c>
      <c r="F20" s="22" t="s">
        <v>26</v>
      </c>
      <c r="G20" s="27" t="str">
        <f>$G$6</f>
        <v>QR_LIVE</v>
      </c>
    </row>
    <row r="21" spans="2:7" ht="13.5" thickBot="1">
      <c r="B21" s="70" t="s">
        <v>90</v>
      </c>
      <c r="C21" s="32">
        <v>0.05</v>
      </c>
      <c r="D21" s="18">
        <v>0</v>
      </c>
      <c r="F21" s="22" t="s">
        <v>100</v>
      </c>
      <c r="G21" s="77">
        <f ca="1">$G$7-1</f>
        <v>43708</v>
      </c>
    </row>
    <row r="22" spans="2:7" ht="13.5" thickBot="1">
      <c r="F22" s="22" t="s">
        <v>24</v>
      </c>
      <c r="G22" s="27" t="s">
        <v>49</v>
      </c>
    </row>
    <row r="23" spans="2:7">
      <c r="B23" s="68" t="s">
        <v>88</v>
      </c>
      <c r="C23" s="30">
        <v>4.4999999999999998E-2</v>
      </c>
      <c r="D23" s="16">
        <v>0</v>
      </c>
      <c r="F23" s="22" t="s">
        <v>84</v>
      </c>
      <c r="G23" s="27" t="s">
        <v>85</v>
      </c>
    </row>
    <row r="24" spans="2:7">
      <c r="B24" s="69" t="s">
        <v>91</v>
      </c>
      <c r="C24" s="31">
        <v>4.4999999999999998E-2</v>
      </c>
      <c r="D24" s="17">
        <v>0</v>
      </c>
      <c r="F24" s="21" t="s">
        <v>34</v>
      </c>
      <c r="G24" s="28" t="s">
        <v>2</v>
      </c>
    </row>
    <row r="25" spans="2:7">
      <c r="B25" s="69" t="s">
        <v>89</v>
      </c>
      <c r="C25" s="31">
        <v>4.4999999999999998E-2</v>
      </c>
      <c r="D25" s="17">
        <v>0</v>
      </c>
      <c r="F25" s="21" t="s">
        <v>35</v>
      </c>
      <c r="G25" s="27" t="s">
        <v>36</v>
      </c>
    </row>
    <row r="26" spans="2:7" ht="13.5" thickBot="1">
      <c r="B26" s="70" t="s">
        <v>90</v>
      </c>
      <c r="C26" s="32">
        <v>4.4999999999999998E-2</v>
      </c>
      <c r="D26" s="18">
        <v>0</v>
      </c>
      <c r="F26" s="21" t="s">
        <v>38</v>
      </c>
      <c r="G26" s="27">
        <v>0</v>
      </c>
    </row>
    <row r="27" spans="2:7" ht="13.5" thickBot="1">
      <c r="F27" s="21" t="s">
        <v>39</v>
      </c>
      <c r="G27" s="27" t="s">
        <v>42</v>
      </c>
    </row>
    <row r="28" spans="2:7">
      <c r="B28" s="68" t="s">
        <v>88</v>
      </c>
      <c r="C28" s="30">
        <v>4.7500000000000001E-2</v>
      </c>
      <c r="D28" s="16">
        <v>0</v>
      </c>
      <c r="F28" s="21" t="s">
        <v>43</v>
      </c>
      <c r="G28" s="27" t="s">
        <v>23</v>
      </c>
    </row>
    <row r="29" spans="2:7" ht="13.5" thickBot="1">
      <c r="B29" s="69" t="s">
        <v>91</v>
      </c>
      <c r="C29" s="31">
        <v>4.7500000000000001E-2</v>
      </c>
      <c r="D29" s="17">
        <v>0</v>
      </c>
      <c r="F29" s="23" t="s">
        <v>40</v>
      </c>
      <c r="G29" s="29" t="s">
        <v>0</v>
      </c>
    </row>
    <row r="30" spans="2:7" ht="13.5" thickBot="1">
      <c r="B30" s="69" t="s">
        <v>89</v>
      </c>
      <c r="C30" s="31">
        <v>4.7500000000000001E-2</v>
      </c>
      <c r="D30" s="17">
        <v>0</v>
      </c>
      <c r="F30" s="126" t="str">
        <f ca="1">_xll.HLV5r3.Financial.Cache.CreateCurve(F31:G43, $B$28:$D$31)</f>
        <v>Market.QR_LIVE.2019-08-30.BondCurve.AUD-Govt:WATC:Fixed:7-15/10/2019</v>
      </c>
      <c r="G30" s="127"/>
    </row>
    <row r="31" spans="2:7" ht="13.5" thickBot="1">
      <c r="B31" s="70" t="s">
        <v>90</v>
      </c>
      <c r="C31" s="32">
        <v>4.7500000000000001E-2</v>
      </c>
      <c r="D31" s="18">
        <v>0</v>
      </c>
      <c r="F31" s="19" t="s">
        <v>32</v>
      </c>
      <c r="G31" s="24" t="s">
        <v>86</v>
      </c>
    </row>
    <row r="32" spans="2:7" ht="13.5" thickBot="1">
      <c r="F32" s="20" t="s">
        <v>33</v>
      </c>
      <c r="G32" s="25">
        <f ca="1">G35</f>
        <v>43707</v>
      </c>
    </row>
    <row r="33" spans="2:7">
      <c r="B33" s="68" t="s">
        <v>88</v>
      </c>
      <c r="C33" s="30">
        <v>0.05</v>
      </c>
      <c r="D33" s="16">
        <v>0</v>
      </c>
      <c r="F33" s="21" t="s">
        <v>27</v>
      </c>
      <c r="G33" s="26">
        <f ca="1">G32</f>
        <v>43707</v>
      </c>
    </row>
    <row r="34" spans="2:7">
      <c r="B34" s="69" t="s">
        <v>91</v>
      </c>
      <c r="C34" s="31">
        <v>0.05</v>
      </c>
      <c r="D34" s="17">
        <v>0</v>
      </c>
      <c r="F34" s="22" t="s">
        <v>26</v>
      </c>
      <c r="G34" s="27" t="str">
        <f>$G$6</f>
        <v>QR_LIVE</v>
      </c>
    </row>
    <row r="35" spans="2:7">
      <c r="B35" s="69" t="s">
        <v>89</v>
      </c>
      <c r="C35" s="31">
        <v>0.05</v>
      </c>
      <c r="D35" s="17">
        <v>0</v>
      </c>
      <c r="F35" s="22" t="s">
        <v>100</v>
      </c>
      <c r="G35" s="77">
        <f ca="1">$G$7-2</f>
        <v>43707</v>
      </c>
    </row>
    <row r="36" spans="2:7" ht="13.5" thickBot="1">
      <c r="B36" s="70" t="s">
        <v>90</v>
      </c>
      <c r="C36" s="32">
        <v>0.05</v>
      </c>
      <c r="D36" s="18">
        <v>0</v>
      </c>
      <c r="F36" s="22" t="s">
        <v>24</v>
      </c>
      <c r="G36" s="27" t="s">
        <v>49</v>
      </c>
    </row>
    <row r="37" spans="2:7" ht="13.5" thickBot="1">
      <c r="F37" s="22" t="s">
        <v>84</v>
      </c>
      <c r="G37" s="27" t="s">
        <v>85</v>
      </c>
    </row>
    <row r="38" spans="2:7">
      <c r="B38" s="68" t="s">
        <v>88</v>
      </c>
      <c r="C38" s="30">
        <v>5.0999999999999997E-2</v>
      </c>
      <c r="D38" s="16">
        <v>0</v>
      </c>
      <c r="F38" s="21" t="s">
        <v>34</v>
      </c>
      <c r="G38" s="28" t="s">
        <v>2</v>
      </c>
    </row>
    <row r="39" spans="2:7">
      <c r="B39" s="69" t="s">
        <v>91</v>
      </c>
      <c r="C39" s="31">
        <v>5.0999999999999997E-2</v>
      </c>
      <c r="D39" s="17">
        <v>0</v>
      </c>
      <c r="F39" s="21" t="s">
        <v>35</v>
      </c>
      <c r="G39" s="27" t="s">
        <v>36</v>
      </c>
    </row>
    <row r="40" spans="2:7">
      <c r="B40" s="69" t="s">
        <v>89</v>
      </c>
      <c r="C40" s="31">
        <v>5.0999999999999997E-2</v>
      </c>
      <c r="D40" s="17">
        <v>0</v>
      </c>
      <c r="F40" s="21" t="s">
        <v>38</v>
      </c>
      <c r="G40" s="27">
        <v>0</v>
      </c>
    </row>
    <row r="41" spans="2:7" ht="13.5" thickBot="1">
      <c r="B41" s="70" t="s">
        <v>90</v>
      </c>
      <c r="C41" s="32">
        <v>5.0999999999999997E-2</v>
      </c>
      <c r="D41" s="18">
        <v>0</v>
      </c>
      <c r="F41" s="21" t="s">
        <v>39</v>
      </c>
      <c r="G41" s="27" t="s">
        <v>42</v>
      </c>
    </row>
    <row r="42" spans="2:7">
      <c r="F42" s="21" t="s">
        <v>43</v>
      </c>
      <c r="G42" s="27" t="s">
        <v>23</v>
      </c>
    </row>
    <row r="43" spans="2:7" ht="13.5" thickBot="1">
      <c r="F43" s="23" t="s">
        <v>40</v>
      </c>
      <c r="G43" s="29" t="s">
        <v>0</v>
      </c>
    </row>
    <row r="44" spans="2:7" ht="13.5" thickBot="1">
      <c r="B44" s="71" t="s">
        <v>50</v>
      </c>
      <c r="F44" s="126" t="str">
        <f ca="1">_xll.HLV5r3.Financial.Cache.CreateCurve(F45:G57, $B$33:$D$36)</f>
        <v>Market.QR_LIVE.2019-08-29.BondCurve.AUD-Govt:WATC:Fixed:7-15/10/2019</v>
      </c>
      <c r="G44" s="127"/>
    </row>
    <row r="45" spans="2:7" ht="13.5" thickBot="1">
      <c r="B45" s="68" t="str">
        <f t="array" aca="1" ref="B45:C49" ca="1">_xll.HLV5r3.Financial.Cache.GetQuotedAssetSet(B2)</f>
        <v>AUD-BondForward-AGB-0D</v>
      </c>
      <c r="C45" s="30">
        <f ca="1"/>
        <v>0.05</v>
      </c>
      <c r="F45" s="19" t="s">
        <v>32</v>
      </c>
      <c r="G45" s="24" t="s">
        <v>86</v>
      </c>
    </row>
    <row r="46" spans="2:7">
      <c r="B46" s="69" t="str">
        <f ca="1"/>
        <v>AUD-BondSpot-AGB</v>
      </c>
      <c r="C46" s="31">
        <f ca="1"/>
        <v>0.05</v>
      </c>
      <c r="F46" s="20" t="s">
        <v>33</v>
      </c>
      <c r="G46" s="25">
        <f ca="1">G49</f>
        <v>43706</v>
      </c>
    </row>
    <row r="47" spans="2:7">
      <c r="B47" s="69" t="str">
        <f ca="1"/>
        <v>AUD-BondForward-AGB-1M</v>
      </c>
      <c r="C47" s="31">
        <f ca="1"/>
        <v>0.05</v>
      </c>
      <c r="F47" s="21" t="s">
        <v>27</v>
      </c>
      <c r="G47" s="26">
        <f ca="1">G46</f>
        <v>43706</v>
      </c>
    </row>
    <row r="48" spans="2:7">
      <c r="B48" s="69" t="str">
        <f ca="1"/>
        <v>AUD-BondForward-AGB-2M</v>
      </c>
      <c r="C48" s="31">
        <f ca="1"/>
        <v>0.05</v>
      </c>
      <c r="F48" s="22" t="s">
        <v>26</v>
      </c>
      <c r="G48" s="27" t="str">
        <f>$G$6</f>
        <v>QR_LIVE</v>
      </c>
    </row>
    <row r="49" spans="2:7" ht="13.5" thickBot="1">
      <c r="B49" s="70" t="e">
        <f ca="1"/>
        <v>#N/A</v>
      </c>
      <c r="C49" s="32" t="e">
        <f ca="1"/>
        <v>#N/A</v>
      </c>
      <c r="F49" s="22" t="s">
        <v>100</v>
      </c>
      <c r="G49" s="77">
        <f ca="1">$G$7-3</f>
        <v>43706</v>
      </c>
    </row>
    <row r="50" spans="2:7" ht="13.5" thickBot="1">
      <c r="F50" s="22" t="s">
        <v>24</v>
      </c>
      <c r="G50" s="27" t="s">
        <v>49</v>
      </c>
    </row>
    <row r="51" spans="2:7" ht="13.5" thickBot="1">
      <c r="B51" s="72" t="s">
        <v>51</v>
      </c>
      <c r="F51" s="22" t="s">
        <v>84</v>
      </c>
      <c r="G51" s="27" t="s">
        <v>85</v>
      </c>
    </row>
    <row r="52" spans="2:7">
      <c r="B52" s="73">
        <f t="array" aca="1" ref="B52:C56" ca="1">_xll.HLV5r3.Financial.Cache.GetTermCurve(B2)</f>
        <v>43710</v>
      </c>
      <c r="C52" s="30">
        <f ca="1"/>
        <v>0.05</v>
      </c>
      <c r="F52" s="21" t="s">
        <v>34</v>
      </c>
      <c r="G52" s="28" t="s">
        <v>2</v>
      </c>
    </row>
    <row r="53" spans="2:7">
      <c r="B53" s="74">
        <f ca="1"/>
        <v>43712</v>
      </c>
      <c r="C53" s="31">
        <f ca="1"/>
        <v>0.05</v>
      </c>
      <c r="F53" s="21" t="s">
        <v>35</v>
      </c>
      <c r="G53" s="27" t="s">
        <v>36</v>
      </c>
    </row>
    <row r="54" spans="2:7">
      <c r="B54" s="74">
        <f ca="1"/>
        <v>43742</v>
      </c>
      <c r="C54" s="31">
        <f ca="1"/>
        <v>0.05</v>
      </c>
      <c r="F54" s="21" t="s">
        <v>38</v>
      </c>
      <c r="G54" s="27">
        <v>0</v>
      </c>
    </row>
    <row r="55" spans="2:7">
      <c r="B55" s="74">
        <f ca="1"/>
        <v>43773</v>
      </c>
      <c r="C55" s="31">
        <f ca="1"/>
        <v>0.05</v>
      </c>
      <c r="F55" s="21" t="s">
        <v>39</v>
      </c>
      <c r="G55" s="27" t="s">
        <v>42</v>
      </c>
    </row>
    <row r="56" spans="2:7" ht="13.5" thickBot="1">
      <c r="B56" s="75" t="e">
        <f ca="1"/>
        <v>#N/A</v>
      </c>
      <c r="C56" s="32" t="e">
        <f ca="1"/>
        <v>#N/A</v>
      </c>
      <c r="F56" s="21" t="s">
        <v>43</v>
      </c>
      <c r="G56" s="27" t="s">
        <v>23</v>
      </c>
    </row>
    <row r="57" spans="2:7" ht="13.5" thickBot="1">
      <c r="F57" s="23" t="s">
        <v>40</v>
      </c>
      <c r="G57" s="29" t="s">
        <v>0</v>
      </c>
    </row>
    <row r="58" spans="2:7" ht="13.5" thickBot="1">
      <c r="B58" s="72" t="s">
        <v>52</v>
      </c>
      <c r="F58" s="126" t="str">
        <f ca="1">_xll.HLV5r3.Financial.Cache.CreateCurve(F59:G71, $B$38:$D$41)</f>
        <v>Market.QR_LIVE.2019-08-28.BondCurve.AUD-Govt:WATC:Fixed:7-15/10/2019</v>
      </c>
      <c r="G58" s="127"/>
    </row>
    <row r="59" spans="2:7" ht="13.5" thickBot="1">
      <c r="B59" s="73">
        <f ca="1">B52</f>
        <v>43710</v>
      </c>
      <c r="C59" s="30">
        <f t="array" aca="1" ref="C59:C63" ca="1">_xll.HLV5r3.Financial.Cache.GetValues(B2,B52:B56)</f>
        <v>1</v>
      </c>
      <c r="F59" s="19" t="s">
        <v>32</v>
      </c>
      <c r="G59" s="24" t="s">
        <v>86</v>
      </c>
    </row>
    <row r="60" spans="2:7">
      <c r="B60" s="74">
        <f t="shared" ref="B60:B63" ca="1" si="0">B53</f>
        <v>43712</v>
      </c>
      <c r="C60" s="31">
        <f ca="1"/>
        <v>5.000000000000001E-2</v>
      </c>
      <c r="F60" s="20" t="s">
        <v>33</v>
      </c>
      <c r="G60" s="25">
        <f ca="1">G63</f>
        <v>43705</v>
      </c>
    </row>
    <row r="61" spans="2:7">
      <c r="B61" s="74">
        <f t="shared" ca="1" si="0"/>
        <v>43742</v>
      </c>
      <c r="C61" s="31">
        <f ca="1"/>
        <v>5.000000000000001E-2</v>
      </c>
      <c r="F61" s="21" t="s">
        <v>27</v>
      </c>
      <c r="G61" s="26">
        <f ca="1">G60</f>
        <v>43705</v>
      </c>
    </row>
    <row r="62" spans="2:7">
      <c r="B62" s="74">
        <f t="shared" ca="1" si="0"/>
        <v>43773</v>
      </c>
      <c r="C62" s="31">
        <f ca="1"/>
        <v>4.9999999999999982E-2</v>
      </c>
      <c r="F62" s="22" t="s">
        <v>26</v>
      </c>
      <c r="G62" s="27" t="str">
        <f>$G$6</f>
        <v>QR_LIVE</v>
      </c>
    </row>
    <row r="63" spans="2:7" ht="13.5" thickBot="1">
      <c r="B63" s="75" t="e">
        <f t="shared" ca="1" si="0"/>
        <v>#N/A</v>
      </c>
      <c r="C63" s="32" t="e">
        <f ca="1"/>
        <v>#N/A</v>
      </c>
      <c r="F63" s="22" t="s">
        <v>100</v>
      </c>
      <c r="G63" s="77">
        <f ca="1">$G$7-4</f>
        <v>43705</v>
      </c>
    </row>
    <row r="64" spans="2:7">
      <c r="F64" s="22" t="s">
        <v>24</v>
      </c>
      <c r="G64" s="27" t="s">
        <v>49</v>
      </c>
    </row>
    <row r="65" spans="6:7">
      <c r="F65" s="22" t="s">
        <v>84</v>
      </c>
      <c r="G65" s="27" t="s">
        <v>85</v>
      </c>
    </row>
    <row r="66" spans="6:7">
      <c r="F66" s="21" t="s">
        <v>34</v>
      </c>
      <c r="G66" s="28" t="s">
        <v>2</v>
      </c>
    </row>
    <row r="67" spans="6:7">
      <c r="F67" s="21" t="s">
        <v>35</v>
      </c>
      <c r="G67" s="27" t="s">
        <v>36</v>
      </c>
    </row>
    <row r="68" spans="6:7">
      <c r="F68" s="21" t="s">
        <v>38</v>
      </c>
      <c r="G68" s="27">
        <v>0</v>
      </c>
    </row>
    <row r="69" spans="6:7">
      <c r="F69" s="21" t="s">
        <v>39</v>
      </c>
      <c r="G69" s="27" t="s">
        <v>42</v>
      </c>
    </row>
    <row r="70" spans="6:7">
      <c r="F70" s="21" t="s">
        <v>43</v>
      </c>
      <c r="G70" s="27" t="s">
        <v>23</v>
      </c>
    </row>
    <row r="71" spans="6:7" ht="13.5" thickBot="1">
      <c r="F71" s="23" t="s">
        <v>40</v>
      </c>
      <c r="G71" s="29" t="s">
        <v>0</v>
      </c>
    </row>
  </sheetData>
  <mergeCells count="6">
    <mergeCell ref="B2:C2"/>
    <mergeCell ref="F58:G58"/>
    <mergeCell ref="F44:G44"/>
    <mergeCell ref="F30:G30"/>
    <mergeCell ref="F16:G16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9"/>
  <sheetViews>
    <sheetView workbookViewId="0">
      <selection activeCell="B3" sqref="B3"/>
    </sheetView>
  </sheetViews>
  <sheetFormatPr defaultRowHeight="12.75"/>
  <cols>
    <col min="1" max="1" width="1.42578125" customWidth="1"/>
    <col min="2" max="2" width="28.7109375" style="61" bestFit="1" customWidth="1"/>
    <col min="3" max="3" width="29.140625" customWidth="1"/>
    <col min="10" max="10" width="9.5703125" customWidth="1"/>
  </cols>
  <sheetData>
    <row r="2" spans="2:3" ht="13.5" thickBot="1">
      <c r="B2" s="124" t="str">
        <f ca="1">_xll.HLV5r3.Financial.Cache.CreateCurve(B3:C15, B19:D22)</f>
        <v>Market.QR_LIVE.RateCurve.AUD-WATC-SECURED</v>
      </c>
      <c r="C2" s="125"/>
    </row>
    <row r="3" spans="2:3" ht="13.5" thickBot="1">
      <c r="B3" s="19" t="s">
        <v>32</v>
      </c>
      <c r="C3" s="24" t="s">
        <v>72</v>
      </c>
    </row>
    <row r="4" spans="2:3">
      <c r="B4" s="20" t="s">
        <v>33</v>
      </c>
      <c r="C4" s="25">
        <f ca="1">C5</f>
        <v>43710</v>
      </c>
    </row>
    <row r="5" spans="2:3">
      <c r="B5" s="21" t="s">
        <v>27</v>
      </c>
      <c r="C5" s="26">
        <f ca="1">TODAY()</f>
        <v>43710</v>
      </c>
    </row>
    <row r="6" spans="2:3">
      <c r="B6" s="22" t="s">
        <v>26</v>
      </c>
      <c r="C6" s="27" t="s">
        <v>20</v>
      </c>
    </row>
    <row r="7" spans="2:3">
      <c r="B7" s="22" t="s">
        <v>24</v>
      </c>
      <c r="C7" s="27" t="s">
        <v>87</v>
      </c>
    </row>
    <row r="8" spans="2:3">
      <c r="B8" s="22" t="s">
        <v>84</v>
      </c>
      <c r="C8" s="27" t="s">
        <v>85</v>
      </c>
    </row>
    <row r="9" spans="2:3">
      <c r="B9" s="21" t="s">
        <v>34</v>
      </c>
      <c r="C9" s="28" t="s">
        <v>2</v>
      </c>
    </row>
    <row r="10" spans="2:3">
      <c r="B10" s="21" t="s">
        <v>35</v>
      </c>
      <c r="C10" s="27" t="s">
        <v>82</v>
      </c>
    </row>
    <row r="11" spans="2:3">
      <c r="B11" s="21" t="s">
        <v>37</v>
      </c>
      <c r="C11" s="27" t="s">
        <v>83</v>
      </c>
    </row>
    <row r="12" spans="2:3">
      <c r="B12" s="21" t="s">
        <v>38</v>
      </c>
      <c r="C12" s="27">
        <v>0</v>
      </c>
    </row>
    <row r="13" spans="2:3">
      <c r="B13" s="21" t="s">
        <v>39</v>
      </c>
      <c r="C13" s="27" t="s">
        <v>42</v>
      </c>
    </row>
    <row r="14" spans="2:3">
      <c r="B14" s="21" t="s">
        <v>43</v>
      </c>
      <c r="C14" s="27" t="s">
        <v>23</v>
      </c>
    </row>
    <row r="15" spans="2:3" ht="13.5" thickBot="1">
      <c r="B15" s="23" t="s">
        <v>40</v>
      </c>
      <c r="C15" s="29" t="s">
        <v>0</v>
      </c>
    </row>
    <row r="17" spans="2:4">
      <c r="B17" s="33"/>
      <c r="C17" s="12"/>
      <c r="D17" s="13"/>
    </row>
    <row r="18" spans="2:4" ht="13.5" thickBot="1">
      <c r="B18" s="33" t="s">
        <v>30</v>
      </c>
      <c r="C18" s="14" t="s">
        <v>23</v>
      </c>
      <c r="D18" s="15" t="s">
        <v>31</v>
      </c>
    </row>
    <row r="19" spans="2:4">
      <c r="B19" s="68" t="s">
        <v>96</v>
      </c>
      <c r="C19" s="30">
        <v>0.05</v>
      </c>
      <c r="D19" s="16">
        <v>0</v>
      </c>
    </row>
    <row r="20" spans="2:4">
      <c r="B20" s="69" t="s">
        <v>76</v>
      </c>
      <c r="C20" s="31">
        <v>0.05</v>
      </c>
      <c r="D20" s="17">
        <v>0</v>
      </c>
    </row>
    <row r="21" spans="2:4">
      <c r="B21" s="69" t="s">
        <v>77</v>
      </c>
      <c r="C21" s="31">
        <v>0.05</v>
      </c>
      <c r="D21" s="17">
        <v>0</v>
      </c>
    </row>
    <row r="22" spans="2:4" ht="13.5" thickBot="1">
      <c r="B22" s="70" t="s">
        <v>78</v>
      </c>
      <c r="C22" s="32">
        <v>0.05</v>
      </c>
      <c r="D22" s="18">
        <v>0</v>
      </c>
    </row>
    <row r="23" spans="2:4" ht="13.5" thickBot="1"/>
    <row r="24" spans="2:4" ht="13.5" thickBot="1">
      <c r="B24" s="71" t="s">
        <v>50</v>
      </c>
    </row>
    <row r="25" spans="2:4">
      <c r="B25" s="68" t="str">
        <f t="array" aca="1" ref="B25:C29" ca="1">_xll.HLV5r3.Financial.Cache.GetQuotedAssetSet(B2)</f>
        <v>AUD-Repo-1D</v>
      </c>
      <c r="C25" s="30">
        <f ca="1"/>
        <v>0.05</v>
      </c>
    </row>
    <row r="26" spans="2:4">
      <c r="B26" s="69" t="str">
        <f ca="1"/>
        <v>AUD-Repo-1M</v>
      </c>
      <c r="C26" s="31">
        <f ca="1"/>
        <v>0.05</v>
      </c>
    </row>
    <row r="27" spans="2:4">
      <c r="B27" s="69" t="str">
        <f ca="1"/>
        <v>AUD-Repo-2M</v>
      </c>
      <c r="C27" s="31">
        <f ca="1"/>
        <v>0.05</v>
      </c>
    </row>
    <row r="28" spans="2:4">
      <c r="B28" s="69" t="str">
        <f ca="1"/>
        <v>AUD-Repo-3M</v>
      </c>
      <c r="C28" s="31">
        <f ca="1"/>
        <v>0.05</v>
      </c>
    </row>
    <row r="29" spans="2:4" ht="13.5" thickBot="1">
      <c r="B29" s="70" t="e">
        <f ca="1"/>
        <v>#N/A</v>
      </c>
      <c r="C29" s="32" t="e">
        <f ca="1"/>
        <v>#N/A</v>
      </c>
    </row>
    <row r="30" spans="2:4" ht="13.5" thickBot="1"/>
    <row r="31" spans="2:4" ht="13.5" thickBot="1">
      <c r="B31" s="72" t="s">
        <v>51</v>
      </c>
    </row>
    <row r="32" spans="2:4">
      <c r="B32" s="73">
        <f t="array" aca="1" ref="B32:C36" ca="1">_xll.HLV5r3.Financial.Cache.GetTermCurve(B2)</f>
        <v>43710</v>
      </c>
      <c r="C32" s="30">
        <f ca="1"/>
        <v>1</v>
      </c>
    </row>
    <row r="33" spans="2:3">
      <c r="B33" s="74">
        <f ca="1"/>
        <v>43711</v>
      </c>
      <c r="C33" s="31">
        <f ca="1"/>
        <v>0.99986303246130703</v>
      </c>
    </row>
    <row r="34" spans="2:3">
      <c r="B34" s="74">
        <f ca="1"/>
        <v>43741</v>
      </c>
      <c r="C34" s="31">
        <f ca="1"/>
        <v>0.99577082359720903</v>
      </c>
    </row>
    <row r="35" spans="2:3">
      <c r="B35" s="74">
        <f ca="1"/>
        <v>43773</v>
      </c>
      <c r="C35" s="31">
        <f ca="1"/>
        <v>0.99144256139195097</v>
      </c>
    </row>
    <row r="36" spans="2:3" ht="13.5" thickBot="1">
      <c r="B36" s="75">
        <f ca="1"/>
        <v>43802</v>
      </c>
      <c r="C36" s="32">
        <f ca="1"/>
        <v>0.98755244716108004</v>
      </c>
    </row>
    <row r="37" spans="2:3" ht="13.5" thickBot="1"/>
    <row r="38" spans="2:3" ht="13.5" thickBot="1">
      <c r="B38" s="72" t="s">
        <v>52</v>
      </c>
    </row>
    <row r="39" spans="2:3">
      <c r="B39" s="73">
        <f ca="1">B32</f>
        <v>43710</v>
      </c>
      <c r="C39" s="30">
        <f t="array" aca="1" ref="C39:C43" ca="1">_xll.HLV5r3.Financial.Cache.GetValues(B2,B32:B36)</f>
        <v>1</v>
      </c>
    </row>
    <row r="40" spans="2:3">
      <c r="B40" s="74">
        <f t="shared" ref="B40:B43" ca="1" si="0">B33</f>
        <v>43711</v>
      </c>
      <c r="C40" s="31">
        <f ca="1"/>
        <v>0.99986303246130703</v>
      </c>
    </row>
    <row r="41" spans="2:3">
      <c r="B41" s="74">
        <f t="shared" ca="1" si="0"/>
        <v>43741</v>
      </c>
      <c r="C41" s="31">
        <f ca="1"/>
        <v>0.99577082359720903</v>
      </c>
    </row>
    <row r="42" spans="2:3">
      <c r="B42" s="74">
        <f t="shared" ca="1" si="0"/>
        <v>43773</v>
      </c>
      <c r="C42" s="31">
        <f ca="1"/>
        <v>0.99144256139195097</v>
      </c>
    </row>
    <row r="43" spans="2:3" ht="13.5" thickBot="1">
      <c r="B43" s="75">
        <f t="shared" ca="1" si="0"/>
        <v>43802</v>
      </c>
      <c r="C43" s="32">
        <f ca="1"/>
        <v>0.98755244716108015</v>
      </c>
    </row>
    <row r="45" spans="2:3">
      <c r="B45" s="76"/>
      <c r="C45" s="37"/>
    </row>
    <row r="46" spans="2:3">
      <c r="B46" s="76"/>
      <c r="C46" s="37"/>
    </row>
    <row r="47" spans="2:3">
      <c r="B47" s="76"/>
      <c r="C47" s="37"/>
    </row>
    <row r="48" spans="2:3">
      <c r="B48" s="76"/>
      <c r="C48" s="37"/>
    </row>
    <row r="49" spans="2:3">
      <c r="B49" s="76"/>
      <c r="C49" s="37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65"/>
  <sheetViews>
    <sheetView workbookViewId="0">
      <selection activeCell="F50" sqref="F50:G50"/>
    </sheetView>
  </sheetViews>
  <sheetFormatPr defaultRowHeight="12.75"/>
  <cols>
    <col min="1" max="1" width="2" customWidth="1"/>
    <col min="2" max="2" width="28.7109375" style="61" bestFit="1" customWidth="1"/>
    <col min="3" max="3" width="46.140625" style="61" customWidth="1"/>
    <col min="5" max="5" width="2.28515625" customWidth="1"/>
    <col min="6" max="6" width="22" bestFit="1" customWidth="1"/>
    <col min="7" max="7" width="46.140625" customWidth="1"/>
    <col min="11" max="11" width="9.5703125" customWidth="1"/>
  </cols>
  <sheetData>
    <row r="1" spans="2:7">
      <c r="G1" s="4" t="s">
        <v>99</v>
      </c>
    </row>
    <row r="2" spans="2:7" ht="13.5" thickBot="1">
      <c r="B2" s="124" t="str">
        <f ca="1">_xll.HLV5r3.Financial.Cache.CreateCurve(B3:C17, $B$21:$D$24)</f>
        <v>Market.QR_LIVE.2014-03-21.RateCurve.AUD-GC-SECURED</v>
      </c>
      <c r="C2" s="125"/>
      <c r="F2" s="124" t="str">
        <f ca="1">_xll.HLV5r3.Financial.Cache.CreateCurve(F3:G17, $B$21:$D$24)</f>
        <v>Market.QR_LIVE.2014-03-20.RateCurve.AUD-GC-SECURED</v>
      </c>
      <c r="G2" s="125"/>
    </row>
    <row r="3" spans="2:7" ht="13.5" thickBot="1">
      <c r="B3" s="19" t="s">
        <v>32</v>
      </c>
      <c r="C3" s="24" t="s">
        <v>94</v>
      </c>
      <c r="F3" s="19" t="s">
        <v>32</v>
      </c>
      <c r="G3" s="24" t="s">
        <v>94</v>
      </c>
    </row>
    <row r="4" spans="2:7">
      <c r="B4" s="20" t="s">
        <v>33</v>
      </c>
      <c r="C4" s="25">
        <f ca="1">C5</f>
        <v>43710</v>
      </c>
      <c r="F4" s="20" t="s">
        <v>33</v>
      </c>
      <c r="G4" s="25">
        <f ca="1">G5</f>
        <v>43710</v>
      </c>
    </row>
    <row r="5" spans="2:7">
      <c r="B5" s="21" t="s">
        <v>27</v>
      </c>
      <c r="C5" s="26">
        <f ca="1">TODAY()</f>
        <v>43710</v>
      </c>
      <c r="F5" s="21" t="s">
        <v>27</v>
      </c>
      <c r="G5" s="26">
        <f ca="1">TODAY()</f>
        <v>43710</v>
      </c>
    </row>
    <row r="6" spans="2:7">
      <c r="B6" s="22" t="s">
        <v>26</v>
      </c>
      <c r="C6" s="27" t="s">
        <v>20</v>
      </c>
      <c r="F6" s="22" t="s">
        <v>26</v>
      </c>
      <c r="G6" s="27" t="str">
        <f>$C$6</f>
        <v>QR_LIVE</v>
      </c>
    </row>
    <row r="7" spans="2:7">
      <c r="B7" s="22" t="s">
        <v>100</v>
      </c>
      <c r="C7" s="77">
        <v>41719</v>
      </c>
      <c r="F7" s="22" t="s">
        <v>100</v>
      </c>
      <c r="G7" s="77">
        <f>$C$7-1</f>
        <v>41718</v>
      </c>
    </row>
    <row r="8" spans="2:7">
      <c r="B8" s="22" t="s">
        <v>24</v>
      </c>
      <c r="C8" s="27" t="s">
        <v>87</v>
      </c>
      <c r="F8" s="22" t="s">
        <v>24</v>
      </c>
      <c r="G8" s="27" t="s">
        <v>87</v>
      </c>
    </row>
    <row r="9" spans="2:7">
      <c r="B9" s="22" t="s">
        <v>92</v>
      </c>
      <c r="C9" s="62" t="s">
        <v>93</v>
      </c>
      <c r="F9" s="22" t="s">
        <v>92</v>
      </c>
      <c r="G9" s="62" t="s">
        <v>93</v>
      </c>
    </row>
    <row r="10" spans="2:7">
      <c r="B10" s="22" t="s">
        <v>84</v>
      </c>
      <c r="C10" s="62" t="s">
        <v>85</v>
      </c>
      <c r="F10" s="22" t="s">
        <v>84</v>
      </c>
      <c r="G10" s="62" t="s">
        <v>85</v>
      </c>
    </row>
    <row r="11" spans="2:7">
      <c r="B11" s="21" t="s">
        <v>34</v>
      </c>
      <c r="C11" s="28" t="s">
        <v>97</v>
      </c>
      <c r="F11" s="21" t="s">
        <v>34</v>
      </c>
      <c r="G11" s="28" t="s">
        <v>97</v>
      </c>
    </row>
    <row r="12" spans="2:7">
      <c r="B12" s="21" t="s">
        <v>35</v>
      </c>
      <c r="C12" s="27" t="s">
        <v>82</v>
      </c>
      <c r="F12" s="21" t="s">
        <v>35</v>
      </c>
      <c r="G12" s="27" t="s">
        <v>82</v>
      </c>
    </row>
    <row r="13" spans="2:7">
      <c r="B13" s="21" t="s">
        <v>37</v>
      </c>
      <c r="C13" s="27" t="s">
        <v>98</v>
      </c>
      <c r="F13" s="21" t="s">
        <v>37</v>
      </c>
      <c r="G13" s="27" t="s">
        <v>98</v>
      </c>
    </row>
    <row r="14" spans="2:7">
      <c r="B14" s="21" t="s">
        <v>38</v>
      </c>
      <c r="C14" s="27">
        <v>0</v>
      </c>
      <c r="F14" s="21" t="s">
        <v>38</v>
      </c>
      <c r="G14" s="27">
        <v>0</v>
      </c>
    </row>
    <row r="15" spans="2:7">
      <c r="B15" s="21" t="s">
        <v>39</v>
      </c>
      <c r="C15" s="27" t="s">
        <v>42</v>
      </c>
      <c r="F15" s="21" t="s">
        <v>39</v>
      </c>
      <c r="G15" s="27" t="s">
        <v>42</v>
      </c>
    </row>
    <row r="16" spans="2:7">
      <c r="B16" s="21" t="s">
        <v>43</v>
      </c>
      <c r="C16" s="27" t="s">
        <v>23</v>
      </c>
      <c r="F16" s="21" t="s">
        <v>43</v>
      </c>
      <c r="G16" s="27" t="s">
        <v>23</v>
      </c>
    </row>
    <row r="17" spans="2:7" ht="13.5" thickBot="1">
      <c r="B17" s="23" t="s">
        <v>40</v>
      </c>
      <c r="C17" s="29" t="s">
        <v>0</v>
      </c>
      <c r="F17" s="23" t="s">
        <v>40</v>
      </c>
      <c r="G17" s="29" t="s">
        <v>0</v>
      </c>
    </row>
    <row r="18" spans="2:7" ht="13.5" thickBot="1">
      <c r="F18" s="126" t="str">
        <f ca="1">_xll.HLV5r3.Financial.Cache.CreateCurve(F19:G33, $B$21:$D$24)</f>
        <v>Market.QR_LIVE.2014-03-19.RateCurve.AUD-GC-SECURED</v>
      </c>
      <c r="G18" s="127"/>
    </row>
    <row r="19" spans="2:7" ht="13.5" thickBot="1">
      <c r="B19" s="33"/>
      <c r="C19" s="33"/>
      <c r="D19" s="13"/>
      <c r="E19" s="12"/>
      <c r="F19" s="19" t="s">
        <v>32</v>
      </c>
      <c r="G19" s="24" t="s">
        <v>94</v>
      </c>
    </row>
    <row r="20" spans="2:7" ht="13.5" thickBot="1">
      <c r="B20" s="33" t="s">
        <v>30</v>
      </c>
      <c r="C20" s="63" t="s">
        <v>23</v>
      </c>
      <c r="D20" s="15" t="s">
        <v>31</v>
      </c>
      <c r="E20" s="78"/>
      <c r="F20" s="20" t="s">
        <v>33</v>
      </c>
      <c r="G20" s="25">
        <f ca="1">G21</f>
        <v>43710</v>
      </c>
    </row>
    <row r="21" spans="2:7">
      <c r="B21" s="68" t="s">
        <v>95</v>
      </c>
      <c r="C21" s="64">
        <v>-2E-3</v>
      </c>
      <c r="D21" s="16">
        <v>0</v>
      </c>
      <c r="E21" s="79"/>
      <c r="F21" s="21" t="s">
        <v>27</v>
      </c>
      <c r="G21" s="26">
        <f ca="1">TODAY()</f>
        <v>43710</v>
      </c>
    </row>
    <row r="22" spans="2:7">
      <c r="B22" s="69" t="s">
        <v>79</v>
      </c>
      <c r="C22" s="65">
        <v>-2E-3</v>
      </c>
      <c r="D22" s="17">
        <v>0</v>
      </c>
      <c r="E22" s="79"/>
      <c r="F22" s="22" t="s">
        <v>26</v>
      </c>
      <c r="G22" s="27" t="str">
        <f>$C$6</f>
        <v>QR_LIVE</v>
      </c>
    </row>
    <row r="23" spans="2:7">
      <c r="B23" s="69" t="s">
        <v>80</v>
      </c>
      <c r="C23" s="65">
        <v>-2E-3</v>
      </c>
      <c r="D23" s="17">
        <v>0</v>
      </c>
      <c r="E23" s="79"/>
      <c r="F23" s="22" t="s">
        <v>100</v>
      </c>
      <c r="G23" s="77">
        <f>$C$7-2</f>
        <v>41717</v>
      </c>
    </row>
    <row r="24" spans="2:7" ht="13.5" thickBot="1">
      <c r="B24" s="70" t="s">
        <v>81</v>
      </c>
      <c r="C24" s="66">
        <v>-2E-3</v>
      </c>
      <c r="D24" s="18">
        <v>0</v>
      </c>
      <c r="E24" s="79"/>
      <c r="F24" s="22" t="s">
        <v>24</v>
      </c>
      <c r="G24" s="27" t="s">
        <v>87</v>
      </c>
    </row>
    <row r="25" spans="2:7" ht="13.5" thickBot="1">
      <c r="F25" s="22" t="s">
        <v>92</v>
      </c>
      <c r="G25" s="62" t="s">
        <v>93</v>
      </c>
    </row>
    <row r="26" spans="2:7" ht="13.5" thickBot="1">
      <c r="B26" s="71" t="s">
        <v>50</v>
      </c>
      <c r="F26" s="22" t="s">
        <v>84</v>
      </c>
      <c r="G26" s="62" t="s">
        <v>85</v>
      </c>
    </row>
    <row r="27" spans="2:7">
      <c r="B27" s="68" t="str">
        <f t="array" aca="1" ref="B27:C31" ca="1">_xll.HLV5r3.Financial.Cache.GetQuotedAssetSet(B2)</f>
        <v>AUD-RepoSpread-1D</v>
      </c>
      <c r="C27" s="64">
        <f ca="1"/>
        <v>4.9999999999879641E-2</v>
      </c>
      <c r="F27" s="21" t="s">
        <v>34</v>
      </c>
      <c r="G27" s="28" t="s">
        <v>97</v>
      </c>
    </row>
    <row r="28" spans="2:7">
      <c r="B28" s="69" t="str">
        <f ca="1"/>
        <v>AUD-RepoSpread-1M</v>
      </c>
      <c r="C28" s="65">
        <f ca="1"/>
        <v>5.0006605708307825E-2</v>
      </c>
      <c r="F28" s="21" t="s">
        <v>35</v>
      </c>
      <c r="G28" s="27" t="s">
        <v>82</v>
      </c>
    </row>
    <row r="29" spans="2:7">
      <c r="B29" s="69" t="str">
        <f ca="1"/>
        <v>AUD-RepoSpread-2M</v>
      </c>
      <c r="C29" s="65">
        <f ca="1"/>
        <v>5.0006738842245456E-2</v>
      </c>
      <c r="F29" s="21" t="s">
        <v>37</v>
      </c>
      <c r="G29" s="27" t="s">
        <v>98</v>
      </c>
    </row>
    <row r="30" spans="2:7">
      <c r="B30" s="69" t="str">
        <f ca="1"/>
        <v>AUD-RepoSpread-3M</v>
      </c>
      <c r="C30" s="65">
        <f ca="1"/>
        <v>5.0006782017395265E-2</v>
      </c>
      <c r="F30" s="21" t="s">
        <v>38</v>
      </c>
      <c r="G30" s="27">
        <v>0</v>
      </c>
    </row>
    <row r="31" spans="2:7" ht="13.5" thickBot="1">
      <c r="B31" s="70" t="e">
        <f ca="1"/>
        <v>#N/A</v>
      </c>
      <c r="C31" s="66" t="e">
        <f ca="1"/>
        <v>#N/A</v>
      </c>
      <c r="F31" s="21" t="s">
        <v>39</v>
      </c>
      <c r="G31" s="27" t="s">
        <v>42</v>
      </c>
    </row>
    <row r="32" spans="2:7" ht="13.5" thickBot="1">
      <c r="F32" s="21" t="s">
        <v>43</v>
      </c>
      <c r="G32" s="27" t="s">
        <v>23</v>
      </c>
    </row>
    <row r="33" spans="2:7" ht="13.5" thickBot="1">
      <c r="B33" s="72" t="s">
        <v>51</v>
      </c>
      <c r="F33" s="23" t="s">
        <v>40</v>
      </c>
      <c r="G33" s="29" t="s">
        <v>0</v>
      </c>
    </row>
    <row r="34" spans="2:7" ht="13.5" thickBot="1">
      <c r="B34" s="73">
        <f t="array" aca="1" ref="B34:C38" ca="1">_xll.HLV5r3.Financial.Cache.GetTermCurve(B2)</f>
        <v>43710</v>
      </c>
      <c r="C34" s="64">
        <f ca="1"/>
        <v>1</v>
      </c>
      <c r="F34" s="126" t="str">
        <f ca="1">_xll.HLV5r3.Financial.Cache.CreateCurve(F35:G49, $B$21:$D$24)</f>
        <v>Market.QR_LIVE.2014-03-18.RateCurve.AUD-GC-SECURED</v>
      </c>
      <c r="G34" s="127"/>
    </row>
    <row r="35" spans="2:7" ht="13.5" thickBot="1">
      <c r="B35" s="74">
        <f ca="1"/>
        <v>43711</v>
      </c>
      <c r="C35" s="65">
        <f ca="1"/>
        <v>0.99986303246130603</v>
      </c>
      <c r="F35" s="19" t="s">
        <v>32</v>
      </c>
      <c r="G35" s="24" t="s">
        <v>94</v>
      </c>
    </row>
    <row r="36" spans="2:7">
      <c r="B36" s="74">
        <f ca="1"/>
        <v>43741</v>
      </c>
      <c r="C36" s="65">
        <f ca="1"/>
        <v>0.99577028484175101</v>
      </c>
      <c r="F36" s="20" t="s">
        <v>33</v>
      </c>
      <c r="G36" s="25">
        <f ca="1">G37</f>
        <v>43710</v>
      </c>
    </row>
    <row r="37" spans="2:7">
      <c r="B37" s="74">
        <f ca="1"/>
        <v>43773</v>
      </c>
      <c r="C37" s="65">
        <f ca="1"/>
        <v>0.99144143606670698</v>
      </c>
      <c r="F37" s="21" t="s">
        <v>27</v>
      </c>
      <c r="G37" s="26">
        <f ca="1">TODAY()</f>
        <v>43710</v>
      </c>
    </row>
    <row r="38" spans="2:7" ht="13.5" thickBot="1">
      <c r="B38" s="75">
        <f ca="1"/>
        <v>43802</v>
      </c>
      <c r="C38" s="66">
        <f ca="1"/>
        <v>0.98755079791521005</v>
      </c>
      <c r="F38" s="22" t="s">
        <v>26</v>
      </c>
      <c r="G38" s="27" t="str">
        <f>$C$6</f>
        <v>QR_LIVE</v>
      </c>
    </row>
    <row r="39" spans="2:7" ht="13.5" thickBot="1">
      <c r="F39" s="22" t="s">
        <v>100</v>
      </c>
      <c r="G39" s="77">
        <f>$C$7-3</f>
        <v>41716</v>
      </c>
    </row>
    <row r="40" spans="2:7" ht="13.5" thickBot="1">
      <c r="B40" s="72" t="s">
        <v>52</v>
      </c>
      <c r="F40" s="22" t="s">
        <v>24</v>
      </c>
      <c r="G40" s="27" t="s">
        <v>87</v>
      </c>
    </row>
    <row r="41" spans="2:7">
      <c r="B41" s="73">
        <f ca="1">B34</f>
        <v>43710</v>
      </c>
      <c r="C41" s="64">
        <f t="array" aca="1" ref="C41:C45" ca="1">_xll.HLV5r3.Financial.Cache.GetValues(B2,B34:B38)</f>
        <v>5.03103387464892E-2</v>
      </c>
      <c r="F41" s="22" t="s">
        <v>92</v>
      </c>
      <c r="G41" s="62" t="s">
        <v>93</v>
      </c>
    </row>
    <row r="42" spans="2:7">
      <c r="B42" s="74">
        <f t="shared" ref="B42:B45" ca="1" si="0">B35</f>
        <v>43711</v>
      </c>
      <c r="C42" s="65">
        <f ca="1"/>
        <v>5.03103387464892E-2</v>
      </c>
      <c r="F42" s="22" t="s">
        <v>84</v>
      </c>
      <c r="G42" s="62" t="s">
        <v>85</v>
      </c>
    </row>
    <row r="43" spans="2:7">
      <c r="B43" s="74">
        <f t="shared" ca="1" si="0"/>
        <v>43741</v>
      </c>
      <c r="C43" s="65">
        <f ca="1"/>
        <v>5.0219744702932403E-2</v>
      </c>
      <c r="F43" s="21" t="s">
        <v>34</v>
      </c>
      <c r="G43" s="28" t="s">
        <v>97</v>
      </c>
    </row>
    <row r="44" spans="2:7">
      <c r="B44" s="74">
        <f t="shared" ca="1" si="0"/>
        <v>43773</v>
      </c>
      <c r="C44" s="65">
        <f ca="1"/>
        <v>5.0110018589199598E-2</v>
      </c>
      <c r="F44" s="21" t="s">
        <v>35</v>
      </c>
      <c r="G44" s="27" t="s">
        <v>82</v>
      </c>
    </row>
    <row r="45" spans="2:7" ht="13.5" thickBot="1">
      <c r="B45" s="75">
        <f t="shared" ca="1" si="0"/>
        <v>43802</v>
      </c>
      <c r="C45" s="66">
        <f ca="1"/>
        <v>5.0010925007097001E-2</v>
      </c>
      <c r="F45" s="21" t="s">
        <v>37</v>
      </c>
      <c r="G45" s="27" t="s">
        <v>98</v>
      </c>
    </row>
    <row r="46" spans="2:7">
      <c r="F46" s="21" t="s">
        <v>38</v>
      </c>
      <c r="G46" s="27">
        <v>0</v>
      </c>
    </row>
    <row r="47" spans="2:7">
      <c r="B47" s="76"/>
      <c r="C47" s="67"/>
      <c r="F47" s="21" t="s">
        <v>39</v>
      </c>
      <c r="G47" s="27" t="s">
        <v>42</v>
      </c>
    </row>
    <row r="48" spans="2:7">
      <c r="B48" s="76"/>
      <c r="C48" s="67"/>
      <c r="F48" s="21" t="s">
        <v>43</v>
      </c>
      <c r="G48" s="27" t="s">
        <v>23</v>
      </c>
    </row>
    <row r="49" spans="2:7" ht="13.5" thickBot="1">
      <c r="B49" s="76"/>
      <c r="C49" s="67"/>
      <c r="F49" s="23" t="s">
        <v>40</v>
      </c>
      <c r="G49" s="29" t="s">
        <v>0</v>
      </c>
    </row>
    <row r="50" spans="2:7" ht="13.5" thickBot="1">
      <c r="B50" s="76"/>
      <c r="C50" s="67"/>
      <c r="F50" s="126" t="str">
        <f ca="1">_xll.HLV5r3.Financial.Cache.CreateCurve(F51:G65, $B$21:$D$24)</f>
        <v>Market.QR_LIVE.2014-03-17.RateCurve.AUD-GC-SECURED</v>
      </c>
      <c r="G50" s="127"/>
    </row>
    <row r="51" spans="2:7" ht="13.5" thickBot="1">
      <c r="B51" s="76"/>
      <c r="C51" s="67"/>
      <c r="F51" s="19" t="s">
        <v>32</v>
      </c>
      <c r="G51" s="24" t="s">
        <v>94</v>
      </c>
    </row>
    <row r="52" spans="2:7">
      <c r="F52" s="20" t="s">
        <v>33</v>
      </c>
      <c r="G52" s="25">
        <f ca="1">G53</f>
        <v>43710</v>
      </c>
    </row>
    <row r="53" spans="2:7">
      <c r="F53" s="21" t="s">
        <v>27</v>
      </c>
      <c r="G53" s="26">
        <f ca="1">TODAY()</f>
        <v>43710</v>
      </c>
    </row>
    <row r="54" spans="2:7">
      <c r="F54" s="22" t="s">
        <v>26</v>
      </c>
      <c r="G54" s="27" t="str">
        <f>$C$6</f>
        <v>QR_LIVE</v>
      </c>
    </row>
    <row r="55" spans="2:7">
      <c r="F55" s="22" t="s">
        <v>100</v>
      </c>
      <c r="G55" s="77">
        <f>$C$7-4</f>
        <v>41715</v>
      </c>
    </row>
    <row r="56" spans="2:7">
      <c r="F56" s="22" t="s">
        <v>24</v>
      </c>
      <c r="G56" s="27" t="s">
        <v>87</v>
      </c>
    </row>
    <row r="57" spans="2:7">
      <c r="F57" s="22" t="s">
        <v>92</v>
      </c>
      <c r="G57" s="62" t="s">
        <v>93</v>
      </c>
    </row>
    <row r="58" spans="2:7">
      <c r="F58" s="22" t="s">
        <v>84</v>
      </c>
      <c r="G58" s="62" t="s">
        <v>85</v>
      </c>
    </row>
    <row r="59" spans="2:7">
      <c r="F59" s="21" t="s">
        <v>34</v>
      </c>
      <c r="G59" s="28" t="s">
        <v>97</v>
      </c>
    </row>
    <row r="60" spans="2:7">
      <c r="F60" s="21" t="s">
        <v>35</v>
      </c>
      <c r="G60" s="27" t="s">
        <v>82</v>
      </c>
    </row>
    <row r="61" spans="2:7">
      <c r="F61" s="21" t="s">
        <v>37</v>
      </c>
      <c r="G61" s="27" t="s">
        <v>98</v>
      </c>
    </row>
    <row r="62" spans="2:7">
      <c r="F62" s="21" t="s">
        <v>38</v>
      </c>
      <c r="G62" s="27">
        <v>0</v>
      </c>
    </row>
    <row r="63" spans="2:7">
      <c r="F63" s="21" t="s">
        <v>39</v>
      </c>
      <c r="G63" s="27" t="s">
        <v>42</v>
      </c>
    </row>
    <row r="64" spans="2:7">
      <c r="F64" s="21" t="s">
        <v>43</v>
      </c>
      <c r="G64" s="27" t="s">
        <v>23</v>
      </c>
    </row>
    <row r="65" spans="6:7" ht="13.5" thickBot="1">
      <c r="F65" s="23" t="s">
        <v>40</v>
      </c>
      <c r="G65" s="29" t="s">
        <v>0</v>
      </c>
    </row>
  </sheetData>
  <mergeCells count="5">
    <mergeCell ref="B2:C2"/>
    <mergeCell ref="F2:G2"/>
    <mergeCell ref="F18:G18"/>
    <mergeCell ref="F34:G34"/>
    <mergeCell ref="F50:G5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Y45"/>
  <sheetViews>
    <sheetView tabSelected="1" workbookViewId="0">
      <selection activeCell="H32" sqref="H32"/>
    </sheetView>
  </sheetViews>
  <sheetFormatPr defaultRowHeight="12.75"/>
  <cols>
    <col min="1" max="1" width="7.140625" customWidth="1"/>
    <col min="2" max="2" width="18.5703125" bestFit="1" customWidth="1"/>
    <col min="3" max="3" width="26.5703125" bestFit="1" customWidth="1"/>
    <col min="4" max="4" width="4.28515625" customWidth="1"/>
    <col min="5" max="5" width="30.7109375" bestFit="1" customWidth="1"/>
    <col min="6" max="6" width="25" customWidth="1"/>
    <col min="7" max="7" width="3.7109375" customWidth="1"/>
    <col min="8" max="8" width="84.7109375" bestFit="1" customWidth="1"/>
    <col min="9" max="9" width="42.140625" bestFit="1" customWidth="1"/>
    <col min="11" max="11" width="44.28515625" bestFit="1" customWidth="1"/>
    <col min="12" max="12" width="16.85546875" bestFit="1" customWidth="1"/>
    <col min="13" max="13" width="10.28515625" bestFit="1" customWidth="1"/>
    <col min="14" max="14" width="9.5703125" bestFit="1" customWidth="1"/>
    <col min="15" max="15" width="16.140625" bestFit="1" customWidth="1"/>
    <col min="16" max="16" width="20.140625" bestFit="1" customWidth="1"/>
    <col min="17" max="17" width="9.5703125" bestFit="1" customWidth="1"/>
    <col min="18" max="18" width="12.7109375" bestFit="1" customWidth="1"/>
    <col min="19" max="19" width="12.5703125" bestFit="1" customWidth="1"/>
    <col min="20" max="20" width="9.42578125" bestFit="1" customWidth="1"/>
    <col min="21" max="23" width="9.28515625" bestFit="1" customWidth="1"/>
    <col min="24" max="24" width="11.7109375" bestFit="1" customWidth="1"/>
    <col min="25" max="25" width="9.28515625" bestFit="1" customWidth="1"/>
  </cols>
  <sheetData>
    <row r="1" spans="2:25">
      <c r="F1" t="str">
        <f t="array" ref="F1:F13">_xll.HLV5r3.Financial.Cache.SupportedBondMetrics()</f>
        <v>DirtyPrice</v>
      </c>
      <c r="H1" s="1" t="str">
        <f ca="1">_xll.HLV5r3.Financial.Cache.ValueTradeFromMarket($B$22,$C$18,$E$3:$E$7,"AUD",I1,$C$10)</f>
        <v>ValuationReport.LOCAL_USER.SpreadSheet.bondTransaction.testtrade_001.QR_LIVE</v>
      </c>
      <c r="I1" t="str">
        <f>'BondCurve-BondForward'!C6</f>
        <v>QR_LIVE</v>
      </c>
      <c r="K1" t="str">
        <f t="array" aca="1" ref="K1:Y11" ca="1">_xll.HLV5r3.Financial.Cache.ViewExpectedCashFlows(B22,C18,E3:E7,C27,$I$1,C16)</f>
        <v>Trade.SpreadSheet.bondTransaction.testtrade_001</v>
      </c>
      <c r="L1" t="str">
        <f ca="1"/>
        <v>PrincipalExchange</v>
      </c>
      <c r="M1" s="2">
        <f ca="1"/>
        <v>43715</v>
      </c>
      <c r="N1" t="str">
        <f ca="1"/>
        <v>AUD</v>
      </c>
      <c r="O1" s="3">
        <f ca="1"/>
        <v>-101000000</v>
      </c>
      <c r="P1">
        <f ca="1"/>
        <v>-101000000</v>
      </c>
      <c r="Q1" t="str">
        <f ca="1"/>
        <v>DiscountedCashflow</v>
      </c>
      <c r="R1">
        <f ca="1"/>
        <v>0.99931544357534796</v>
      </c>
      <c r="S1">
        <f ca="1"/>
        <v>-100930859.80111015</v>
      </c>
      <c r="T1">
        <f ca="1"/>
        <v>1.3698630136986301E-2</v>
      </c>
      <c r="U1" t="b">
        <f ca="1"/>
        <v>0</v>
      </c>
      <c r="V1" t="b">
        <f ca="1"/>
        <v>1</v>
      </c>
      <c r="W1" t="str">
        <f ca="1"/>
        <v>Party1</v>
      </c>
      <c r="X1" t="str">
        <f ca="1"/>
        <v>Party2</v>
      </c>
      <c r="Y1" t="e">
        <f ca="1"/>
        <v>#N/A</v>
      </c>
    </row>
    <row r="2" spans="2:25">
      <c r="F2" t="str">
        <v>CleanPrice</v>
      </c>
      <c r="H2" s="1" t="str">
        <f ca="1">_xll.HLV5r3.Financial.Cache.ValueTradeFromMarket($B$22,$C$18,$E$3:$E$7,"AUD",I2,$C$10)</f>
        <v>ValuationReport.LOCAL_USER.SpreadSheet.bondTransaction.testtrade_001.QR_LIVE.2019-09-01</v>
      </c>
      <c r="I2" t="str">
        <f ca="1">'BondCurve-BondForward'!I6</f>
        <v>QR_LIVE.2019-09-01</v>
      </c>
      <c r="K2" t="str">
        <f ca="1"/>
        <v>Trade.SpreadSheet.bondTransaction.testtrade_001</v>
      </c>
      <c r="L2" t="str">
        <f ca="1"/>
        <v>PrincipalExchange</v>
      </c>
      <c r="M2" s="2">
        <f ca="1"/>
        <v>43753</v>
      </c>
      <c r="N2" t="str">
        <f ca="1"/>
        <v>AUD</v>
      </c>
      <c r="O2" s="3">
        <f ca="1"/>
        <v>100000000</v>
      </c>
      <c r="P2">
        <f ca="1"/>
        <v>100000000</v>
      </c>
      <c r="Q2" t="str">
        <f ca="1"/>
        <v>DiscountedCashflow</v>
      </c>
      <c r="R2">
        <f ca="1"/>
        <v>0.99414254148981696</v>
      </c>
      <c r="S2">
        <f ca="1"/>
        <v>99414254.14898169</v>
      </c>
      <c r="T2">
        <f ca="1"/>
        <v>0.117808219178082</v>
      </c>
      <c r="U2" t="b">
        <f ca="1"/>
        <v>0</v>
      </c>
      <c r="V2" t="b">
        <f ca="1"/>
        <v>0</v>
      </c>
      <c r="W2" t="str">
        <f ca="1"/>
        <v>WATC</v>
      </c>
      <c r="X2" t="str">
        <f ca="1"/>
        <v>Party1</v>
      </c>
      <c r="Y2" t="e">
        <f ca="1"/>
        <v>#N/A</v>
      </c>
    </row>
    <row r="3" spans="2:25">
      <c r="B3" t="s">
        <v>14</v>
      </c>
      <c r="C3">
        <v>1</v>
      </c>
      <c r="E3" s="6" t="s">
        <v>23</v>
      </c>
      <c r="F3" t="str">
        <v>NPV</v>
      </c>
      <c r="H3" s="1" t="str">
        <f ca="1">_xll.HLV5r3.Financial.Cache.ValueTradeFromMarket($B$22,$C$18,$E$3:$E$7,"AUD",I3,$C$10)</f>
        <v>ValuationReport.LOCAL_USER.SpreadSheet.bondTransaction.testtrade_001.QR_LIVE.2019-08-31</v>
      </c>
      <c r="I3" t="str">
        <f ca="1">'BondCurve-BondForward'!I7</f>
        <v>QR_LIVE.2019-08-31</v>
      </c>
      <c r="K3" t="str">
        <f ca="1"/>
        <v>Trade.SpreadSheet.bondTransaction.testtrade_001</v>
      </c>
      <c r="L3" t="str">
        <f ca="1"/>
        <v>Coupon</v>
      </c>
      <c r="M3" s="2">
        <f ca="1"/>
        <v>43570</v>
      </c>
      <c r="N3" t="str">
        <f ca="1"/>
        <v>AUD</v>
      </c>
      <c r="O3" s="3">
        <f ca="1"/>
        <v>0</v>
      </c>
      <c r="P3">
        <f ca="1"/>
        <v>3490410.9589041071</v>
      </c>
      <c r="Q3" t="str">
        <f ca="1"/>
        <v>FixedRateRateCoupon</v>
      </c>
      <c r="R3">
        <f ca="1"/>
        <v>1.01936182400197</v>
      </c>
      <c r="S3">
        <f ca="1"/>
        <v>0</v>
      </c>
      <c r="T3">
        <f ca="1"/>
        <v>-0.38356164383561597</v>
      </c>
      <c r="U3" t="b">
        <f ca="1"/>
        <v>0</v>
      </c>
      <c r="V3" t="b">
        <f ca="1"/>
        <v>0</v>
      </c>
      <c r="W3" t="str">
        <f ca="1"/>
        <v>Not specified</v>
      </c>
      <c r="X3" t="str">
        <f ca="1"/>
        <v>Not specified</v>
      </c>
      <c r="Y3" t="e">
        <f ca="1"/>
        <v>#N/A</v>
      </c>
    </row>
    <row r="4" spans="2:25">
      <c r="B4" t="s">
        <v>15</v>
      </c>
      <c r="C4">
        <v>100</v>
      </c>
      <c r="E4" s="6" t="s">
        <v>21</v>
      </c>
      <c r="F4" t="str">
        <v>AccruedInterest</v>
      </c>
      <c r="H4" s="1" t="str">
        <f ca="1">_xll.HLV5r3.Financial.Cache.ValueTradeFromMarket($B$22,$C$18,$E$3:$E$7,"AUD",I4,$C$10)</f>
        <v>ValuationReport.LOCAL_USER.SpreadSheet.bondTransaction.testtrade_001.QR_LIVE.2019-08-30</v>
      </c>
      <c r="I4" t="str">
        <f ca="1">'BondCurve-BondForward'!I8</f>
        <v>QR_LIVE.2019-08-30</v>
      </c>
      <c r="K4" t="str">
        <f ca="1"/>
        <v>Trade.SpreadSheet.bondTransaction.testtrade_001</v>
      </c>
      <c r="L4" t="str">
        <f ca="1"/>
        <v>Coupon</v>
      </c>
      <c r="M4" s="2">
        <f ca="1"/>
        <v>43753</v>
      </c>
      <c r="N4" t="str">
        <f ca="1"/>
        <v>AUD</v>
      </c>
      <c r="O4" s="3">
        <f ca="1"/>
        <v>3509589.0410958929</v>
      </c>
      <c r="P4">
        <f ca="1"/>
        <v>3509589.0410958929</v>
      </c>
      <c r="Q4" t="str">
        <f ca="1"/>
        <v>FixedRateRateCoupon</v>
      </c>
      <c r="R4">
        <f ca="1"/>
        <v>0.99414254148981696</v>
      </c>
      <c r="S4">
        <f ca="1"/>
        <v>3489031.7688998813</v>
      </c>
      <c r="T4">
        <f ca="1"/>
        <v>0.117808219178082</v>
      </c>
      <c r="U4" t="b">
        <f ca="1"/>
        <v>0</v>
      </c>
      <c r="V4" t="b">
        <f ca="1"/>
        <v>0</v>
      </c>
      <c r="W4" t="str">
        <f ca="1"/>
        <v>Not specified</v>
      </c>
      <c r="X4" t="str">
        <f ca="1"/>
        <v>Not specified</v>
      </c>
      <c r="Y4" t="e">
        <f ca="1"/>
        <v>#N/A</v>
      </c>
    </row>
    <row r="5" spans="2:25">
      <c r="B5" t="s">
        <v>23</v>
      </c>
      <c r="C5" s="7">
        <v>0.05</v>
      </c>
      <c r="E5" s="6" t="s">
        <v>65</v>
      </c>
      <c r="F5" t="str">
        <v>ImpliedQuote</v>
      </c>
      <c r="H5" s="1" t="str">
        <f ca="1">_xll.HLV5r3.Financial.Cache.ValueTradeFromMarket($B$22,$C$18,$E$3:$E$7,"AUD",I5,$C$10)</f>
        <v>ValuationReport.LOCAL_USER.SpreadSheet.bondTransaction.testtrade_001.QR_LIVE.2019-08-29</v>
      </c>
      <c r="I5" t="str">
        <f ca="1">'BondCurve-BondForward'!I9</f>
        <v>QR_LIVE.2019-08-29</v>
      </c>
      <c r="K5" t="e">
        <f ca="1"/>
        <v>#N/A</v>
      </c>
      <c r="L5" t="e">
        <f ca="1"/>
        <v>#N/A</v>
      </c>
      <c r="M5" t="e">
        <f ca="1"/>
        <v>#N/A</v>
      </c>
      <c r="N5" t="e">
        <f ca="1"/>
        <v>#N/A</v>
      </c>
      <c r="O5" t="e">
        <f ca="1"/>
        <v>#N/A</v>
      </c>
      <c r="P5" t="e">
        <f ca="1"/>
        <v>#N/A</v>
      </c>
      <c r="Q5" t="e">
        <f ca="1"/>
        <v>#N/A</v>
      </c>
      <c r="R5" t="e">
        <f ca="1"/>
        <v>#N/A</v>
      </c>
      <c r="S5" t="e">
        <f ca="1"/>
        <v>#N/A</v>
      </c>
      <c r="T5" t="e">
        <f ca="1"/>
        <v>#N/A</v>
      </c>
      <c r="U5" t="e">
        <f ca="1"/>
        <v>#N/A</v>
      </c>
      <c r="V5" t="e">
        <f ca="1"/>
        <v>#N/A</v>
      </c>
      <c r="W5" t="e">
        <f ca="1"/>
        <v>#N/A</v>
      </c>
      <c r="X5" t="e">
        <f ca="1"/>
        <v>#N/A</v>
      </c>
      <c r="Y5" t="e">
        <f ca="1"/>
        <v>#N/A</v>
      </c>
    </row>
    <row r="6" spans="2:25">
      <c r="B6" t="s">
        <v>16</v>
      </c>
      <c r="C6">
        <v>101</v>
      </c>
      <c r="E6" s="6" t="s">
        <v>70</v>
      </c>
      <c r="F6" t="str">
        <v>Convexity</v>
      </c>
      <c r="H6" s="1" t="str">
        <f ca="1">_xll.HLV5r3.Financial.Cache.ValueTradeFromMarket($B$22,$C$18,$E$3:$E$7,"AUD",I6,$C$10)</f>
        <v>ValuationReport.LOCAL_USER.SpreadSheet.bondTransaction.testtrade_001.QR_LIVE.2019-08-28</v>
      </c>
      <c r="I6" t="str">
        <f ca="1">'BondCurve-BondForward'!I10</f>
        <v>QR_LIVE.2019-08-28</v>
      </c>
      <c r="K6" t="e">
        <f ca="1"/>
        <v>#N/A</v>
      </c>
      <c r="L6" t="e">
        <f ca="1"/>
        <v>#N/A</v>
      </c>
      <c r="M6" t="e">
        <f ca="1"/>
        <v>#N/A</v>
      </c>
      <c r="N6" t="e">
        <f ca="1"/>
        <v>#N/A</v>
      </c>
      <c r="O6" t="e">
        <f ca="1"/>
        <v>#N/A</v>
      </c>
      <c r="P6" t="e">
        <f ca="1"/>
        <v>#N/A</v>
      </c>
      <c r="Q6" t="e">
        <f ca="1"/>
        <v>#N/A</v>
      </c>
      <c r="R6" t="e">
        <f ca="1"/>
        <v>#N/A</v>
      </c>
      <c r="S6" t="e">
        <f ca="1"/>
        <v>#N/A</v>
      </c>
      <c r="T6" t="e">
        <f ca="1"/>
        <v>#N/A</v>
      </c>
      <c r="U6" t="e">
        <f ca="1"/>
        <v>#N/A</v>
      </c>
      <c r="V6" t="e">
        <f ca="1"/>
        <v>#N/A</v>
      </c>
      <c r="W6" t="e">
        <f ca="1"/>
        <v>#N/A</v>
      </c>
      <c r="X6" t="e">
        <f ca="1"/>
        <v>#N/A</v>
      </c>
      <c r="Y6" t="e">
        <f ca="1"/>
        <v>#N/A</v>
      </c>
    </row>
    <row r="7" spans="2:25">
      <c r="E7" s="6" t="s">
        <v>16</v>
      </c>
      <c r="F7" t="str">
        <v>DeltaR</v>
      </c>
      <c r="H7" s="121"/>
      <c r="I7" s="121"/>
      <c r="K7" t="e">
        <f ca="1"/>
        <v>#N/A</v>
      </c>
      <c r="L7" t="e">
        <f ca="1"/>
        <v>#N/A</v>
      </c>
      <c r="M7" t="e">
        <f ca="1"/>
        <v>#N/A</v>
      </c>
      <c r="N7" t="e">
        <f ca="1"/>
        <v>#N/A</v>
      </c>
      <c r="O7" t="e">
        <f ca="1"/>
        <v>#N/A</v>
      </c>
      <c r="P7" t="e">
        <f ca="1"/>
        <v>#N/A</v>
      </c>
      <c r="Q7" t="e">
        <f ca="1"/>
        <v>#N/A</v>
      </c>
      <c r="R7" t="e">
        <f ca="1"/>
        <v>#N/A</v>
      </c>
      <c r="S7" t="e">
        <f ca="1"/>
        <v>#N/A</v>
      </c>
      <c r="T7" t="e">
        <f ca="1"/>
        <v>#N/A</v>
      </c>
      <c r="U7" t="e">
        <f ca="1"/>
        <v>#N/A</v>
      </c>
      <c r="V7" t="e">
        <f ca="1"/>
        <v>#N/A</v>
      </c>
      <c r="W7" t="e">
        <f ca="1"/>
        <v>#N/A</v>
      </c>
      <c r="X7" t="e">
        <f ca="1"/>
        <v>#N/A</v>
      </c>
      <c r="Y7" t="e">
        <f ca="1"/>
        <v>#N/A</v>
      </c>
    </row>
    <row r="8" spans="2:25">
      <c r="B8" t="s">
        <v>141</v>
      </c>
      <c r="C8" t="s">
        <v>142</v>
      </c>
      <c r="F8" t="str">
        <v>DV01</v>
      </c>
      <c r="H8" s="121"/>
      <c r="I8" s="121"/>
      <c r="K8" t="e">
        <f ca="1"/>
        <v>#N/A</v>
      </c>
      <c r="L8" t="e">
        <f ca="1"/>
        <v>#N/A</v>
      </c>
      <c r="M8" t="e">
        <f ca="1"/>
        <v>#N/A</v>
      </c>
      <c r="N8" t="e">
        <f ca="1"/>
        <v>#N/A</v>
      </c>
      <c r="O8" t="e">
        <f ca="1"/>
        <v>#N/A</v>
      </c>
      <c r="P8" t="e">
        <f ca="1"/>
        <v>#N/A</v>
      </c>
      <c r="Q8" t="e">
        <f ca="1"/>
        <v>#N/A</v>
      </c>
      <c r="R8" t="e">
        <f ca="1"/>
        <v>#N/A</v>
      </c>
      <c r="S8" t="e">
        <f ca="1"/>
        <v>#N/A</v>
      </c>
      <c r="T8" t="e">
        <f ca="1"/>
        <v>#N/A</v>
      </c>
      <c r="U8" t="e">
        <f ca="1"/>
        <v>#N/A</v>
      </c>
      <c r="V8" t="e">
        <f ca="1"/>
        <v>#N/A</v>
      </c>
      <c r="W8" t="e">
        <f ca="1"/>
        <v>#N/A</v>
      </c>
      <c r="X8" t="e">
        <f ca="1"/>
        <v>#N/A</v>
      </c>
      <c r="Y8" t="e">
        <f ca="1"/>
        <v>#N/A</v>
      </c>
    </row>
    <row r="9" spans="2:25">
      <c r="B9" t="s">
        <v>3</v>
      </c>
      <c r="C9" s="3">
        <v>100000000</v>
      </c>
      <c r="F9" t="str">
        <v>MarketQuote</v>
      </c>
      <c r="K9" t="e">
        <f ca="1"/>
        <v>#N/A</v>
      </c>
      <c r="L9" t="e">
        <f ca="1"/>
        <v>#N/A</v>
      </c>
      <c r="M9" t="e">
        <f ca="1"/>
        <v>#N/A</v>
      </c>
      <c r="N9" t="e">
        <f ca="1"/>
        <v>#N/A</v>
      </c>
      <c r="O9" t="e">
        <f ca="1"/>
        <v>#N/A</v>
      </c>
      <c r="P9" t="e">
        <f ca="1"/>
        <v>#N/A</v>
      </c>
      <c r="Q9" t="e">
        <f ca="1"/>
        <v>#N/A</v>
      </c>
      <c r="R9" t="e">
        <f ca="1"/>
        <v>#N/A</v>
      </c>
      <c r="S9" t="e">
        <f ca="1"/>
        <v>#N/A</v>
      </c>
      <c r="T9" t="e">
        <f ca="1"/>
        <v>#N/A</v>
      </c>
      <c r="U9" t="e">
        <f ca="1"/>
        <v>#N/A</v>
      </c>
      <c r="V9" t="e">
        <f ca="1"/>
        <v>#N/A</v>
      </c>
      <c r="W9" t="e">
        <f ca="1"/>
        <v>#N/A</v>
      </c>
      <c r="X9" t="e">
        <f ca="1"/>
        <v>#N/A</v>
      </c>
      <c r="Y9" t="e">
        <f ca="1"/>
        <v>#N/A</v>
      </c>
    </row>
    <row r="10" spans="2:25">
      <c r="B10" t="s">
        <v>4</v>
      </c>
      <c r="C10" s="2">
        <f ca="1">TODAY()</f>
        <v>43710</v>
      </c>
      <c r="F10" t="str">
        <v>AssetSwapSpread</v>
      </c>
      <c r="K10" t="e">
        <f ca="1"/>
        <v>#N/A</v>
      </c>
      <c r="L10" t="e">
        <f ca="1"/>
        <v>#N/A</v>
      </c>
      <c r="M10" t="e">
        <f ca="1"/>
        <v>#N/A</v>
      </c>
      <c r="N10" t="e">
        <f ca="1"/>
        <v>#N/A</v>
      </c>
      <c r="O10" t="e">
        <f ca="1"/>
        <v>#N/A</v>
      </c>
      <c r="P10" t="e">
        <f ca="1"/>
        <v>#N/A</v>
      </c>
      <c r="Q10" t="e">
        <f ca="1"/>
        <v>#N/A</v>
      </c>
      <c r="R10" t="e">
        <f ca="1"/>
        <v>#N/A</v>
      </c>
      <c r="S10" t="e">
        <f ca="1"/>
        <v>#N/A</v>
      </c>
      <c r="T10" t="e">
        <f ca="1"/>
        <v>#N/A</v>
      </c>
      <c r="U10" t="e">
        <f ca="1"/>
        <v>#N/A</v>
      </c>
      <c r="V10" t="e">
        <f ca="1"/>
        <v>#N/A</v>
      </c>
      <c r="W10" t="e">
        <f ca="1"/>
        <v>#N/A</v>
      </c>
      <c r="X10" t="e">
        <f ca="1"/>
        <v>#N/A</v>
      </c>
      <c r="Y10" t="e">
        <f ca="1"/>
        <v>#N/A</v>
      </c>
    </row>
    <row r="11" spans="2:25">
      <c r="B11" t="s">
        <v>73</v>
      </c>
      <c r="C11" s="2">
        <f ca="1">C10+5</f>
        <v>43715</v>
      </c>
      <c r="F11" t="str">
        <v>ZSpread</v>
      </c>
      <c r="K11" t="e">
        <f ca="1"/>
        <v>#N/A</v>
      </c>
      <c r="L11" t="e">
        <f ca="1"/>
        <v>#N/A</v>
      </c>
      <c r="M11" t="e">
        <f ca="1"/>
        <v>#N/A</v>
      </c>
      <c r="N11" t="e">
        <f ca="1"/>
        <v>#N/A</v>
      </c>
      <c r="O11" t="e">
        <f ca="1"/>
        <v>#N/A</v>
      </c>
      <c r="P11" t="e">
        <f ca="1"/>
        <v>#N/A</v>
      </c>
      <c r="Q11" t="e">
        <f ca="1"/>
        <v>#N/A</v>
      </c>
      <c r="R11" t="e">
        <f ca="1"/>
        <v>#N/A</v>
      </c>
      <c r="S11" t="e">
        <f ca="1"/>
        <v>#N/A</v>
      </c>
      <c r="T11" t="e">
        <f ca="1"/>
        <v>#N/A</v>
      </c>
      <c r="U11" t="e">
        <f ca="1"/>
        <v>#N/A</v>
      </c>
      <c r="V11" t="e">
        <f ca="1"/>
        <v>#N/A</v>
      </c>
      <c r="W11" t="e">
        <f ca="1"/>
        <v>#N/A</v>
      </c>
      <c r="X11" t="e">
        <f ca="1"/>
        <v>#N/A</v>
      </c>
      <c r="Y11" t="e">
        <f ca="1"/>
        <v>#N/A</v>
      </c>
    </row>
    <row r="12" spans="2:25">
      <c r="B12" t="s">
        <v>8</v>
      </c>
      <c r="C12" t="b">
        <v>1</v>
      </c>
      <c r="F12" t="str">
        <v>YieldToMaturity</v>
      </c>
    </row>
    <row r="13" spans="2:25">
      <c r="B13" t="s">
        <v>9</v>
      </c>
      <c r="C13" t="s">
        <v>75</v>
      </c>
      <c r="E13" t="s">
        <v>22</v>
      </c>
      <c r="F13" t="str">
        <v>PandL</v>
      </c>
    </row>
    <row r="14" spans="2:25">
      <c r="B14" t="s">
        <v>11</v>
      </c>
      <c r="C14" t="s">
        <v>144</v>
      </c>
      <c r="F14" s="10" t="s">
        <v>25</v>
      </c>
    </row>
    <row r="15" spans="2:25">
      <c r="B15" t="s">
        <v>13</v>
      </c>
      <c r="C15" t="s">
        <v>12</v>
      </c>
    </row>
    <row r="16" spans="2:25">
      <c r="B16" t="s">
        <v>19</v>
      </c>
      <c r="C16" s="2">
        <f ca="1">C10</f>
        <v>43710</v>
      </c>
      <c r="E16" t="str">
        <f t="array" aca="1" ref="E16:F22" ca="1">_xll.HLV5r3.Financial.Cache.ViewValuationReport(H1)</f>
        <v>YieldToMaturity</v>
      </c>
      <c r="F16" s="60">
        <f ca="1"/>
        <v>1.1281164084270599E-3</v>
      </c>
    </row>
    <row r="17" spans="2:6">
      <c r="B17" s="10" t="s">
        <v>28</v>
      </c>
      <c r="C17" s="11" t="s">
        <v>29</v>
      </c>
      <c r="E17" t="str">
        <f ca="1"/>
        <v>AssetSwapSpread</v>
      </c>
      <c r="F17" s="60">
        <f ca="1"/>
        <v>-0.12458892121023411</v>
      </c>
    </row>
    <row r="18" spans="2:6">
      <c r="B18" t="s">
        <v>6</v>
      </c>
      <c r="C18" t="s">
        <v>7</v>
      </c>
      <c r="E18" t="str">
        <f ca="1"/>
        <v>NPV</v>
      </c>
      <c r="F18" s="115">
        <f ca="1"/>
        <v>109060210.50277404</v>
      </c>
    </row>
    <row r="19" spans="2:6">
      <c r="B19" t="s">
        <v>5</v>
      </c>
      <c r="C19" t="s">
        <v>1</v>
      </c>
      <c r="E19" t="str">
        <f ca="1"/>
        <v>PandL</v>
      </c>
      <c r="F19" s="115">
        <f ca="1"/>
        <v>106988713.854918</v>
      </c>
    </row>
    <row r="20" spans="2:6">
      <c r="B20" t="s">
        <v>24</v>
      </c>
      <c r="C20" t="s">
        <v>49</v>
      </c>
      <c r="E20" t="str">
        <f ca="1"/>
        <v>DirtyPrice</v>
      </c>
      <c r="F20">
        <f ca="1"/>
        <v>1.0698871385491799</v>
      </c>
    </row>
    <row r="21" spans="2:6">
      <c r="B21" t="s">
        <v>17</v>
      </c>
      <c r="C21" t="s">
        <v>18</v>
      </c>
      <c r="E21" t="str">
        <f ca="1"/>
        <v>AccrualFactor</v>
      </c>
      <c r="F21">
        <f ca="1"/>
        <v>10067.17635783548</v>
      </c>
    </row>
    <row r="22" spans="2:6">
      <c r="B22" s="128" t="str">
        <f ca="1">_xll.HLV5r3.Financial.Cache.CreateBondTrade(C13,C12,C18,C19,C17,C10,C11,C9,B3:B6,C3:C6,C20,C8)</f>
        <v>Trade.SpreadSheet.bondTransaction.testtrade_001</v>
      </c>
      <c r="C22" s="128"/>
      <c r="E22" t="str">
        <f ca="1"/>
        <v>FloatingNPV</v>
      </c>
      <c r="F22">
        <f ca="1"/>
        <v>5095118.1129413005</v>
      </c>
    </row>
    <row r="24" spans="2:6">
      <c r="B24" t="str">
        <f t="array" aca="1" ref="B24:C45" ca="1">_xll.HLV5r3.Financial.Cache.ViewTrade(B22)</f>
        <v>buyerPartyReference</v>
      </c>
      <c r="C24" t="str">
        <f ca="1"/>
        <v>Party1</v>
      </c>
    </row>
    <row r="25" spans="2:6">
      <c r="B25" t="str">
        <f ca="1"/>
        <v>sellerPartyReference</v>
      </c>
      <c r="C25" t="str">
        <f ca="1"/>
        <v>Party2</v>
      </c>
    </row>
    <row r="26" spans="2:6">
      <c r="B26" t="str">
        <f ca="1"/>
        <v>amount</v>
      </c>
      <c r="C26" s="9">
        <f ca="1"/>
        <v>100000000</v>
      </c>
    </row>
    <row r="27" spans="2:6">
      <c r="B27" t="str">
        <f ca="1"/>
        <v>currency</v>
      </c>
      <c r="C27" t="str">
        <f ca="1"/>
        <v>AUD</v>
      </c>
    </row>
    <row r="28" spans="2:6">
      <c r="B28" t="str">
        <f ca="1"/>
        <v>maturityDate</v>
      </c>
      <c r="C28" s="5">
        <f ca="1"/>
        <v>43753</v>
      </c>
    </row>
    <row r="29" spans="2:6">
      <c r="B29" t="str">
        <f ca="1"/>
        <v>coupon</v>
      </c>
      <c r="C29" t="str">
        <f ca="1"/>
        <v>Fixed</v>
      </c>
    </row>
    <row r="30" spans="2:6">
      <c r="B30" t="str">
        <f ca="1"/>
        <v>couponRate</v>
      </c>
      <c r="C30" s="8">
        <f ca="1"/>
        <v>7.0000000000000007E-2</v>
      </c>
    </row>
    <row r="31" spans="2:6">
      <c r="B31" t="str">
        <f ca="1"/>
        <v>dayCountFraction</v>
      </c>
      <c r="C31" t="str">
        <f ca="1"/>
        <v>ACT/ACT.ISDA</v>
      </c>
    </row>
    <row r="32" spans="2:6">
      <c r="B32" t="str">
        <f ca="1"/>
        <v>paymentFrequency</v>
      </c>
      <c r="C32" t="str">
        <f ca="1"/>
        <v>6M</v>
      </c>
    </row>
    <row r="33" spans="2:3">
      <c r="B33" t="str">
        <f ca="1"/>
        <v>party1</v>
      </c>
      <c r="C33" t="str">
        <f ca="1"/>
        <v>CBA</v>
      </c>
    </row>
    <row r="34" spans="2:3">
      <c r="B34" t="str">
        <f ca="1"/>
        <v>party2</v>
      </c>
      <c r="C34" t="str">
        <f ca="1"/>
        <v>NAB</v>
      </c>
    </row>
    <row r="35" spans="2:3">
      <c r="B35" t="str">
        <f ca="1"/>
        <v>description</v>
      </c>
      <c r="C35" t="str">
        <f ca="1"/>
        <v>WATC 7 10/15/19</v>
      </c>
    </row>
    <row r="36" spans="2:3">
      <c r="B36" t="e">
        <f ca="1"/>
        <v>#N/A</v>
      </c>
      <c r="C36" t="e">
        <f ca="1"/>
        <v>#N/A</v>
      </c>
    </row>
    <row r="37" spans="2:3">
      <c r="B37" t="e">
        <f ca="1"/>
        <v>#N/A</v>
      </c>
      <c r="C37" t="e">
        <f ca="1"/>
        <v>#N/A</v>
      </c>
    </row>
    <row r="38" spans="2:3">
      <c r="B38" t="e">
        <f ca="1"/>
        <v>#N/A</v>
      </c>
      <c r="C38" t="e">
        <f ca="1"/>
        <v>#N/A</v>
      </c>
    </row>
    <row r="39" spans="2:3">
      <c r="B39" t="e">
        <f ca="1"/>
        <v>#N/A</v>
      </c>
      <c r="C39" t="e">
        <f ca="1"/>
        <v>#N/A</v>
      </c>
    </row>
    <row r="40" spans="2:3">
      <c r="B40" t="e">
        <f ca="1"/>
        <v>#N/A</v>
      </c>
      <c r="C40" t="e">
        <f ca="1"/>
        <v>#N/A</v>
      </c>
    </row>
    <row r="41" spans="2:3">
      <c r="B41" t="e">
        <f ca="1"/>
        <v>#N/A</v>
      </c>
      <c r="C41" t="e">
        <f ca="1"/>
        <v>#N/A</v>
      </c>
    </row>
    <row r="42" spans="2:3">
      <c r="B42" t="e">
        <f ca="1"/>
        <v>#N/A</v>
      </c>
      <c r="C42" t="e">
        <f ca="1"/>
        <v>#N/A</v>
      </c>
    </row>
    <row r="43" spans="2:3">
      <c r="B43" t="e">
        <f ca="1"/>
        <v>#N/A</v>
      </c>
      <c r="C43" t="e">
        <f ca="1"/>
        <v>#N/A</v>
      </c>
    </row>
    <row r="44" spans="2:3">
      <c r="B44" t="e">
        <f ca="1"/>
        <v>#N/A</v>
      </c>
      <c r="C44" t="e">
        <f ca="1"/>
        <v>#N/A</v>
      </c>
    </row>
    <row r="45" spans="2:3">
      <c r="B45" t="e">
        <f ca="1"/>
        <v>#N/A</v>
      </c>
      <c r="C45" t="e">
        <f ca="1"/>
        <v>#N/A</v>
      </c>
    </row>
  </sheetData>
  <mergeCells count="1">
    <mergeCell ref="B22:C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55"/>
  <sheetViews>
    <sheetView workbookViewId="0">
      <selection activeCell="E32" sqref="E32"/>
    </sheetView>
  </sheetViews>
  <sheetFormatPr defaultRowHeight="12.75"/>
  <cols>
    <col min="1" max="1" width="2.42578125" customWidth="1"/>
    <col min="2" max="2" width="29.140625" bestFit="1" customWidth="1"/>
    <col min="3" max="3" width="26.5703125" bestFit="1" customWidth="1"/>
    <col min="4" max="4" width="5.5703125" customWidth="1"/>
    <col min="5" max="5" width="90.7109375" bestFit="1" customWidth="1"/>
    <col min="6" max="6" width="17.5703125" style="61" bestFit="1" customWidth="1"/>
    <col min="7" max="7" width="2.5703125" customWidth="1"/>
    <col min="8" max="8" width="21.140625" customWidth="1"/>
  </cols>
  <sheetData>
    <row r="1" spans="2:8">
      <c r="H1" t="str">
        <f t="array" ref="H1:H13">_xll.HLV5r3.Financial.Cache.SupportedBondMetrics()</f>
        <v>DirtyPrice</v>
      </c>
    </row>
    <row r="2" spans="2:8">
      <c r="H2" t="str">
        <v>CleanPrice</v>
      </c>
    </row>
    <row r="3" spans="2:8">
      <c r="B3" t="s">
        <v>14</v>
      </c>
      <c r="C3">
        <v>1</v>
      </c>
      <c r="E3" s="6" t="s">
        <v>23</v>
      </c>
      <c r="H3" t="str">
        <v>NPV</v>
      </c>
    </row>
    <row r="4" spans="2:8">
      <c r="B4" t="s">
        <v>15</v>
      </c>
      <c r="C4">
        <v>100</v>
      </c>
      <c r="E4" s="6" t="s">
        <v>21</v>
      </c>
      <c r="H4" t="str">
        <v>AccruedInterest</v>
      </c>
    </row>
    <row r="5" spans="2:8">
      <c r="B5" t="s">
        <v>23</v>
      </c>
      <c r="C5" s="7">
        <v>0.05</v>
      </c>
      <c r="E5" s="6" t="s">
        <v>65</v>
      </c>
      <c r="H5" t="str">
        <v>ImpliedQuote</v>
      </c>
    </row>
    <row r="6" spans="2:8">
      <c r="B6" t="s">
        <v>16</v>
      </c>
      <c r="C6">
        <v>101</v>
      </c>
      <c r="E6" s="6" t="s">
        <v>70</v>
      </c>
      <c r="H6" t="str">
        <v>Convexity</v>
      </c>
    </row>
    <row r="7" spans="2:8">
      <c r="E7" s="6" t="s">
        <v>16</v>
      </c>
      <c r="H7" t="str">
        <v>DeltaR</v>
      </c>
    </row>
    <row r="8" spans="2:8">
      <c r="B8" t="s">
        <v>143</v>
      </c>
      <c r="C8" t="s">
        <v>142</v>
      </c>
      <c r="H8" t="str">
        <v>DV01</v>
      </c>
    </row>
    <row r="9" spans="2:8">
      <c r="B9" t="s">
        <v>3</v>
      </c>
      <c r="C9" s="3">
        <v>100000000</v>
      </c>
      <c r="E9" s="114" t="s">
        <v>139</v>
      </c>
      <c r="F9" s="117" t="s">
        <v>146</v>
      </c>
      <c r="H9" t="str">
        <v>MarketQuote</v>
      </c>
    </row>
    <row r="10" spans="2:8">
      <c r="B10" t="s">
        <v>4</v>
      </c>
      <c r="C10" s="2">
        <f ca="1">TODAY()</f>
        <v>43710</v>
      </c>
      <c r="E10" s="114" t="s">
        <v>140</v>
      </c>
      <c r="F10" s="117" t="s">
        <v>54</v>
      </c>
      <c r="H10" t="str">
        <v>AssetSwapSpread</v>
      </c>
    </row>
    <row r="11" spans="2:8">
      <c r="B11" t="s">
        <v>73</v>
      </c>
      <c r="C11" s="2">
        <f ca="1">C10+5</f>
        <v>43715</v>
      </c>
      <c r="H11" t="str">
        <v>ZSpread</v>
      </c>
    </row>
    <row r="12" spans="2:8">
      <c r="B12" t="s">
        <v>8</v>
      </c>
      <c r="C12" t="b">
        <v>1</v>
      </c>
      <c r="H12" t="str">
        <v>YieldToMaturity</v>
      </c>
    </row>
    <row r="13" spans="2:8">
      <c r="B13" t="s">
        <v>9</v>
      </c>
      <c r="C13" t="s">
        <v>138</v>
      </c>
      <c r="E13" t="s">
        <v>22</v>
      </c>
      <c r="H13" t="str">
        <v>PandL</v>
      </c>
    </row>
    <row r="14" spans="2:8">
      <c r="B14" t="s">
        <v>11</v>
      </c>
      <c r="C14" t="s">
        <v>144</v>
      </c>
      <c r="G14" s="10" t="s">
        <v>25</v>
      </c>
    </row>
    <row r="15" spans="2:8">
      <c r="B15" t="s">
        <v>13</v>
      </c>
      <c r="C15" t="s">
        <v>12</v>
      </c>
    </row>
    <row r="16" spans="2:8">
      <c r="B16" t="s">
        <v>19</v>
      </c>
      <c r="C16" s="2">
        <f ca="1">C10</f>
        <v>43710</v>
      </c>
      <c r="E16" s="61" t="str">
        <f t="array" ref="E16:F22">_xll.HLV5r3.Financial.Cache.ViewValuationReport(E27)</f>
        <v>YieldToMaturity</v>
      </c>
      <c r="F16" s="118">
        <v>0</v>
      </c>
    </row>
    <row r="17" spans="2:8">
      <c r="B17" s="10" t="s">
        <v>28</v>
      </c>
      <c r="C17" s="11" t="s">
        <v>29</v>
      </c>
      <c r="E17" s="61" t="str">
        <v>AssetSwapSpread</v>
      </c>
      <c r="F17" s="118">
        <v>0</v>
      </c>
    </row>
    <row r="18" spans="2:8">
      <c r="B18" t="s">
        <v>6</v>
      </c>
      <c r="C18" t="s">
        <v>7</v>
      </c>
      <c r="E18" s="61" t="str">
        <v>NPV</v>
      </c>
      <c r="F18" s="119">
        <v>0</v>
      </c>
    </row>
    <row r="19" spans="2:8">
      <c r="B19" t="s">
        <v>5</v>
      </c>
      <c r="C19" t="s">
        <v>1</v>
      </c>
      <c r="E19" s="61" t="str">
        <v>PandL</v>
      </c>
      <c r="F19" s="119">
        <v>0</v>
      </c>
    </row>
    <row r="20" spans="2:8">
      <c r="B20" t="s">
        <v>24</v>
      </c>
      <c r="C20" t="s">
        <v>49</v>
      </c>
      <c r="E20" s="61" t="str">
        <v>DirtyPrice</v>
      </c>
      <c r="F20" s="61">
        <v>0</v>
      </c>
    </row>
    <row r="21" spans="2:8">
      <c r="B21" t="s">
        <v>17</v>
      </c>
      <c r="C21" t="s">
        <v>18</v>
      </c>
      <c r="E21" s="61" t="e">
        <v>#N/A</v>
      </c>
      <c r="F21" s="61" t="e">
        <v>#N/A</v>
      </c>
    </row>
    <row r="22" spans="2:8">
      <c r="B22" t="s">
        <v>139</v>
      </c>
      <c r="C22" t="s">
        <v>146</v>
      </c>
      <c r="E22" s="61" t="e">
        <v>#N/A</v>
      </c>
      <c r="F22" s="61" t="e">
        <v>#N/A</v>
      </c>
    </row>
    <row r="24" spans="2:8">
      <c r="B24" t="str">
        <f t="array" aca="1" ref="B24:C45" ca="1">_xll.HLV5r3.Financial.Cache.ViewTrade(E25)</f>
        <v>buyerPartyReference</v>
      </c>
      <c r="C24" t="str">
        <f ca="1"/>
        <v>Party1</v>
      </c>
      <c r="E24" t="str">
        <f ca="1">E25</f>
        <v>Trade.SpreadSheet.bondTransaction.testtrade_002</v>
      </c>
    </row>
    <row r="25" spans="2:8">
      <c r="B25" t="str">
        <f ca="1"/>
        <v>sellerPartyReference</v>
      </c>
      <c r="C25" t="str">
        <f ca="1"/>
        <v>Party2</v>
      </c>
      <c r="E25" s="53" t="str">
        <f ca="1">_xll.HLV5r3.Financial.Cache.CreateBondTrade(C13,C12,C18,C19,C17,C10,C11,C9,B3:B6,C3:C6,C20,C8)</f>
        <v>Trade.SpreadSheet.bondTransaction.testtrade_002</v>
      </c>
    </row>
    <row r="26" spans="2:8">
      <c r="B26" t="str">
        <f ca="1"/>
        <v>amount</v>
      </c>
      <c r="C26" s="9">
        <f ca="1"/>
        <v>100000000</v>
      </c>
      <c r="E26" s="113" t="s">
        <v>147</v>
      </c>
    </row>
    <row r="27" spans="2:8">
      <c r="B27" t="str">
        <f ca="1"/>
        <v>currency</v>
      </c>
      <c r="C27" t="str">
        <f ca="1"/>
        <v>AUD</v>
      </c>
      <c r="E27" t="str">
        <f>E32</f>
        <v>ValuationReport.Var_Run_20170531.SpreadSheet.futureTransaction.testtrade_001.QR_LIVE.2018-02-23</v>
      </c>
    </row>
    <row r="28" spans="2:8">
      <c r="B28" t="str">
        <f ca="1"/>
        <v>maturityDate</v>
      </c>
      <c r="C28" s="5">
        <f ca="1"/>
        <v>43753</v>
      </c>
    </row>
    <row r="29" spans="2:8">
      <c r="B29" t="str">
        <f ca="1"/>
        <v>coupon</v>
      </c>
      <c r="C29" t="str">
        <f ca="1"/>
        <v>Fixed</v>
      </c>
      <c r="E29" s="1" t="str">
        <f ca="1">_xll.HLV5r3.Financial.Cache.ValueTradeFromMarkets($C$22,$E$24,$C$18,$E$3:$E$7,"AUD",$H$29:$H$33,$C$10)</f>
        <v>Var_Run_20170531</v>
      </c>
      <c r="H29" s="1" t="str">
        <f t="array" aca="1" ref="H29:H33" ca="1">Markets</f>
        <v>QR_LIVE.2019-09-01</v>
      </c>
    </row>
    <row r="30" spans="2:8">
      <c r="B30" t="str">
        <f ca="1"/>
        <v>couponRate</v>
      </c>
      <c r="C30" s="8">
        <f ca="1"/>
        <v>7.0000000000000007E-2</v>
      </c>
      <c r="H30" t="str">
        <f ca="1"/>
        <v>QR_LIVE.2019-08-31</v>
      </c>
    </row>
    <row r="31" spans="2:8">
      <c r="B31" t="str">
        <f ca="1"/>
        <v>dayCountFraction</v>
      </c>
      <c r="C31" t="str">
        <f ca="1"/>
        <v>ACT/ACT.ISDA</v>
      </c>
      <c r="H31" t="str">
        <f ca="1"/>
        <v>QR_LIVE.2019-08-30</v>
      </c>
    </row>
    <row r="32" spans="2:8">
      <c r="B32" t="str">
        <f ca="1"/>
        <v>paymentFrequency</v>
      </c>
      <c r="C32" t="str">
        <f ca="1"/>
        <v>6M</v>
      </c>
      <c r="E32" t="str">
        <f t="array" ref="E32:F55">_xll.HLV5r3.Financial.Cache.ShowValuationReports(E9:F10,E5)</f>
        <v>ValuationReport.Var_Run_20170531.SpreadSheet.futureTransaction.testtrade_001.QR_LIVE.2018-02-23</v>
      </c>
      <c r="F32" s="120">
        <v>0</v>
      </c>
      <c r="H32" t="str">
        <f ca="1"/>
        <v>QR_LIVE.2019-08-29</v>
      </c>
    </row>
    <row r="33" spans="2:8">
      <c r="B33" t="str">
        <f ca="1"/>
        <v>party1</v>
      </c>
      <c r="C33" t="str">
        <f ca="1"/>
        <v>CBA</v>
      </c>
      <c r="E33" t="str">
        <v>ValuationReport.Var_Run_20170531.SpreadSheet.futureTransaction.testtrade_001.QR_LIVE.2018-02-22</v>
      </c>
      <c r="F33" s="120">
        <v>0</v>
      </c>
      <c r="H33" t="str">
        <f ca="1"/>
        <v>QR_LIVE.2019-08-28</v>
      </c>
    </row>
    <row r="34" spans="2:8">
      <c r="B34" t="str">
        <f ca="1"/>
        <v>party2</v>
      </c>
      <c r="C34" t="str">
        <f ca="1"/>
        <v>NAB</v>
      </c>
      <c r="E34" t="str">
        <v>ValuationReport.Var_Run_20170531.SpreadSheet.bondTransaction.testtrade_002.QR_LIVE.2018-02-19</v>
      </c>
      <c r="F34" s="120">
        <v>111644767.66734304</v>
      </c>
    </row>
    <row r="35" spans="2:8">
      <c r="B35" t="str">
        <f ca="1"/>
        <v>description</v>
      </c>
      <c r="C35" t="str">
        <f ca="1"/>
        <v>WATC 7 10/15/19</v>
      </c>
      <c r="E35" t="str">
        <v>ValuationReport.Var_Run_20170531.SpreadSheet.bondTransaction.testtrade_002.QR_LIVE.2018-02-20</v>
      </c>
      <c r="F35" s="120">
        <v>111709224.27935375</v>
      </c>
    </row>
    <row r="36" spans="2:8">
      <c r="B36" t="e">
        <f ca="1"/>
        <v>#N/A</v>
      </c>
      <c r="C36" t="e">
        <f ca="1"/>
        <v>#N/A</v>
      </c>
      <c r="E36" t="str">
        <v>ValuationReport.Var_Run_20170531.SpreadSheet.bondTransaction.testtrade_002.QR_LIVE.2018-02-21</v>
      </c>
      <c r="F36" s="120">
        <v>111868041.82686561</v>
      </c>
    </row>
    <row r="37" spans="2:8">
      <c r="B37" t="e">
        <f ca="1"/>
        <v>#N/A</v>
      </c>
      <c r="C37" t="e">
        <f ca="1"/>
        <v>#N/A</v>
      </c>
      <c r="E37" t="str">
        <v>ValuationReport.Var_Run_20170531.SpreadSheet.futureTransaction.testtrade_001.QR_LIVE.2018-02-21</v>
      </c>
      <c r="F37" s="120">
        <v>0</v>
      </c>
    </row>
    <row r="38" spans="2:8">
      <c r="B38" t="e">
        <f ca="1"/>
        <v>#N/A</v>
      </c>
      <c r="C38" t="e">
        <f ca="1"/>
        <v>#N/A</v>
      </c>
      <c r="E38" t="str">
        <v>ValuationReport.Var_Run_20170531.SpreadSheet.futureTransaction.testtrade_001.QR_LIVE.2018-02-20</v>
      </c>
      <c r="F38" s="120">
        <v>0</v>
      </c>
    </row>
    <row r="39" spans="2:8">
      <c r="B39" t="e">
        <f ca="1"/>
        <v>#N/A</v>
      </c>
      <c r="C39" t="e">
        <f ca="1"/>
        <v>#N/A</v>
      </c>
      <c r="E39" t="str">
        <v>ValuationReport.Var_Run_20170531.SpreadSheet.futureTransaction.testtrade_001.QR_LIVE.2018-02-19</v>
      </c>
      <c r="F39" s="120">
        <v>0</v>
      </c>
    </row>
    <row r="40" spans="2:8">
      <c r="B40" t="e">
        <f ca="1"/>
        <v>#N/A</v>
      </c>
      <c r="C40" t="e">
        <f ca="1"/>
        <v>#N/A</v>
      </c>
      <c r="E40" t="str">
        <v>ValuationReport.Var_Run_20170531.SpreadSheet.futureTransaction.testtrade_002.QR_LIVE.2018-02-23</v>
      </c>
      <c r="F40" s="120">
        <v>0</v>
      </c>
    </row>
    <row r="41" spans="2:8">
      <c r="B41" t="e">
        <f ca="1"/>
        <v>#N/A</v>
      </c>
      <c r="C41" t="e">
        <f ca="1"/>
        <v>#N/A</v>
      </c>
      <c r="E41" t="str">
        <v>ValuationReport.Var_Run_20170531.SpreadSheet.futureTransaction.testtrade_002.QR_LIVE.2018-02-22</v>
      </c>
      <c r="F41" s="120">
        <v>0</v>
      </c>
    </row>
    <row r="42" spans="2:8">
      <c r="B42" t="e">
        <f ca="1"/>
        <v>#N/A</v>
      </c>
      <c r="C42" t="e">
        <f ca="1"/>
        <v>#N/A</v>
      </c>
      <c r="E42" t="str">
        <v>ValuationReport.Var_Run_20170531.SpreadSheet.futureTransaction.testtrade_002.QR_LIVE.2018-02-21</v>
      </c>
      <c r="F42" s="120">
        <v>0</v>
      </c>
    </row>
    <row r="43" spans="2:8">
      <c r="B43" t="e">
        <f ca="1"/>
        <v>#N/A</v>
      </c>
      <c r="C43" t="e">
        <f ca="1"/>
        <v>#N/A</v>
      </c>
      <c r="E43" t="str">
        <v>ValuationReport.Var_Run_20170531.SpreadSheet.futureTransaction.testtrade_002.QR_LIVE.2018-02-20</v>
      </c>
      <c r="F43" s="120">
        <v>0</v>
      </c>
    </row>
    <row r="44" spans="2:8">
      <c r="B44" t="e">
        <f ca="1"/>
        <v>#N/A</v>
      </c>
      <c r="C44" t="e">
        <f ca="1"/>
        <v>#N/A</v>
      </c>
      <c r="E44" t="str">
        <v>ValuationReport.Var_Run_20170531.SpreadSheet.futureTransaction.testtrade_002.QR_LIVE.2018-02-19</v>
      </c>
      <c r="F44" s="120">
        <v>0</v>
      </c>
    </row>
    <row r="45" spans="2:8">
      <c r="B45" t="e">
        <f ca="1"/>
        <v>#N/A</v>
      </c>
      <c r="C45" t="e">
        <f ca="1"/>
        <v>#N/A</v>
      </c>
      <c r="E45" t="str">
        <v>ValuationReport.Var_Run_20170531.SpreadSheet.bondTransaction.testtrade_002.QR_LIVE.2018-02-22</v>
      </c>
      <c r="F45" s="120">
        <v>88215245.375233606</v>
      </c>
    </row>
    <row r="46" spans="2:8">
      <c r="E46" t="str">
        <v>ValuationReport.Var_Run_20170531.SpreadSheet.bondTransaction.testtrade_002.QR_LIVE.2018-02-23</v>
      </c>
      <c r="F46" s="120">
        <v>86914292.951297566</v>
      </c>
    </row>
    <row r="47" spans="2:8">
      <c r="E47" t="e">
        <v>#N/A</v>
      </c>
      <c r="F47" s="120" t="e">
        <v>#N/A</v>
      </c>
    </row>
    <row r="48" spans="2:8">
      <c r="E48" t="e">
        <v>#N/A</v>
      </c>
      <c r="F48" s="120" t="e">
        <v>#N/A</v>
      </c>
    </row>
    <row r="49" spans="5:6">
      <c r="E49" t="e">
        <v>#N/A</v>
      </c>
      <c r="F49" s="120" t="e">
        <v>#N/A</v>
      </c>
    </row>
    <row r="50" spans="5:6">
      <c r="E50" t="e">
        <v>#N/A</v>
      </c>
      <c r="F50" s="120" t="e">
        <v>#N/A</v>
      </c>
    </row>
    <row r="51" spans="5:6">
      <c r="E51" t="e">
        <v>#N/A</v>
      </c>
      <c r="F51" s="120" t="e">
        <v>#N/A</v>
      </c>
    </row>
    <row r="52" spans="5:6">
      <c r="E52" t="e">
        <v>#N/A</v>
      </c>
      <c r="F52" s="120" t="e">
        <v>#N/A</v>
      </c>
    </row>
    <row r="53" spans="5:6">
      <c r="E53" t="e">
        <v>#N/A</v>
      </c>
      <c r="F53" s="120" t="e">
        <v>#N/A</v>
      </c>
    </row>
    <row r="54" spans="5:6">
      <c r="E54" t="e">
        <v>#N/A</v>
      </c>
      <c r="F54" s="120" t="e">
        <v>#N/A</v>
      </c>
    </row>
    <row r="55" spans="5:6">
      <c r="E55" t="e">
        <v>#N/A</v>
      </c>
      <c r="F55" s="120" t="e">
        <v>#N/A</v>
      </c>
    </row>
  </sheetData>
  <dataValidations count="1">
    <dataValidation type="list" allowBlank="1" showInputMessage="1" showErrorMessage="1" sqref="E26" xr:uid="{00000000-0002-0000-0600-000000000000}">
      <formula1>$E$32:$E$37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topLeftCell="I1" workbookViewId="0">
      <selection activeCell="P8" sqref="P8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13.42578125" bestFit="1" customWidth="1"/>
    <col min="10" max="10" width="27.7109375" bestFit="1" customWidth="1"/>
    <col min="11" max="11" width="35.42578125" bestFit="1" customWidth="1"/>
    <col min="12" max="12" width="7.85546875" bestFit="1" customWidth="1"/>
    <col min="13" max="13" width="10" bestFit="1" customWidth="1"/>
    <col min="14" max="14" width="14" bestFit="1" customWidth="1"/>
    <col min="16" max="16" width="52.85546875" bestFit="1" customWidth="1"/>
    <col min="17" max="17" width="14" bestFit="1" customWidth="1"/>
    <col min="18" max="18" width="16.42578125" bestFit="1" customWidth="1"/>
    <col min="19" max="19" width="12" bestFit="1" customWidth="1"/>
    <col min="20" max="20" width="11.28515625" bestFit="1" customWidth="1"/>
  </cols>
  <sheetData>
    <row r="1" spans="1:20" ht="39" customHeight="1">
      <c r="A1" s="129" t="s">
        <v>145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16"/>
    </row>
    <row r="2" spans="1:20">
      <c r="J2" s="46" t="s">
        <v>26</v>
      </c>
      <c r="K2" s="49" t="str">
        <f>'BondCurve-BondForward'!C6</f>
        <v>QR_LIVE</v>
      </c>
      <c r="P2" s="6" t="s">
        <v>23</v>
      </c>
    </row>
    <row r="3" spans="1:20">
      <c r="J3" s="47" t="s">
        <v>64</v>
      </c>
      <c r="K3" s="50">
        <f ca="1">TODAY()</f>
        <v>43710</v>
      </c>
      <c r="P3" s="6" t="s">
        <v>21</v>
      </c>
    </row>
    <row r="4" spans="1:20">
      <c r="J4" s="47" t="s">
        <v>40</v>
      </c>
      <c r="K4" s="50" t="s">
        <v>0</v>
      </c>
      <c r="P4" s="58" t="s">
        <v>65</v>
      </c>
    </row>
    <row r="5" spans="1:20">
      <c r="J5" s="48" t="s">
        <v>68</v>
      </c>
      <c r="K5" s="52" t="str">
        <f>B7</f>
        <v>CBA</v>
      </c>
      <c r="P5" s="58" t="s">
        <v>70</v>
      </c>
    </row>
    <row r="6" spans="1:20">
      <c r="A6" s="43" t="s">
        <v>9</v>
      </c>
      <c r="B6" s="55" t="s">
        <v>6</v>
      </c>
      <c r="C6" s="55" t="s">
        <v>5</v>
      </c>
      <c r="D6" s="55" t="s">
        <v>66</v>
      </c>
      <c r="E6" s="56" t="s">
        <v>28</v>
      </c>
      <c r="F6" s="43" t="s">
        <v>4</v>
      </c>
      <c r="G6" s="43" t="s">
        <v>74</v>
      </c>
      <c r="H6" s="43" t="s">
        <v>141</v>
      </c>
      <c r="I6" s="43" t="s">
        <v>3</v>
      </c>
      <c r="J6" s="43" t="s">
        <v>24</v>
      </c>
      <c r="K6" s="44" t="s">
        <v>53</v>
      </c>
      <c r="L6" s="45" t="s">
        <v>14</v>
      </c>
      <c r="M6" s="45" t="s">
        <v>15</v>
      </c>
      <c r="N6" s="45" t="s">
        <v>23</v>
      </c>
      <c r="O6" s="45" t="s">
        <v>16</v>
      </c>
      <c r="P6" s="1" t="s">
        <v>54</v>
      </c>
      <c r="Q6" s="54" t="s">
        <v>23</v>
      </c>
      <c r="R6" s="54" t="s">
        <v>21</v>
      </c>
      <c r="S6" s="54" t="s">
        <v>65</v>
      </c>
      <c r="T6" s="59" t="s">
        <v>69</v>
      </c>
    </row>
    <row r="7" spans="1:20">
      <c r="A7" s="4" t="s">
        <v>10</v>
      </c>
      <c r="B7" t="s">
        <v>7</v>
      </c>
      <c r="C7" t="s">
        <v>1</v>
      </c>
      <c r="D7" t="b">
        <v>1</v>
      </c>
      <c r="E7" s="51" t="s">
        <v>29</v>
      </c>
      <c r="F7" s="2">
        <f ca="1">TODAY()-20</f>
        <v>43690</v>
      </c>
      <c r="G7" s="2">
        <f ca="1">F7+3</f>
        <v>43693</v>
      </c>
      <c r="H7" s="2" t="s">
        <v>142</v>
      </c>
      <c r="I7" s="3">
        <v>100000</v>
      </c>
      <c r="J7" t="s">
        <v>49</v>
      </c>
      <c r="K7" t="str">
        <f ca="1">_xll.HLV5r3.Financial.Cache.CreateBondTrade(A7,D7,B7,C7,E7,F7,G7,I7,$L$6:$O$6,L7:O7,J7,H7)</f>
        <v>Trade.SpreadSheet.bondTransaction.001</v>
      </c>
      <c r="L7">
        <v>1</v>
      </c>
      <c r="M7">
        <v>100</v>
      </c>
      <c r="N7" s="37">
        <v>2.46E-2</v>
      </c>
      <c r="O7">
        <v>101</v>
      </c>
      <c r="P7" t="str">
        <f ca="1">_xll.HLV5r3.Financial.Cache.ValueTradeFromMarket(K7,$K$5,Metrics,Currency,$K$2,$K$3)</f>
        <v>ValuationReport.LOCAL_USER.SpreadSheet.bondTransaction.001.QR_LIVE</v>
      </c>
      <c r="Q7" t="str">
        <f t="array" aca="1" ref="Q7:T8" ca="1">TRANSPOSE(_xll.HLV5r3.Financial.Cache.ViewValuationReport(P7))</f>
        <v>YieldToMaturity</v>
      </c>
      <c r="R7" t="str">
        <f ca="1"/>
        <v>AssetSwapSpread</v>
      </c>
      <c r="S7" t="str">
        <f ca="1"/>
        <v>NPV</v>
      </c>
      <c r="T7" t="str">
        <f ca="1"/>
        <v>PandL</v>
      </c>
    </row>
    <row r="8" spans="1:20">
      <c r="Q8" s="37">
        <f ca="1"/>
        <v>1</v>
      </c>
      <c r="R8" s="37">
        <f ca="1"/>
        <v>0.11900111569850146</v>
      </c>
      <c r="S8" s="57">
        <f ca="1"/>
        <v>96985.222627684518</v>
      </c>
      <c r="T8" s="57">
        <f ca="1"/>
        <v>95143.079075616901</v>
      </c>
    </row>
    <row r="9" spans="1:20">
      <c r="A9" s="4" t="s">
        <v>55</v>
      </c>
      <c r="B9" t="s">
        <v>7</v>
      </c>
      <c r="C9" t="s">
        <v>1</v>
      </c>
      <c r="D9" t="b">
        <v>1</v>
      </c>
      <c r="E9" s="51" t="s">
        <v>29</v>
      </c>
      <c r="F9" s="2">
        <f ca="1">F7+2</f>
        <v>43692</v>
      </c>
      <c r="G9" s="2">
        <f ca="1">F9+3</f>
        <v>43695</v>
      </c>
      <c r="H9" s="2" t="s">
        <v>142</v>
      </c>
      <c r="I9" s="3">
        <v>200000</v>
      </c>
      <c r="J9" t="s">
        <v>49</v>
      </c>
      <c r="K9" t="str">
        <f ca="1">_xll.HLV5r3.Financial.Cache.CreateBondTrade(A9,D9,B9,C9,E9,F9,G9,I9,$L$6:$O$6,L9:O9,J9,H9)</f>
        <v>Trade.SpreadSheet.bondTransaction.002</v>
      </c>
      <c r="L9">
        <v>1</v>
      </c>
      <c r="M9">
        <v>100</v>
      </c>
      <c r="N9" s="37">
        <v>2.46E-2</v>
      </c>
      <c r="O9">
        <v>101</v>
      </c>
      <c r="P9" t="str">
        <f ca="1">_xll.HLV5r3.Financial.Cache.ValueTradeFromMarket(K9,$K$5,Metrics,Currency,$K$2,$K$3)</f>
        <v>ValuationReport.LOCAL_USER.SpreadSheet.bondTransaction.002.QR_LIVE</v>
      </c>
      <c r="Q9" t="str">
        <f t="array" aca="1" ref="Q9:T10" ca="1">TRANSPOSE(_xll.HLV5r3.Financial.Cache.ViewValuationReport(P9))</f>
        <v>YieldToMaturity</v>
      </c>
      <c r="R9" t="str">
        <f ca="1"/>
        <v>AssetSwapSpread</v>
      </c>
      <c r="S9" t="str">
        <f ca="1"/>
        <v>NPV</v>
      </c>
      <c r="T9" t="str">
        <f ca="1"/>
        <v>PandL</v>
      </c>
    </row>
    <row r="10" spans="1:20">
      <c r="A10" s="4"/>
      <c r="B10" s="4"/>
      <c r="C10" s="4"/>
      <c r="F10" s="2"/>
      <c r="G10" s="2"/>
      <c r="H10" s="2"/>
      <c r="I10" s="3"/>
      <c r="N10" s="7"/>
      <c r="Q10" s="37">
        <f ca="1"/>
        <v>1</v>
      </c>
      <c r="R10" s="37">
        <f ca="1"/>
        <v>0.10148825950699564</v>
      </c>
      <c r="S10" s="57">
        <f ca="1"/>
        <v>195706.70285321036</v>
      </c>
      <c r="T10" s="57">
        <f ca="1"/>
        <v>191989.4371606682</v>
      </c>
    </row>
    <row r="11" spans="1:20">
      <c r="A11" s="4" t="s">
        <v>56</v>
      </c>
      <c r="B11" t="s">
        <v>7</v>
      </c>
      <c r="C11" t="s">
        <v>1</v>
      </c>
      <c r="D11" t="b">
        <v>1</v>
      </c>
      <c r="E11" s="51" t="s">
        <v>29</v>
      </c>
      <c r="F11" s="2">
        <f ca="1">F9+2</f>
        <v>43694</v>
      </c>
      <c r="G11" s="2">
        <f ca="1">F11+3</f>
        <v>43697</v>
      </c>
      <c r="H11" s="2" t="s">
        <v>142</v>
      </c>
      <c r="I11" s="3">
        <v>300000</v>
      </c>
      <c r="J11" t="s">
        <v>49</v>
      </c>
      <c r="K11" t="str">
        <f ca="1">_xll.HLV5r3.Financial.Cache.CreateBondTrade(A11,D11,B11,C11,E11,F11,G11,I11,$L$6:$O$6,L11:O11,J11,H11)</f>
        <v>Trade.SpreadSheet.bondTransaction.003</v>
      </c>
      <c r="L11">
        <v>1</v>
      </c>
      <c r="M11">
        <v>100</v>
      </c>
      <c r="N11" s="37">
        <v>2.46E-2</v>
      </c>
      <c r="O11">
        <v>101</v>
      </c>
      <c r="P11" t="str">
        <f ca="1">_xll.HLV5r3.Financial.Cache.ValueTradeFromMarket(K11,$K$5,Metrics,Currency,$K$2,$K$3)</f>
        <v>ValuationReport.LOCAL_USER.SpreadSheet.bondTransaction.003.QR_LIVE</v>
      </c>
      <c r="Q11" t="str">
        <f t="array" aca="1" ref="Q11:T12" ca="1">TRANSPOSE(_xll.HLV5r3.Financial.Cache.ViewValuationReport(P11))</f>
        <v>YieldToMaturity</v>
      </c>
      <c r="R11" t="str">
        <f ca="1"/>
        <v>AssetSwapSpread</v>
      </c>
      <c r="S11" t="str">
        <f ca="1"/>
        <v>NPV</v>
      </c>
      <c r="T11" t="str">
        <f ca="1"/>
        <v>PandL</v>
      </c>
    </row>
    <row r="12" spans="1:20">
      <c r="A12" s="4"/>
      <c r="B12" s="4"/>
      <c r="C12" s="4"/>
      <c r="F12" s="2"/>
      <c r="G12" s="2"/>
      <c r="H12" s="2"/>
      <c r="I12" s="3"/>
      <c r="N12" s="7"/>
      <c r="Q12" s="37">
        <f ca="1"/>
        <v>1</v>
      </c>
      <c r="R12" s="37">
        <f ca="1"/>
        <v>9.7085606289113002E-2</v>
      </c>
      <c r="S12" s="57">
        <f ca="1"/>
        <v>294214.78529712814</v>
      </c>
      <c r="T12" s="57">
        <f ca="1"/>
        <v>288626.45075529092</v>
      </c>
    </row>
    <row r="13" spans="1:20">
      <c r="A13" s="4" t="s">
        <v>57</v>
      </c>
      <c r="B13" t="s">
        <v>7</v>
      </c>
      <c r="C13" t="s">
        <v>1</v>
      </c>
      <c r="D13" t="b">
        <v>0</v>
      </c>
      <c r="E13" s="51" t="s">
        <v>29</v>
      </c>
      <c r="F13" s="2">
        <f ca="1">F11+2</f>
        <v>43696</v>
      </c>
      <c r="G13" s="2">
        <f ca="1">F13+3</f>
        <v>43699</v>
      </c>
      <c r="H13" s="2" t="s">
        <v>142</v>
      </c>
      <c r="I13" s="3">
        <v>400000</v>
      </c>
      <c r="J13" t="s">
        <v>49</v>
      </c>
      <c r="K13" t="str">
        <f ca="1">_xll.HLV5r3.Financial.Cache.CreateBondTrade(A13,D13,B13,C13,E13,F13,G13,I13,$L$6:$O$6,L13:O13,J13,H13)</f>
        <v>Trade.SpreadSheet.bondTransaction.004</v>
      </c>
      <c r="L13">
        <v>1</v>
      </c>
      <c r="M13">
        <v>100</v>
      </c>
      <c r="N13" s="37">
        <v>2.46E-2</v>
      </c>
      <c r="O13">
        <v>101</v>
      </c>
      <c r="P13" t="str">
        <f ca="1">_xll.HLV5r3.Financial.Cache.ValueTradeFromMarket(K13,$K$5,Metrics,Currency,$K$2,$K$3)</f>
        <v>ValuationReport.LOCAL_USER.SpreadSheet.bondTransaction.004.QR_LIVE</v>
      </c>
      <c r="Q13" t="str">
        <f t="array" aca="1" ref="Q13:T14" ca="1">TRANSPOSE(_xll.HLV5r3.Financial.Cache.ViewValuationReport(P13))</f>
        <v>YieldToMaturity</v>
      </c>
      <c r="R13" t="str">
        <f ca="1"/>
        <v>AssetSwapSpread</v>
      </c>
      <c r="S13" t="str">
        <f ca="1"/>
        <v>NPV</v>
      </c>
      <c r="T13" t="str">
        <f ca="1"/>
        <v>PandL</v>
      </c>
    </row>
    <row r="14" spans="1:20">
      <c r="A14" s="4"/>
      <c r="B14" s="4"/>
      <c r="C14" s="4"/>
      <c r="F14" s="2"/>
      <c r="G14" s="2"/>
      <c r="H14" s="2"/>
      <c r="I14" s="3"/>
      <c r="N14" s="7"/>
      <c r="Q14" s="37">
        <f ca="1"/>
        <v>1</v>
      </c>
      <c r="R14" s="37">
        <f ca="1"/>
        <v>4.7326866226654399E-2</v>
      </c>
      <c r="S14" s="57">
        <f ca="1"/>
        <v>-393161.30209335039</v>
      </c>
      <c r="T14" s="57">
        <f ca="1"/>
        <v>-385693.57105195121</v>
      </c>
    </row>
    <row r="15" spans="1:20">
      <c r="A15" s="4" t="s">
        <v>58</v>
      </c>
      <c r="B15" t="s">
        <v>7</v>
      </c>
      <c r="C15" t="s">
        <v>1</v>
      </c>
      <c r="D15" t="b">
        <v>0</v>
      </c>
      <c r="E15" s="51" t="s">
        <v>29</v>
      </c>
      <c r="F15" s="2">
        <f ca="1">F13+2</f>
        <v>43698</v>
      </c>
      <c r="G15" s="2">
        <f ca="1">F15+3</f>
        <v>43701</v>
      </c>
      <c r="H15" s="2" t="s">
        <v>142</v>
      </c>
      <c r="I15" s="3">
        <v>500000</v>
      </c>
      <c r="J15" t="s">
        <v>49</v>
      </c>
      <c r="K15" t="str">
        <f ca="1">_xll.HLV5r3.Financial.Cache.CreateBondTrade(A15,D15,B15,C15,E15,F15,G15,I15,$L$6:$O$6,L15:O15,J15,H15)</f>
        <v>Trade.SpreadSheet.bondTransaction.005</v>
      </c>
      <c r="L15">
        <v>1</v>
      </c>
      <c r="M15">
        <v>100</v>
      </c>
      <c r="N15" s="37">
        <v>2.46E-2</v>
      </c>
      <c r="O15">
        <v>101</v>
      </c>
      <c r="P15" t="str">
        <f ca="1">_xll.HLV5r3.Financial.Cache.ValueTradeFromMarket(K15,$K$5,Metrics,Currency,$K$2,$K$3)</f>
        <v>ValuationReport.LOCAL_USER.SpreadSheet.bondTransaction.005.QR_LIVE</v>
      </c>
      <c r="Q15" t="str">
        <f t="array" aca="1" ref="Q15:T16" ca="1">TRANSPOSE(_xll.HLV5r3.Financial.Cache.ViewValuationReport(P15))</f>
        <v>YieldToMaturity</v>
      </c>
      <c r="R15" t="str">
        <f ca="1"/>
        <v>AssetSwapSpread</v>
      </c>
      <c r="S15" t="str">
        <f ca="1"/>
        <v>NPV</v>
      </c>
      <c r="T15" t="str">
        <f ca="1"/>
        <v>PandL</v>
      </c>
    </row>
    <row r="16" spans="1:20">
      <c r="A16" s="4"/>
      <c r="B16" s="4"/>
      <c r="C16" s="4"/>
      <c r="F16" s="2"/>
      <c r="G16" s="2"/>
      <c r="H16" s="2"/>
      <c r="I16" s="3"/>
      <c r="Q16" s="37">
        <f ca="1"/>
        <v>1</v>
      </c>
      <c r="R16" s="37">
        <f ca="1"/>
        <v>5.6181356801150772E-2</v>
      </c>
      <c r="S16" s="57">
        <f ca="1"/>
        <v>-493646.25486179156</v>
      </c>
      <c r="T16" s="57">
        <f ca="1"/>
        <v>-484269.90616909502</v>
      </c>
    </row>
    <row r="17" spans="1:20">
      <c r="A17" s="4" t="s">
        <v>59</v>
      </c>
      <c r="B17" t="s">
        <v>7</v>
      </c>
      <c r="C17" t="s">
        <v>67</v>
      </c>
      <c r="D17" t="b">
        <v>1</v>
      </c>
      <c r="E17" s="51" t="s">
        <v>29</v>
      </c>
      <c r="F17" s="2">
        <f ca="1">F15+2</f>
        <v>43700</v>
      </c>
      <c r="G17" s="2">
        <f ca="1">F17+3</f>
        <v>43703</v>
      </c>
      <c r="H17" s="2" t="s">
        <v>142</v>
      </c>
      <c r="I17" s="3">
        <v>600000</v>
      </c>
      <c r="J17" t="s">
        <v>49</v>
      </c>
      <c r="K17" t="str">
        <f ca="1">_xll.HLV5r3.Financial.Cache.CreateBondTrade(A17,D17,B17,C17,E17,F17,G17,I17,$L$6:$O$6,L17:O17,J17,H17)</f>
        <v>Trade.SpreadSheet.bondTransaction.006</v>
      </c>
      <c r="L17">
        <v>1</v>
      </c>
      <c r="M17">
        <v>100</v>
      </c>
      <c r="N17" s="37">
        <v>2.46E-2</v>
      </c>
      <c r="O17">
        <v>101</v>
      </c>
      <c r="P17" t="str">
        <f ca="1">_xll.HLV5r3.Financial.Cache.ValueTradeFromMarket(K17,$K$5,Metrics,Currency,$K$2,$K$3)</f>
        <v>ValuationReport.LOCAL_USER.SpreadSheet.bondTransaction.006.QR_LIVE</v>
      </c>
      <c r="Q17" t="str">
        <f t="array" aca="1" ref="Q17:T18" ca="1">TRANSPOSE(_xll.HLV5r3.Financial.Cache.ViewValuationReport(P17))</f>
        <v>YieldToMaturity</v>
      </c>
      <c r="R17" t="str">
        <f ca="1"/>
        <v>AssetSwapSpread</v>
      </c>
      <c r="S17" t="str">
        <f ca="1"/>
        <v>NPV</v>
      </c>
      <c r="T17" t="str">
        <f ca="1"/>
        <v>PandL</v>
      </c>
    </row>
    <row r="18" spans="1:20">
      <c r="A18" s="4"/>
      <c r="F18" s="2"/>
      <c r="G18" s="2"/>
      <c r="I18" s="3"/>
      <c r="N18" s="7"/>
      <c r="Q18" s="37">
        <f ca="1"/>
        <v>1</v>
      </c>
      <c r="R18" s="37">
        <f ca="1"/>
        <v>6.5990863591521343E-2</v>
      </c>
      <c r="S18" s="57">
        <f ca="1"/>
        <v>597677.94493215554</v>
      </c>
      <c r="T18" s="57">
        <f ca="1"/>
        <v>586325.61163189134</v>
      </c>
    </row>
    <row r="19" spans="1:20">
      <c r="A19" s="4" t="s">
        <v>60</v>
      </c>
      <c r="B19" t="s">
        <v>7</v>
      </c>
      <c r="C19" t="s">
        <v>67</v>
      </c>
      <c r="D19" t="b">
        <v>1</v>
      </c>
      <c r="E19" s="51" t="s">
        <v>29</v>
      </c>
      <c r="F19" s="2">
        <f ca="1">F17+2</f>
        <v>43702</v>
      </c>
      <c r="G19" s="2">
        <f ca="1">F19+3</f>
        <v>43705</v>
      </c>
      <c r="H19" s="2" t="s">
        <v>142</v>
      </c>
      <c r="I19" s="3">
        <v>700000</v>
      </c>
      <c r="J19" t="s">
        <v>49</v>
      </c>
      <c r="K19" t="str">
        <f ca="1">_xll.HLV5r3.Financial.Cache.CreateBondTrade(A19,D19,B19,C19,E19,F19,G19,I19,$L$6:$O$6,L19:O19,J19,H19)</f>
        <v>Trade.SpreadSheet.bondTransaction.007</v>
      </c>
      <c r="L19">
        <v>1</v>
      </c>
      <c r="M19">
        <v>100</v>
      </c>
      <c r="N19" s="37">
        <v>2.46E-2</v>
      </c>
      <c r="O19">
        <v>101</v>
      </c>
      <c r="P19" t="str">
        <f ca="1">_xll.HLV5r3.Financial.Cache.ValueTradeFromMarket(K19,$K$5,Metrics,Currency,$K$2,$K$3)</f>
        <v>ValuationReport.LOCAL_USER.SpreadSheet.bondTransaction.007.QR_LIVE</v>
      </c>
      <c r="Q19" t="str">
        <f t="array" aca="1" ref="Q19:T20" ca="1">TRANSPOSE(_xll.HLV5r3.Financial.Cache.ViewValuationReport(P19))</f>
        <v>YieldToMaturity</v>
      </c>
      <c r="R19" t="str">
        <f ca="1"/>
        <v>AssetSwapSpread</v>
      </c>
      <c r="S19" t="str">
        <f ca="1"/>
        <v>NPV</v>
      </c>
      <c r="T19" t="str">
        <f ca="1"/>
        <v>PandL</v>
      </c>
    </row>
    <row r="20" spans="1:20">
      <c r="A20" s="4"/>
      <c r="B20" s="4"/>
      <c r="C20" s="4"/>
      <c r="F20" s="2"/>
      <c r="G20" s="2"/>
      <c r="H20" s="2"/>
      <c r="I20" s="3"/>
      <c r="N20" s="7"/>
      <c r="Q20" s="37">
        <f ca="1"/>
        <v>1</v>
      </c>
      <c r="R20" s="37">
        <f ca="1"/>
        <v>6.5990863591521343E-2</v>
      </c>
      <c r="S20" s="57">
        <f ca="1"/>
        <v>697290.93575418147</v>
      </c>
      <c r="T20" s="57">
        <f ca="1"/>
        <v>684046.54690387333</v>
      </c>
    </row>
    <row r="21" spans="1:20">
      <c r="A21" s="4" t="s">
        <v>61</v>
      </c>
      <c r="B21" t="s">
        <v>7</v>
      </c>
      <c r="C21" t="s">
        <v>67</v>
      </c>
      <c r="D21" t="b">
        <v>1</v>
      </c>
      <c r="E21" s="51" t="s">
        <v>29</v>
      </c>
      <c r="F21" s="2">
        <f ca="1">F19+2</f>
        <v>43704</v>
      </c>
      <c r="G21" s="2">
        <f ca="1">F21+3</f>
        <v>43707</v>
      </c>
      <c r="H21" s="2" t="s">
        <v>142</v>
      </c>
      <c r="I21" s="3">
        <v>800000</v>
      </c>
      <c r="J21" t="s">
        <v>49</v>
      </c>
      <c r="K21" t="str">
        <f ca="1">_xll.HLV5r3.Financial.Cache.CreateBondTrade(A21,D21,B21,C21,E21,F21,G21,I21,$L$6:$O$6,L21:O21,J21,H21)</f>
        <v>Trade.SpreadSheet.bondTransaction.008</v>
      </c>
      <c r="L21">
        <v>1</v>
      </c>
      <c r="M21">
        <v>100</v>
      </c>
      <c r="N21" s="37">
        <v>2.46E-2</v>
      </c>
      <c r="O21">
        <v>101</v>
      </c>
      <c r="P21" t="str">
        <f ca="1">_xll.HLV5r3.Financial.Cache.ValueTradeFromMarket(K21,$K$5,Metrics,Currency,$K$2,$K$3)</f>
        <v>ValuationReport.LOCAL_USER.SpreadSheet.bondTransaction.008.QR_LIVE</v>
      </c>
      <c r="Q21" t="str">
        <f t="array" aca="1" ref="Q21:T22" ca="1">TRANSPOSE(_xll.HLV5r3.Financial.Cache.ViewValuationReport(P21))</f>
        <v>YieldToMaturity</v>
      </c>
      <c r="R21" t="str">
        <f ca="1"/>
        <v>AssetSwapSpread</v>
      </c>
      <c r="S21" t="str">
        <f ca="1"/>
        <v>NPV</v>
      </c>
      <c r="T21" t="str">
        <f ca="1"/>
        <v>PandL</v>
      </c>
    </row>
    <row r="22" spans="1:20">
      <c r="A22" s="4"/>
      <c r="B22" s="4"/>
      <c r="F22" s="2"/>
      <c r="G22" s="2"/>
      <c r="H22" s="2"/>
      <c r="I22" s="3"/>
      <c r="N22" s="7"/>
      <c r="Q22" s="37">
        <f ca="1"/>
        <v>1</v>
      </c>
      <c r="R22" s="37">
        <f ca="1"/>
        <v>5.7017220624783135E-2</v>
      </c>
      <c r="S22" s="57">
        <f ca="1"/>
        <v>800462.58214008308</v>
      </c>
      <c r="T22" s="57">
        <f ca="1"/>
        <v>785258.54440722719</v>
      </c>
    </row>
    <row r="23" spans="1:20">
      <c r="A23" s="4" t="s">
        <v>62</v>
      </c>
      <c r="B23" t="s">
        <v>7</v>
      </c>
      <c r="C23" t="s">
        <v>67</v>
      </c>
      <c r="D23" t="b">
        <v>0</v>
      </c>
      <c r="E23" s="51" t="s">
        <v>29</v>
      </c>
      <c r="F23" s="2">
        <f ca="1">F21+2</f>
        <v>43706</v>
      </c>
      <c r="G23" s="2">
        <f ca="1">F23+3</f>
        <v>43709</v>
      </c>
      <c r="H23" s="2" t="s">
        <v>142</v>
      </c>
      <c r="I23" s="3">
        <v>900000</v>
      </c>
      <c r="J23" t="s">
        <v>49</v>
      </c>
      <c r="K23" t="str">
        <f ca="1">_xll.HLV5r3.Financial.Cache.CreateBondTrade(A23,D23,B23,C23,E23,F23,G23,I23,$L$6:$O$6,L23:O23,J23,H23)</f>
        <v>Trade.SpreadSheet.bondTransaction.009</v>
      </c>
      <c r="L23">
        <v>1</v>
      </c>
      <c r="M23">
        <v>100</v>
      </c>
      <c r="N23" s="37">
        <v>2.46E-2</v>
      </c>
      <c r="O23">
        <v>101</v>
      </c>
      <c r="P23" t="str">
        <f ca="1">_xll.HLV5r3.Financial.Cache.ValueTradeFromMarket(K23,$K$5,Metrics,Currency,$K$2,$K$3)</f>
        <v>ValuationReport.LOCAL_USER.SpreadSheet.bondTransaction.009.QR_LIVE</v>
      </c>
      <c r="Q23" t="str">
        <f t="array" aca="1" ref="Q23:T24" ca="1">TRANSPOSE(_xll.HLV5r3.Financial.Cache.ViewValuationReport(P23))</f>
        <v>YieldToMaturity</v>
      </c>
      <c r="R23" t="str">
        <f ca="1"/>
        <v>AssetSwapSpread</v>
      </c>
      <c r="S23" t="str">
        <f ca="1"/>
        <v>NPV</v>
      </c>
      <c r="T23" t="str">
        <f ca="1"/>
        <v>PandL</v>
      </c>
    </row>
    <row r="24" spans="1:20">
      <c r="A24" s="4"/>
      <c r="B24" s="4"/>
      <c r="C24" s="4"/>
      <c r="F24" s="2"/>
      <c r="G24" s="2"/>
      <c r="H24" s="2"/>
      <c r="I24" s="3"/>
      <c r="N24" s="7"/>
      <c r="Q24" s="37">
        <f ca="1"/>
        <v>1</v>
      </c>
      <c r="R24" s="37">
        <f ca="1"/>
        <v>0.10105046240451337</v>
      </c>
      <c r="S24" s="57">
        <f ca="1"/>
        <v>-908581.09370466077</v>
      </c>
      <c r="T24" s="57">
        <f ca="1"/>
        <v>-891323.44601410627</v>
      </c>
    </row>
    <row r="25" spans="1:20">
      <c r="A25" s="4" t="s">
        <v>63</v>
      </c>
      <c r="B25" t="s">
        <v>7</v>
      </c>
      <c r="C25" t="s">
        <v>67</v>
      </c>
      <c r="D25" t="b">
        <v>0</v>
      </c>
      <c r="E25" s="51" t="s">
        <v>29</v>
      </c>
      <c r="F25" s="2">
        <f t="shared" ref="F25" ca="1" si="0">F23+2</f>
        <v>43708</v>
      </c>
      <c r="G25" s="2">
        <f ca="1">F25+3</f>
        <v>43711</v>
      </c>
      <c r="H25" s="2" t="s">
        <v>142</v>
      </c>
      <c r="I25" s="3">
        <v>1000000</v>
      </c>
      <c r="J25" t="s">
        <v>49</v>
      </c>
      <c r="K25" t="str">
        <f ca="1">_xll.HLV5r3.Financial.Cache.CreateBondTrade(A25,D25,B25,C25,E25,F25,G25,I25,$L$6:$O$6,L25:O25,J25,H25)</f>
        <v>Trade.SpreadSheet.bondTransaction.010</v>
      </c>
      <c r="L25">
        <v>1</v>
      </c>
      <c r="M25">
        <v>100</v>
      </c>
      <c r="N25" s="37">
        <v>2.46E-2</v>
      </c>
      <c r="O25">
        <v>101</v>
      </c>
      <c r="P25" t="str">
        <f ca="1">_xll.HLV5r3.Financial.Cache.ValueTradeFromMarket(K25,$K$5,Metrics,Currency,$K$2,$K$3)</f>
        <v>ValuationReport.LOCAL_USER.SpreadSheet.bondTransaction.010.QR_LIVE</v>
      </c>
      <c r="Q25" t="str">
        <f t="array" aca="1" ref="Q25:T26" ca="1">TRANSPOSE(_xll.HLV5r3.Financial.Cache.ViewValuationReport(P25))</f>
        <v>YieldToMaturity</v>
      </c>
      <c r="R25" t="str">
        <f ca="1"/>
        <v>AssetSwapSpread</v>
      </c>
      <c r="S25" t="str">
        <f ca="1"/>
        <v>NPV</v>
      </c>
      <c r="T25" t="str">
        <f ca="1"/>
        <v>PandL</v>
      </c>
    </row>
    <row r="26" spans="1:20">
      <c r="Q26" s="37">
        <f ca="1"/>
        <v>0.47283841719948799</v>
      </c>
      <c r="R26" s="37">
        <f ca="1"/>
        <v>0.17832535650914855</v>
      </c>
      <c r="S26" s="57">
        <f ca="1"/>
        <v>-1047840.4423979232</v>
      </c>
      <c r="T26" s="57">
        <f ca="1"/>
        <v>-1027937.69368775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AUDDiscountCurve</vt:lpstr>
      <vt:lpstr>BondDiscountCurve</vt:lpstr>
      <vt:lpstr>BondCurve-BondForward</vt:lpstr>
      <vt:lpstr>BondCurve-Repo</vt:lpstr>
      <vt:lpstr>BondSpreadCurve-RepoSpread</vt:lpstr>
      <vt:lpstr>BondTransaction</vt:lpstr>
      <vt:lpstr>BondTransaction (2)</vt:lpstr>
      <vt:lpstr>BondTransactions</vt:lpstr>
      <vt:lpstr>Currency</vt:lpstr>
      <vt:lpstr>AUDDiscountCurve!HLInstruments</vt:lpstr>
      <vt:lpstr>Market</vt:lpstr>
      <vt:lpstr>Market1</vt:lpstr>
      <vt:lpstr>Market2</vt:lpstr>
      <vt:lpstr>Market3</vt:lpstr>
      <vt:lpstr>Market4</vt:lpstr>
      <vt:lpstr>Market5</vt:lpstr>
      <vt:lpstr>Markets</vt:lpstr>
      <vt:lpstr>Metrics</vt:lpstr>
      <vt:lpstr>AUDDiscountCurve!Rates</vt:lpstr>
      <vt:lpstr>AUDDiscountCurve!Spreads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2019-09-02T03:22:48Z</dcterms:modified>
</cp:coreProperties>
</file>