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ФМ Банк" sheetId="2" r:id="rId1"/>
    <sheet name="Доходы" sheetId="1" r:id="rId2"/>
  </sheets>
  <calcPr calcId="152511"/>
</workbook>
</file>

<file path=xl/calcChain.xml><?xml version="1.0" encoding="utf-8"?>
<calcChain xmlns="http://schemas.openxmlformats.org/spreadsheetml/2006/main">
  <c r="D41" i="2" l="1"/>
  <c r="E41" i="2"/>
  <c r="F41" i="2"/>
  <c r="G41" i="2"/>
  <c r="C41" i="2"/>
  <c r="G39" i="2"/>
  <c r="F39" i="2"/>
  <c r="E39" i="2"/>
  <c r="D39" i="2"/>
  <c r="C39" i="2"/>
  <c r="D32" i="2"/>
  <c r="E32" i="2"/>
  <c r="F32" i="2"/>
  <c r="G32" i="2"/>
  <c r="C32" i="2"/>
  <c r="G38" i="2"/>
  <c r="G35" i="2"/>
  <c r="G29" i="2"/>
  <c r="G30" i="2"/>
  <c r="G31" i="2"/>
  <c r="G28" i="2"/>
  <c r="F35" i="2"/>
  <c r="E35" i="2"/>
  <c r="D35" i="2"/>
  <c r="F38" i="2"/>
  <c r="E37" i="2"/>
  <c r="C35" i="2"/>
  <c r="F34" i="2"/>
  <c r="D34" i="2"/>
  <c r="D36" i="2" s="1"/>
  <c r="E34" i="2"/>
  <c r="F37" i="2" s="1"/>
  <c r="C34" i="2"/>
  <c r="F28" i="2"/>
  <c r="F31" i="2"/>
  <c r="F30" i="2"/>
  <c r="F29" i="2"/>
  <c r="E29" i="2"/>
  <c r="E28" i="2"/>
  <c r="D28" i="2"/>
  <c r="E30" i="2"/>
  <c r="D29" i="2"/>
  <c r="C28" i="2"/>
  <c r="D24" i="2"/>
  <c r="E24" i="2" s="1"/>
  <c r="F24" i="2" s="1"/>
  <c r="C24" i="2"/>
  <c r="B24" i="2"/>
  <c r="G14" i="2"/>
  <c r="D14" i="2"/>
  <c r="E14" i="2"/>
  <c r="F14" i="2"/>
  <c r="C14" i="2"/>
  <c r="D27" i="2"/>
  <c r="E27" i="2"/>
  <c r="F27" i="2"/>
  <c r="C27" i="2"/>
  <c r="G13" i="2"/>
  <c r="C9" i="2"/>
  <c r="C10" i="2" s="1"/>
  <c r="F13" i="1"/>
  <c r="E13" i="1"/>
  <c r="D13" i="1"/>
  <c r="C13" i="1"/>
  <c r="D9" i="1"/>
  <c r="D11" i="1" s="1"/>
  <c r="E9" i="1"/>
  <c r="E11" i="1" s="1"/>
  <c r="F9" i="1"/>
  <c r="F11" i="1" s="1"/>
  <c r="C9" i="1"/>
  <c r="C11" i="1" s="1"/>
  <c r="C15" i="1" s="1"/>
  <c r="G36" i="2" l="1"/>
  <c r="G37" i="2"/>
  <c r="E36" i="2"/>
  <c r="F36" i="2"/>
  <c r="F15" i="1"/>
  <c r="E15" i="1"/>
  <c r="D15" i="1"/>
  <c r="G11" i="1"/>
  <c r="G15" i="1" l="1"/>
</calcChain>
</file>

<file path=xl/sharedStrings.xml><?xml version="1.0" encoding="utf-8"?>
<sst xmlns="http://schemas.openxmlformats.org/spreadsheetml/2006/main" count="61" uniqueCount="44">
  <si>
    <t>Показатель</t>
  </si>
  <si>
    <t>I квартал</t>
  </si>
  <si>
    <t>II квартал</t>
  </si>
  <si>
    <t>III квартал</t>
  </si>
  <si>
    <t>IV квартал</t>
  </si>
  <si>
    <t>Backend - кол-во</t>
  </si>
  <si>
    <t>Project manager - кол-во</t>
  </si>
  <si>
    <t>Analyst - кол-во</t>
  </si>
  <si>
    <t>Frontend - кол-во</t>
  </si>
  <si>
    <t>Средняя затраты на 1го IT разработчика</t>
  </si>
  <si>
    <t>Итого затраты на IT в месяц</t>
  </si>
  <si>
    <t>Кол-во месяцев для IT</t>
  </si>
  <si>
    <t>Итого затраты на IT за год</t>
  </si>
  <si>
    <t>Итого 2022</t>
  </si>
  <si>
    <t>Маркетинг</t>
  </si>
  <si>
    <t>Итого все расходы</t>
  </si>
  <si>
    <t>Средняя маржинальность кредита, %</t>
  </si>
  <si>
    <t>Средняя конверсия проникновения в ипотеку, %</t>
  </si>
  <si>
    <t>Средняя маржинальность ипотеки, %</t>
  </si>
  <si>
    <t>Средняя конверсия в кредит наличными, %</t>
  </si>
  <si>
    <t>IQ</t>
  </si>
  <si>
    <t>IIQ</t>
  </si>
  <si>
    <t>IIIQ</t>
  </si>
  <si>
    <t>IVQ</t>
  </si>
  <si>
    <t>Вводные параметры для квартального расчета</t>
  </si>
  <si>
    <t>Общие параметры</t>
  </si>
  <si>
    <t>Ожидаемое количество привлеченных людей</t>
  </si>
  <si>
    <t>Начало отчетной даты</t>
  </si>
  <si>
    <t>Конец отчетной даты</t>
  </si>
  <si>
    <t>Ячейки для ручного ввода</t>
  </si>
  <si>
    <t>Справочно</t>
  </si>
  <si>
    <t>Распределение ожидаемого количества людей, %</t>
  </si>
  <si>
    <t>Кредит</t>
  </si>
  <si>
    <t>Средний размер кредита (сумма финансирования), руб</t>
  </si>
  <si>
    <t>Ипотека</t>
  </si>
  <si>
    <t>Средняя сумма финансирования под ипотеку, руб</t>
  </si>
  <si>
    <t>Пересчет PL эффекта</t>
  </si>
  <si>
    <t>Период формирования ЧПД / входящая сумма долга</t>
  </si>
  <si>
    <t>Дней в году</t>
  </si>
  <si>
    <t>Распределение ожидаемого количества людей, чел.</t>
  </si>
  <si>
    <t>FY</t>
  </si>
  <si>
    <t>Итого</t>
  </si>
  <si>
    <t>Модель сформирована с целью определения PL эффекта от инициативы по привлечению заданного количества пользователей</t>
  </si>
  <si>
    <t>Совокупный PL доход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</si>
</sst>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;\(#,##0\);&quot;-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00B0F0"/>
      <name val="Calibri"/>
      <family val="2"/>
      <charset val="204"/>
      <scheme val="minor"/>
    </font>
    <font>
      <b/>
      <sz val="14"/>
      <color rgb="FF00B0F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3" fontId="0" fillId="0" borderId="0" xfId="0" applyNumberForma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3" fontId="1" fillId="3" borderId="0" xfId="0" applyNumberFormat="1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3" fontId="1" fillId="4" borderId="0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3" fontId="0" fillId="2" borderId="0" xfId="0" applyNumberFormat="1" applyFill="1" applyBorder="1" applyAlignment="1">
      <alignment vertical="center"/>
    </xf>
    <xf numFmtId="3" fontId="1" fillId="2" borderId="1" xfId="0" applyNumberFormat="1" applyFont="1" applyFill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3" fontId="0" fillId="2" borderId="1" xfId="0" applyNumberFormat="1" applyFill="1" applyBorder="1"/>
    <xf numFmtId="14" fontId="0" fillId="2" borderId="1" xfId="0" applyNumberFormat="1" applyFill="1" applyBorder="1"/>
    <xf numFmtId="14" fontId="0" fillId="0" borderId="1" xfId="0" applyNumberFormat="1" applyFill="1" applyBorder="1"/>
    <xf numFmtId="3" fontId="2" fillId="2" borderId="1" xfId="0" applyNumberFormat="1" applyFont="1" applyFill="1" applyBorder="1"/>
    <xf numFmtId="0" fontId="2" fillId="0" borderId="0" xfId="0" applyFont="1"/>
    <xf numFmtId="9" fontId="2" fillId="0" borderId="0" xfId="0" applyNumberFormat="1" applyFont="1"/>
    <xf numFmtId="0" fontId="3" fillId="0" borderId="0" xfId="0" applyFont="1"/>
    <xf numFmtId="164" fontId="0" fillId="2" borderId="1" xfId="0" applyNumberFormat="1" applyFill="1" applyBorder="1"/>
    <xf numFmtId="0" fontId="1" fillId="0" borderId="0" xfId="0" applyFont="1" applyAlignment="1">
      <alignment horizontal="right"/>
    </xf>
    <xf numFmtId="1" fontId="0" fillId="0" borderId="1" xfId="0" applyNumberFormat="1" applyFill="1" applyBorder="1"/>
    <xf numFmtId="3" fontId="1" fillId="0" borderId="1" xfId="0" applyNumberFormat="1" applyFont="1" applyBorder="1"/>
    <xf numFmtId="3" fontId="0" fillId="0" borderId="1" xfId="0" applyNumberFormat="1" applyFill="1" applyBorder="1"/>
    <xf numFmtId="3" fontId="2" fillId="0" borderId="0" xfId="0" applyNumberFormat="1" applyFont="1"/>
    <xf numFmtId="165" fontId="0" fillId="0" borderId="1" xfId="0" applyNumberFormat="1" applyBorder="1"/>
    <xf numFmtId="1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/>
    <xf numFmtId="0" fontId="4" fillId="0" borderId="0" xfId="0" applyFont="1"/>
    <xf numFmtId="165" fontId="5" fillId="5" borderId="1" xfId="0" applyNumberFormat="1" applyFont="1" applyFill="1" applyBorder="1"/>
    <xf numFmtId="165" fontId="6" fillId="5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G41"/>
  <sheetViews>
    <sheetView showGridLines="0" topLeftCell="A7" workbookViewId="0">
      <selection activeCell="G43" sqref="A1:XFD1048576"/>
    </sheetView>
  </sheetViews>
  <sheetFormatPr defaultRowHeight="14.4" x14ac:dyDescent="0.3"/>
  <cols>
    <col min="2" max="2" width="49.77734375" bestFit="1" customWidth="1"/>
    <col min="3" max="7" width="14.5546875" customWidth="1"/>
    <col min="8" max="8" width="12.33203125" customWidth="1"/>
  </cols>
  <sheetData>
    <row r="2" spans="2:7" x14ac:dyDescent="0.3">
      <c r="B2" s="14" t="s">
        <v>30</v>
      </c>
    </row>
    <row r="3" spans="2:7" x14ac:dyDescent="0.3">
      <c r="B3" s="20" t="s">
        <v>29</v>
      </c>
      <c r="C3" s="19">
        <v>123</v>
      </c>
    </row>
    <row r="4" spans="2:7" x14ac:dyDescent="0.3">
      <c r="B4" s="20" t="s">
        <v>42</v>
      </c>
    </row>
    <row r="6" spans="2:7" x14ac:dyDescent="0.3">
      <c r="B6" s="14" t="s">
        <v>25</v>
      </c>
    </row>
    <row r="7" spans="2:7" x14ac:dyDescent="0.3">
      <c r="B7" t="s">
        <v>26</v>
      </c>
      <c r="C7" s="16">
        <v>1000000</v>
      </c>
    </row>
    <row r="8" spans="2:7" x14ac:dyDescent="0.3">
      <c r="B8" t="s">
        <v>27</v>
      </c>
      <c r="C8" s="17">
        <v>44562</v>
      </c>
    </row>
    <row r="9" spans="2:7" x14ac:dyDescent="0.3">
      <c r="B9" t="s">
        <v>28</v>
      </c>
      <c r="C9" s="18">
        <f>EOMONTH(C8,11)</f>
        <v>44926</v>
      </c>
    </row>
    <row r="10" spans="2:7" x14ac:dyDescent="0.3">
      <c r="B10" t="s">
        <v>38</v>
      </c>
      <c r="C10" s="25">
        <f>DATEDIF(C8,C9,"d")+1</f>
        <v>365</v>
      </c>
    </row>
    <row r="12" spans="2:7" x14ac:dyDescent="0.3">
      <c r="B12" s="14" t="s">
        <v>24</v>
      </c>
      <c r="C12" s="15" t="s">
        <v>20</v>
      </c>
      <c r="D12" s="15" t="s">
        <v>21</v>
      </c>
      <c r="E12" s="15" t="s">
        <v>22</v>
      </c>
      <c r="F12" s="15" t="s">
        <v>23</v>
      </c>
    </row>
    <row r="13" spans="2:7" x14ac:dyDescent="0.3">
      <c r="B13" t="s">
        <v>31</v>
      </c>
      <c r="C13" s="23">
        <v>0.03</v>
      </c>
      <c r="D13" s="23">
        <v>0.05</v>
      </c>
      <c r="E13" s="23">
        <v>0.3</v>
      </c>
      <c r="F13" s="23">
        <v>0.62</v>
      </c>
      <c r="G13" s="21">
        <f>SUM(C13:F13)</f>
        <v>1</v>
      </c>
    </row>
    <row r="14" spans="2:7" x14ac:dyDescent="0.3">
      <c r="B14" t="s">
        <v>39</v>
      </c>
      <c r="C14" s="27">
        <f>C$13*$C$7</f>
        <v>30000</v>
      </c>
      <c r="D14" s="27">
        <f t="shared" ref="D14:F14" si="0">D$13*$C$7</f>
        <v>50000</v>
      </c>
      <c r="E14" s="27">
        <f t="shared" si="0"/>
        <v>300000</v>
      </c>
      <c r="F14" s="27">
        <f t="shared" si="0"/>
        <v>620000</v>
      </c>
      <c r="G14" s="28">
        <f>SUM(C14:F14)</f>
        <v>1000000</v>
      </c>
    </row>
    <row r="15" spans="2:7" x14ac:dyDescent="0.3">
      <c r="B15" s="22" t="s">
        <v>32</v>
      </c>
    </row>
    <row r="16" spans="2:7" x14ac:dyDescent="0.3">
      <c r="B16" t="s">
        <v>19</v>
      </c>
      <c r="C16" s="23">
        <v>0.09</v>
      </c>
      <c r="D16" s="23">
        <v>0.09</v>
      </c>
      <c r="E16" s="23">
        <v>0.09</v>
      </c>
      <c r="F16" s="23">
        <v>0.09</v>
      </c>
    </row>
    <row r="17" spans="2:7" x14ac:dyDescent="0.3">
      <c r="B17" t="s">
        <v>16</v>
      </c>
      <c r="C17" s="23">
        <v>0.04</v>
      </c>
      <c r="D17" s="23">
        <v>0.04</v>
      </c>
      <c r="E17" s="23">
        <v>0.04</v>
      </c>
      <c r="F17" s="23">
        <v>0.04</v>
      </c>
    </row>
    <row r="18" spans="2:7" x14ac:dyDescent="0.3">
      <c r="B18" t="s">
        <v>33</v>
      </c>
      <c r="C18" s="16">
        <v>100000</v>
      </c>
      <c r="D18" s="16">
        <v>100000</v>
      </c>
      <c r="E18" s="16">
        <v>100000</v>
      </c>
      <c r="F18" s="16">
        <v>100000</v>
      </c>
    </row>
    <row r="19" spans="2:7" x14ac:dyDescent="0.3">
      <c r="B19" s="22" t="s">
        <v>34</v>
      </c>
    </row>
    <row r="20" spans="2:7" x14ac:dyDescent="0.3">
      <c r="B20" t="s">
        <v>17</v>
      </c>
      <c r="C20" s="23">
        <v>0.02</v>
      </c>
      <c r="D20" s="23">
        <v>0.02</v>
      </c>
      <c r="E20" s="23">
        <v>0.02</v>
      </c>
      <c r="F20" s="23">
        <v>0.02</v>
      </c>
    </row>
    <row r="21" spans="2:7" x14ac:dyDescent="0.3">
      <c r="B21" t="s">
        <v>18</v>
      </c>
      <c r="C21" s="23">
        <v>1.4999999999999999E-2</v>
      </c>
      <c r="D21" s="23">
        <v>1.4999999999999999E-2</v>
      </c>
      <c r="E21" s="23">
        <v>1.4999999999999999E-2</v>
      </c>
      <c r="F21" s="23">
        <v>1.4999999999999999E-2</v>
      </c>
    </row>
    <row r="22" spans="2:7" x14ac:dyDescent="0.3">
      <c r="B22" t="s">
        <v>35</v>
      </c>
      <c r="C22" s="16">
        <v>2500000</v>
      </c>
      <c r="D22" s="16">
        <v>2500000</v>
      </c>
      <c r="E22" s="16">
        <v>2500000</v>
      </c>
      <c r="F22" s="16">
        <v>2500000</v>
      </c>
    </row>
    <row r="24" spans="2:7" x14ac:dyDescent="0.3">
      <c r="B24" s="30">
        <f>EOMONTH(DATE(YEAR($C$8)-1,12,31),0)</f>
        <v>44561</v>
      </c>
      <c r="C24" s="30">
        <f>EOMONTH(B$24,3)</f>
        <v>44651</v>
      </c>
      <c r="D24" s="30">
        <f t="shared" ref="D24:F24" si="1">EOMONTH(C$24,3)</f>
        <v>44742</v>
      </c>
      <c r="E24" s="30">
        <f t="shared" si="1"/>
        <v>44834</v>
      </c>
      <c r="F24" s="30">
        <f t="shared" si="1"/>
        <v>44926</v>
      </c>
    </row>
    <row r="25" spans="2:7" x14ac:dyDescent="0.3">
      <c r="B25" s="14" t="s">
        <v>36</v>
      </c>
      <c r="C25" s="15" t="s">
        <v>20</v>
      </c>
      <c r="D25" s="15" t="s">
        <v>21</v>
      </c>
      <c r="E25" s="15" t="s">
        <v>22</v>
      </c>
      <c r="F25" s="15" t="s">
        <v>23</v>
      </c>
    </row>
    <row r="26" spans="2:7" x14ac:dyDescent="0.3">
      <c r="B26" s="22" t="s">
        <v>32</v>
      </c>
    </row>
    <row r="27" spans="2:7" x14ac:dyDescent="0.3">
      <c r="B27" t="s">
        <v>37</v>
      </c>
      <c r="C27" s="26">
        <f>C18</f>
        <v>100000</v>
      </c>
      <c r="D27" s="26">
        <f t="shared" ref="D27:F27" si="2">D18</f>
        <v>100000</v>
      </c>
      <c r="E27" s="26">
        <f t="shared" si="2"/>
        <v>100000</v>
      </c>
      <c r="F27" s="26">
        <f t="shared" si="2"/>
        <v>100000</v>
      </c>
      <c r="G27" s="31" t="s">
        <v>40</v>
      </c>
    </row>
    <row r="28" spans="2:7" x14ac:dyDescent="0.3">
      <c r="B28" s="24" t="s">
        <v>20</v>
      </c>
      <c r="C28" s="29">
        <f>C$27*C$14*C$16*C$17/$C$10*(C$24-B$24)/2</f>
        <v>1331506.8493150685</v>
      </c>
      <c r="D28" s="29">
        <f>D$27*C$14*C$16*C$17/$C$10*(D$24-C$24)</f>
        <v>2692602.7397260275</v>
      </c>
      <c r="E28" s="29">
        <f>E$27*C$14*C$16*C$17/$C$10*(E$24-D$24)</f>
        <v>2722191.7808219176</v>
      </c>
      <c r="F28" s="29">
        <f>F$27*C$14*C$16*C$17/$C$10*(F$24-E$24)</f>
        <v>2722191.7808219176</v>
      </c>
      <c r="G28" s="32">
        <f>SUM(C28:F28)</f>
        <v>9468493.1506849304</v>
      </c>
    </row>
    <row r="29" spans="2:7" x14ac:dyDescent="0.3">
      <c r="B29" s="24" t="s">
        <v>21</v>
      </c>
      <c r="C29" s="29"/>
      <c r="D29" s="29">
        <f>D$27*D$14*D$16*D$17/$C$10*(D$24-C$24)/2</f>
        <v>2243835.6164383562</v>
      </c>
      <c r="E29" s="29">
        <f>D$27*D$14*D$16*D$17/$C$10*(E$24-D$24)</f>
        <v>4536986.3013698626</v>
      </c>
      <c r="F29" s="29">
        <f>D$27*D$14*D$16*D$17/$C$10*(F$24-E$24)</f>
        <v>4536986.3013698626</v>
      </c>
      <c r="G29" s="32">
        <f t="shared" ref="G29:G31" si="3">SUM(C29:F29)</f>
        <v>11317808.219178081</v>
      </c>
    </row>
    <row r="30" spans="2:7" x14ac:dyDescent="0.3">
      <c r="B30" s="24" t="s">
        <v>22</v>
      </c>
      <c r="C30" s="29"/>
      <c r="D30" s="29"/>
      <c r="E30" s="29">
        <f>E$27*E$14*E$16*E$17/$C$10*(E$24-D$24)/2</f>
        <v>13610958.90410959</v>
      </c>
      <c r="F30" s="29">
        <f>E$27*E$14*E$16*E$17/$C$10*(F$24-E$24)</f>
        <v>27221917.80821918</v>
      </c>
      <c r="G30" s="32">
        <f t="shared" si="3"/>
        <v>40832876.712328769</v>
      </c>
    </row>
    <row r="31" spans="2:7" x14ac:dyDescent="0.3">
      <c r="B31" s="24" t="s">
        <v>23</v>
      </c>
      <c r="C31" s="29"/>
      <c r="D31" s="29"/>
      <c r="E31" s="29"/>
      <c r="F31" s="29">
        <f>F$27*F$14*F$16*F$17/$C$10*(F$24-E$24)/2</f>
        <v>28129315.06849315</v>
      </c>
      <c r="G31" s="32">
        <f t="shared" si="3"/>
        <v>28129315.06849315</v>
      </c>
    </row>
    <row r="32" spans="2:7" x14ac:dyDescent="0.3">
      <c r="B32" s="24" t="s">
        <v>41</v>
      </c>
      <c r="C32" s="32">
        <f>SUM(C28:C31)</f>
        <v>1331506.8493150685</v>
      </c>
      <c r="D32" s="32">
        <f t="shared" ref="D32:G32" si="4">SUM(D28:D31)</f>
        <v>4936438.3561643837</v>
      </c>
      <c r="E32" s="32">
        <f t="shared" si="4"/>
        <v>20870136.98630137</v>
      </c>
      <c r="F32" s="32">
        <f t="shared" si="4"/>
        <v>62610410.95890411</v>
      </c>
      <c r="G32" s="32">
        <f t="shared" si="4"/>
        <v>89748493.150684923</v>
      </c>
    </row>
    <row r="33" spans="2:7" x14ac:dyDescent="0.3">
      <c r="B33" s="22" t="s">
        <v>34</v>
      </c>
    </row>
    <row r="34" spans="2:7" x14ac:dyDescent="0.3">
      <c r="B34" t="s">
        <v>37</v>
      </c>
      <c r="C34" s="26">
        <f>C$22</f>
        <v>2500000</v>
      </c>
      <c r="D34" s="26">
        <f t="shared" ref="D34:E34" si="5">D$22</f>
        <v>2500000</v>
      </c>
      <c r="E34" s="26">
        <f t="shared" si="5"/>
        <v>2500000</v>
      </c>
      <c r="F34" s="26">
        <f>F$22</f>
        <v>2500000</v>
      </c>
      <c r="G34" s="31" t="s">
        <v>40</v>
      </c>
    </row>
    <row r="35" spans="2:7" x14ac:dyDescent="0.3">
      <c r="B35" s="24" t="s">
        <v>20</v>
      </c>
      <c r="C35" s="29">
        <f>C$34*C$14*C$20*C$21/$C$10*(C$24-B$24)/2</f>
        <v>2773972.6027397262</v>
      </c>
      <c r="D35" s="29">
        <f>C$34*C$14*C$20*C$21/$C$10*(D$24-C$24)</f>
        <v>5609589.041095891</v>
      </c>
      <c r="E35" s="29">
        <f>C$34*C$14*C$20*C$21/$C$10*(E$24-D$24)</f>
        <v>5671232.8767123288</v>
      </c>
      <c r="F35" s="29">
        <f>C$34*C$14*C$20*C$21/$C$10*(F$24-E$24)</f>
        <v>5671232.8767123288</v>
      </c>
      <c r="G35" s="32">
        <f>SUM(C35:F35)</f>
        <v>19726027.397260275</v>
      </c>
    </row>
    <row r="36" spans="2:7" x14ac:dyDescent="0.3">
      <c r="B36" s="24" t="s">
        <v>21</v>
      </c>
      <c r="C36" s="29"/>
      <c r="D36" s="29">
        <f>D$34*D$14*D$20*D$21/$C$10*(D$24-C$24)/2</f>
        <v>4674657.5342465751</v>
      </c>
      <c r="E36" s="29">
        <f>D$34*D$14*D$20*D$21/$C$10*(E$24-D$24)</f>
        <v>9452054.7945205476</v>
      </c>
      <c r="F36" s="29">
        <f>D$34*D$14*D$20*D$21/$C$10*(F$24-E$24)</f>
        <v>9452054.7945205476</v>
      </c>
      <c r="G36" s="32">
        <f t="shared" ref="G36:G38" si="6">SUM(C36:F36)</f>
        <v>23578767.12328767</v>
      </c>
    </row>
    <row r="37" spans="2:7" x14ac:dyDescent="0.3">
      <c r="B37" s="24" t="s">
        <v>22</v>
      </c>
      <c r="C37" s="29"/>
      <c r="D37" s="29"/>
      <c r="E37" s="29">
        <f>E$34*E$14*E$20*E$21/$C$10*(E$24-D$24)/2</f>
        <v>28356164.383561645</v>
      </c>
      <c r="F37" s="29">
        <f>E$34*E$14*E$20*E$21/$C$10*(F$24-E$24)</f>
        <v>56712328.767123289</v>
      </c>
      <c r="G37" s="32">
        <f t="shared" si="6"/>
        <v>85068493.150684938</v>
      </c>
    </row>
    <row r="38" spans="2:7" x14ac:dyDescent="0.3">
      <c r="B38" s="24" t="s">
        <v>23</v>
      </c>
      <c r="C38" s="29"/>
      <c r="D38" s="29"/>
      <c r="E38" s="29"/>
      <c r="F38" s="29">
        <f>F$34*F$14*F$20*F$21/$C$10*(F$24-E$24)/2</f>
        <v>58602739.726027392</v>
      </c>
      <c r="G38" s="32">
        <f t="shared" si="6"/>
        <v>58602739.726027392</v>
      </c>
    </row>
    <row r="39" spans="2:7" x14ac:dyDescent="0.3">
      <c r="B39" s="24" t="s">
        <v>41</v>
      </c>
      <c r="C39" s="32">
        <f>SUM(C35:C38)</f>
        <v>2773972.6027397262</v>
      </c>
      <c r="D39" s="32">
        <f t="shared" ref="D39" si="7">SUM(D35:D38)</f>
        <v>10284246.575342465</v>
      </c>
      <c r="E39" s="32">
        <f t="shared" ref="E39" si="8">SUM(E35:E38)</f>
        <v>43479452.05479452</v>
      </c>
      <c r="F39" s="32">
        <f t="shared" ref="F39" si="9">SUM(F35:F38)</f>
        <v>130438356.16438356</v>
      </c>
      <c r="G39" s="32">
        <f t="shared" ref="G39" si="10">SUM(G35:G38)</f>
        <v>186976027.39726028</v>
      </c>
    </row>
    <row r="41" spans="2:7" ht="18" x14ac:dyDescent="0.35">
      <c r="B41" s="33" t="s">
        <v>43</v>
      </c>
      <c r="C41" s="34">
        <f>SUM(C32,C39)</f>
        <v>4105479.4520547949</v>
      </c>
      <c r="D41" s="34">
        <f t="shared" ref="D41:G41" si="11">SUM(D32,D39)</f>
        <v>15220684.93150685</v>
      </c>
      <c r="E41" s="34">
        <f t="shared" si="11"/>
        <v>64349589.04109589</v>
      </c>
      <c r="F41" s="34">
        <f t="shared" si="11"/>
        <v>193048767.12328768</v>
      </c>
      <c r="G41" s="35">
        <f t="shared" si="11"/>
        <v>276724520.5479452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showGridLines="0" tabSelected="1" workbookViewId="0">
      <selection activeCell="D30" sqref="D30"/>
    </sheetView>
  </sheetViews>
  <sheetFormatPr defaultRowHeight="14.4" x14ac:dyDescent="0.3"/>
  <cols>
    <col min="1" max="1" width="8.88671875" style="1"/>
    <col min="2" max="2" width="43.109375" style="1" customWidth="1"/>
    <col min="3" max="4" width="19.5546875" style="1" bestFit="1" customWidth="1"/>
    <col min="5" max="5" width="19.5546875" style="1" customWidth="1"/>
    <col min="6" max="6" width="19.5546875" style="1" bestFit="1" customWidth="1"/>
    <col min="7" max="7" width="19.5546875" style="1" customWidth="1"/>
    <col min="8" max="16384" width="8.88671875" style="1"/>
  </cols>
  <sheetData>
    <row r="3" spans="2:7" x14ac:dyDescent="0.3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13</v>
      </c>
    </row>
    <row r="4" spans="2:7" x14ac:dyDescent="0.3">
      <c r="B4" s="3" t="s">
        <v>5</v>
      </c>
      <c r="C4" s="11">
        <v>3</v>
      </c>
      <c r="D4" s="11">
        <v>3</v>
      </c>
      <c r="E4" s="11">
        <v>1</v>
      </c>
      <c r="F4" s="11">
        <v>1</v>
      </c>
    </row>
    <row r="5" spans="2:7" x14ac:dyDescent="0.3">
      <c r="B5" s="3" t="s">
        <v>8</v>
      </c>
      <c r="C5" s="11">
        <v>2</v>
      </c>
      <c r="D5" s="11">
        <v>2</v>
      </c>
      <c r="E5" s="11">
        <v>1</v>
      </c>
      <c r="F5" s="11">
        <v>1</v>
      </c>
    </row>
    <row r="6" spans="2:7" x14ac:dyDescent="0.3">
      <c r="B6" s="1" t="s">
        <v>7</v>
      </c>
      <c r="C6" s="11">
        <v>1</v>
      </c>
      <c r="D6" s="11">
        <v>1</v>
      </c>
      <c r="E6" s="11">
        <v>0</v>
      </c>
      <c r="F6" s="11">
        <v>0</v>
      </c>
    </row>
    <row r="7" spans="2:7" x14ac:dyDescent="0.3">
      <c r="B7" s="1" t="s">
        <v>6</v>
      </c>
      <c r="C7" s="11">
        <v>1</v>
      </c>
      <c r="D7" s="11">
        <v>1</v>
      </c>
      <c r="E7" s="11">
        <v>0</v>
      </c>
      <c r="F7" s="11">
        <v>0</v>
      </c>
    </row>
    <row r="8" spans="2:7" x14ac:dyDescent="0.3">
      <c r="B8" s="1" t="s">
        <v>9</v>
      </c>
      <c r="C8" s="12">
        <v>385714.28571428574</v>
      </c>
      <c r="D8" s="12">
        <v>385714.28571428574</v>
      </c>
      <c r="E8" s="12">
        <v>150000</v>
      </c>
      <c r="F8" s="12">
        <v>150000</v>
      </c>
      <c r="G8" s="4"/>
    </row>
    <row r="9" spans="2:7" x14ac:dyDescent="0.3">
      <c r="B9" s="2" t="s">
        <v>10</v>
      </c>
      <c r="C9" s="5">
        <f>SUM(C4:C7)*C8</f>
        <v>2700000</v>
      </c>
      <c r="D9" s="5">
        <f t="shared" ref="D9:F9" si="0">SUM(D4:D7)*D8</f>
        <v>2700000</v>
      </c>
      <c r="E9" s="5">
        <f t="shared" si="0"/>
        <v>300000</v>
      </c>
      <c r="F9" s="5">
        <f t="shared" si="0"/>
        <v>300000</v>
      </c>
      <c r="G9" s="5"/>
    </row>
    <row r="10" spans="2:7" x14ac:dyDescent="0.3">
      <c r="B10" s="1" t="s">
        <v>11</v>
      </c>
      <c r="C10" s="1">
        <v>3</v>
      </c>
      <c r="D10" s="1">
        <v>3</v>
      </c>
      <c r="E10" s="1">
        <v>3</v>
      </c>
      <c r="F10" s="1">
        <v>3</v>
      </c>
    </row>
    <row r="11" spans="2:7" x14ac:dyDescent="0.3">
      <c r="B11" s="9" t="s">
        <v>12</v>
      </c>
      <c r="C11" s="10">
        <f>C10*C9</f>
        <v>8100000</v>
      </c>
      <c r="D11" s="10">
        <f t="shared" ref="D11:F11" si="1">D10*D9</f>
        <v>8100000</v>
      </c>
      <c r="E11" s="10">
        <f t="shared" si="1"/>
        <v>900000</v>
      </c>
      <c r="F11" s="10">
        <f t="shared" si="1"/>
        <v>900000</v>
      </c>
      <c r="G11" s="10">
        <f>SUM(C11:F11)</f>
        <v>18000000</v>
      </c>
    </row>
    <row r="13" spans="2:7" x14ac:dyDescent="0.3">
      <c r="B13" s="9" t="s">
        <v>14</v>
      </c>
      <c r="C13" s="10">
        <f>$G$13*40%</f>
        <v>20000000</v>
      </c>
      <c r="D13" s="10">
        <f>$G$13*30%</f>
        <v>15000000</v>
      </c>
      <c r="E13" s="10">
        <f>$G$13*10%</f>
        <v>5000000</v>
      </c>
      <c r="F13" s="10">
        <f>$G$13*20%</f>
        <v>10000000</v>
      </c>
      <c r="G13" s="13">
        <v>50000000</v>
      </c>
    </row>
    <row r="15" spans="2:7" x14ac:dyDescent="0.3">
      <c r="B15" s="7" t="s">
        <v>15</v>
      </c>
      <c r="C15" s="8">
        <f>SUM(C11,C13)</f>
        <v>28100000</v>
      </c>
      <c r="D15" s="8">
        <f t="shared" ref="D15:F15" si="2">SUM(D11,D13)</f>
        <v>23100000</v>
      </c>
      <c r="E15" s="8">
        <f t="shared" si="2"/>
        <v>5900000</v>
      </c>
      <c r="F15" s="8">
        <f t="shared" si="2"/>
        <v>10900000</v>
      </c>
      <c r="G15" s="8">
        <f>SUM(C15:F15)</f>
        <v>68000000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ФМ Банк</vt:lpstr>
      <vt:lpstr>Доходы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2021-12-04T02:06:06Z</dcterms:modified>
</cp:coreProperties>
</file>