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"/>
    </mc:Choice>
  </mc:AlternateContent>
  <xr:revisionPtr revIDLastSave="127" documentId="13_ncr:1_{9033B92D-3C75-4B30-B5BF-9EC12D73C1EE}" xr6:coauthVersionLast="47" xr6:coauthVersionMax="47" xr10:uidLastSave="{588AA300-343D-43CD-9CBC-014B72772E47}"/>
  <bookViews>
    <workbookView xWindow="-110" yWindow="-110" windowWidth="19420" windowHeight="10300" activeTab="3" xr2:uid="{6AA29D0C-F515-43F1-A838-C86C81966DEC}"/>
  </bookViews>
  <sheets>
    <sheet name="Solar" sheetId="1" r:id="rId1"/>
    <sheet name="BAULOAD" sheetId="2" r:id="rId2"/>
    <sheet name="BIOGAS" sheetId="3" r:id="rId3"/>
    <sheet name="Sheet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13" i="4"/>
  <c r="N14" i="4" s="1"/>
  <c r="N15" i="4"/>
  <c r="Q16" i="4" l="1"/>
  <c r="Q12" i="4"/>
  <c r="Q8" i="4"/>
  <c r="N6" i="4"/>
  <c r="N16" i="4"/>
  <c r="N17" i="4" s="1"/>
  <c r="N3" i="4"/>
  <c r="D15" i="4"/>
  <c r="D16" i="4" s="1"/>
  <c r="D7" i="4"/>
  <c r="D6" i="4"/>
  <c r="D8" i="4" s="1"/>
  <c r="D9" i="4" s="1"/>
  <c r="Q9" i="4" l="1"/>
  <c r="Q10" i="4" s="1"/>
  <c r="N8" i="4"/>
  <c r="N9" i="4" s="1"/>
  <c r="AL61" i="1"/>
  <c r="L45" i="1"/>
  <c r="Y75" i="1"/>
  <c r="Z75" i="1" s="1"/>
  <c r="AA75" i="1" s="1"/>
  <c r="AC75" i="1" s="1"/>
  <c r="Y74" i="1"/>
  <c r="Z74" i="1" s="1"/>
  <c r="AA74" i="1" s="1"/>
  <c r="AC74" i="1" s="1"/>
  <c r="Y73" i="1"/>
  <c r="Z73" i="1" s="1"/>
  <c r="AA73" i="1" s="1"/>
  <c r="AC73" i="1" s="1"/>
  <c r="Y72" i="1"/>
  <c r="Z72" i="1" s="1"/>
  <c r="AA72" i="1" s="1"/>
  <c r="AC72" i="1" s="1"/>
  <c r="Y66" i="1"/>
  <c r="Z66" i="1" s="1"/>
  <c r="AA66" i="1" s="1"/>
  <c r="AC66" i="1" s="1"/>
  <c r="Y65" i="1"/>
  <c r="Z65" i="1" s="1"/>
  <c r="AA65" i="1" s="1"/>
  <c r="AC65" i="1" s="1"/>
  <c r="Y64" i="1"/>
  <c r="Z64" i="1" s="1"/>
  <c r="AA64" i="1" s="1"/>
  <c r="AC64" i="1" s="1"/>
  <c r="Y63" i="1"/>
  <c r="Z63" i="1" s="1"/>
  <c r="AA63" i="1" s="1"/>
  <c r="AC63" i="1" s="1"/>
  <c r="AF52" i="1"/>
  <c r="AF51" i="1"/>
  <c r="AC55" i="1"/>
  <c r="AC56" i="1"/>
  <c r="AC57" i="1"/>
  <c r="AC54" i="1"/>
  <c r="AA55" i="1"/>
  <c r="AA56" i="1"/>
  <c r="AA57" i="1"/>
  <c r="AA54" i="1"/>
  <c r="Z55" i="1"/>
  <c r="Z56" i="1"/>
  <c r="Z57" i="1"/>
  <c r="Z54" i="1"/>
  <c r="Y55" i="1"/>
  <c r="Y56" i="1"/>
  <c r="Y57" i="1"/>
  <c r="Y54" i="1"/>
  <c r="V46" i="1"/>
  <c r="V42" i="1"/>
  <c r="V43" i="1"/>
  <c r="V45" i="1"/>
  <c r="V41" i="1"/>
  <c r="X48" i="1"/>
  <c r="Q14" i="4" l="1"/>
  <c r="Q13" i="4" s="1"/>
  <c r="Q18" i="4"/>
  <c r="Q17" i="4" s="1"/>
  <c r="AF70" i="1"/>
  <c r="AF69" i="1"/>
  <c r="AF60" i="1"/>
  <c r="AF61" i="1"/>
  <c r="F71" i="1"/>
  <c r="E71" i="1"/>
  <c r="E70" i="1"/>
  <c r="E69" i="1"/>
  <c r="D71" i="1"/>
  <c r="D70" i="1"/>
  <c r="D69" i="1"/>
  <c r="C69" i="1"/>
  <c r="B71" i="1"/>
  <c r="C70" i="1"/>
  <c r="C71" i="1" s="1"/>
  <c r="B70" i="1"/>
  <c r="B69" i="1"/>
  <c r="S55" i="1" l="1"/>
  <c r="S54" i="1"/>
  <c r="AA45" i="1"/>
  <c r="AA48" i="1" s="1"/>
  <c r="AA46" i="1"/>
  <c r="AA43" i="1"/>
  <c r="C8" i="3"/>
  <c r="C9" i="3"/>
  <c r="C10" i="3"/>
  <c r="C11" i="3"/>
  <c r="C12" i="3"/>
  <c r="C13" i="3"/>
  <c r="C14" i="3"/>
  <c r="C15" i="3"/>
  <c r="C7" i="3"/>
  <c r="C4" i="3"/>
  <c r="U46" i="1"/>
  <c r="U42" i="1"/>
  <c r="U43" i="1"/>
  <c r="U45" i="1"/>
  <c r="U41" i="1"/>
  <c r="M45" i="1"/>
  <c r="V44" i="1" s="1"/>
  <c r="M46" i="1"/>
  <c r="M48" i="1"/>
  <c r="M44" i="1"/>
  <c r="P50" i="1"/>
  <c r="P51" i="1"/>
  <c r="P52" i="1"/>
  <c r="P53" i="1"/>
  <c r="P49" i="1"/>
  <c r="P54" i="1"/>
  <c r="J43" i="1"/>
  <c r="J44" i="1"/>
  <c r="J45" i="1"/>
  <c r="J46" i="1"/>
  <c r="J47" i="1"/>
  <c r="J48" i="1"/>
  <c r="J42" i="1"/>
  <c r="H48" i="1"/>
  <c r="H46" i="1"/>
  <c r="H43" i="1"/>
  <c r="H44" i="1"/>
  <c r="H45" i="1"/>
  <c r="H42" i="1"/>
  <c r="I37" i="1"/>
  <c r="F48" i="1"/>
  <c r="F46" i="1"/>
  <c r="F45" i="1"/>
  <c r="F44" i="1"/>
  <c r="F43" i="1"/>
  <c r="F42" i="1"/>
  <c r="R49" i="2"/>
  <c r="Y33" i="2"/>
  <c r="Z32" i="2"/>
  <c r="Z31" i="2"/>
  <c r="W31" i="2"/>
  <c r="Z30" i="2"/>
  <c r="W30" i="2"/>
  <c r="AE29" i="2"/>
  <c r="AF29" i="2" s="1"/>
  <c r="AA29" i="2"/>
  <c r="AB29" i="2" s="1"/>
  <c r="Z29" i="2"/>
  <c r="W29" i="2"/>
  <c r="Z28" i="2"/>
  <c r="AA28" i="2" s="1"/>
  <c r="W28" i="2"/>
  <c r="W27" i="2"/>
  <c r="W26" i="2"/>
  <c r="J26" i="2"/>
  <c r="AB24" i="2"/>
  <c r="AE32" i="2" s="1"/>
  <c r="AF32" i="2" s="1"/>
  <c r="V23" i="2"/>
  <c r="AB22" i="2"/>
  <c r="AA30" i="2" s="1"/>
  <c r="AB30" i="2" s="1"/>
  <c r="J22" i="2"/>
  <c r="J21" i="2"/>
  <c r="U18" i="2"/>
  <c r="K15" i="2"/>
  <c r="J25" i="2" s="1"/>
  <c r="G15" i="2"/>
  <c r="K14" i="2"/>
  <c r="G14" i="2"/>
  <c r="R12" i="2"/>
  <c r="C11" i="2"/>
  <c r="N10" i="2"/>
  <c r="C10" i="2"/>
  <c r="T8" i="2"/>
  <c r="S8" i="2"/>
  <c r="AD8" i="2" s="1"/>
  <c r="N8" i="2"/>
  <c r="S7" i="2"/>
  <c r="AD7" i="2" s="1"/>
  <c r="N7" i="2"/>
  <c r="AD6" i="2"/>
  <c r="S6" i="2"/>
  <c r="T6" i="2" s="1"/>
  <c r="N6" i="2"/>
  <c r="AD5" i="2"/>
  <c r="S5" i="2"/>
  <c r="T5" i="2" s="1"/>
  <c r="N5" i="2"/>
  <c r="AD4" i="2"/>
  <c r="T4" i="2"/>
  <c r="S4" i="2"/>
  <c r="N4" i="2"/>
  <c r="N13" i="2" s="1"/>
  <c r="M15" i="2" s="1"/>
  <c r="N29" i="1"/>
  <c r="M29" i="1"/>
  <c r="J29" i="1"/>
  <c r="I29" i="1"/>
  <c r="F29" i="1"/>
  <c r="T22" i="1"/>
  <c r="I17" i="1"/>
  <c r="I18" i="1" s="1"/>
  <c r="I19" i="1" s="1"/>
  <c r="I20" i="1" s="1"/>
  <c r="I21" i="1" s="1"/>
  <c r="I22" i="1" s="1"/>
  <c r="I16" i="1"/>
  <c r="L17" i="1"/>
  <c r="L18" i="1"/>
  <c r="L19" i="1"/>
  <c r="L20" i="1"/>
  <c r="L21" i="1"/>
  <c r="L22" i="1"/>
  <c r="L16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10" i="1"/>
  <c r="A9" i="1"/>
  <c r="A8" i="1"/>
  <c r="U44" i="1" l="1"/>
  <c r="AB45" i="1"/>
  <c r="X46" i="1"/>
  <c r="P55" i="1"/>
  <c r="P56" i="1" s="1"/>
  <c r="X45" i="1"/>
  <c r="AH29" i="2"/>
  <c r="AE5" i="2"/>
  <c r="AF5" i="2" s="1"/>
  <c r="T12" i="2"/>
  <c r="U8" i="2" s="1"/>
  <c r="Q43" i="2" s="1"/>
  <c r="R43" i="2" s="1"/>
  <c r="AD30" i="2"/>
  <c r="AB28" i="2"/>
  <c r="AH32" i="2"/>
  <c r="AE8" i="2" s="1"/>
  <c r="AF8" i="2" s="1"/>
  <c r="AD29" i="2"/>
  <c r="AA31" i="2"/>
  <c r="AB31" i="2" s="1"/>
  <c r="J23" i="2"/>
  <c r="J27" i="2"/>
  <c r="AE30" i="2"/>
  <c r="AF30" i="2" s="1"/>
  <c r="AA32" i="2"/>
  <c r="AB32" i="2" s="1"/>
  <c r="Z33" i="2"/>
  <c r="T7" i="2"/>
  <c r="J24" i="2"/>
  <c r="AE28" i="2"/>
  <c r="AF28" i="2" s="1"/>
  <c r="J19" i="2"/>
  <c r="AE31" i="2"/>
  <c r="AF31" i="2" s="1"/>
  <c r="J20" i="2"/>
  <c r="X44" i="1" l="1"/>
  <c r="X47" i="1" s="1"/>
  <c r="AA44" i="1"/>
  <c r="S43" i="2"/>
  <c r="S49" i="2" s="1"/>
  <c r="T49" i="2" s="1"/>
  <c r="AG32" i="2"/>
  <c r="AB33" i="2"/>
  <c r="AD28" i="2"/>
  <c r="AD31" i="2"/>
  <c r="AA33" i="2"/>
  <c r="U5" i="2"/>
  <c r="Q40" i="2" s="1"/>
  <c r="R40" i="2" s="1"/>
  <c r="AH30" i="2"/>
  <c r="AE6" i="2" s="1"/>
  <c r="AF6" i="2" s="1"/>
  <c r="AH28" i="2"/>
  <c r="AE4" i="2" s="1"/>
  <c r="AF4" i="2" s="1"/>
  <c r="U7" i="2"/>
  <c r="Q42" i="2" s="1"/>
  <c r="R42" i="2" s="1"/>
  <c r="S42" i="2" s="1"/>
  <c r="U6" i="2"/>
  <c r="Q41" i="2" s="1"/>
  <c r="R41" i="2" s="1"/>
  <c r="U4" i="2"/>
  <c r="AH31" i="2"/>
  <c r="AE7" i="2" s="1"/>
  <c r="AF7" i="2" s="1"/>
  <c r="AD32" i="2"/>
  <c r="AC32" i="2"/>
  <c r="AB43" i="1" l="1"/>
  <c r="AA47" i="1"/>
  <c r="AA49" i="1" s="1"/>
  <c r="S41" i="2"/>
  <c r="AC30" i="2"/>
  <c r="U12" i="2"/>
  <c r="Q39" i="2"/>
  <c r="AC31" i="2"/>
  <c r="AG30" i="2"/>
  <c r="AG31" i="2"/>
  <c r="S40" i="2"/>
  <c r="AG29" i="2"/>
  <c r="AC29" i="2"/>
  <c r="AB36" i="2"/>
  <c r="AD36" i="2" s="1"/>
  <c r="AA38" i="2" s="1"/>
  <c r="AA39" i="2" s="1"/>
  <c r="Q45" i="2" l="1"/>
  <c r="R39" i="2"/>
  <c r="R45" i="2" l="1"/>
  <c r="S39" i="2"/>
  <c r="AG28" i="2"/>
  <c r="AF36" i="2" s="1"/>
  <c r="AH36" i="2" s="1"/>
  <c r="AC28" i="2"/>
  <c r="R46" i="2" l="1"/>
  <c r="U42" i="2" s="1"/>
  <c r="AC33" i="2"/>
  <c r="R31" i="2" l="1"/>
  <c r="R28" i="2"/>
  <c r="R29" i="2"/>
  <c r="R30" i="2"/>
  <c r="R27" i="2"/>
  <c r="R26" i="2"/>
  <c r="R34" i="2" l="1"/>
  <c r="R35" i="2" l="1"/>
  <c r="T35" i="2" s="1"/>
  <c r="T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tc={3AF533EC-5726-482F-BEA5-E3FE5DE4CAA5}</author>
    <author>tc={09BC74B0-EB47-4828-9F01-7B57900417AC}</author>
    <author>tc={753AAFE9-EBE8-429D-A721-657C4F3EC5AF}</author>
    <author>tc={63C6BF50-6405-4ABE-B09E-77C9731094B0}</author>
    <author>tc={29356342-131B-4833-92E9-2243EECE59C8}</author>
    <author>tc={CE62517E-9340-4D7F-B180-961460364BD2}</author>
    <author>tc={D2F1F38E-592B-4966-A106-AC0F947BC88F}</author>
    <author>tc={86838F7A-8ECD-437D-8CDC-9F9B418DC904}</author>
  </authors>
  <commentList>
    <comment ref="W46" authorId="0" shapeId="0" xr:uid="{3AF533EC-5726-482F-BEA5-E3FE5DE4CA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https://www.seforall.org/system/files/2024-09/Energizing%20Rwanda%E2%80%99s%20Development.pdf</t>
      </text>
    </comment>
    <comment ref="R51" authorId="1" shapeId="0" xr:uid="{09BC74B0-EB47-4828-9F01-7B57900417A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https://docs.nrel.gov/docs/fy23osti/85332.pdf</t>
      </text>
    </comment>
    <comment ref="R59" authorId="2" shapeId="0" xr:uid="{753AAFE9-EBE8-429D-A721-657C4F3EC5A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https://www.giz.de/en/downloads/giz2024-en-rw-pdp-regulatory-guide-rz-bf.pdf#:~:text=In%20accordance%20with%20the%20Electricity,the%20regulatory%20requirements%20and%20obligations
Reply:
    Page 16</t>
      </text>
    </comment>
    <comment ref="R60" authorId="3" shapeId="0" xr:uid="{63C6BF50-6405-4ABE-B09E-77C97310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https://www.giz.de/en/downloads/giz2024-en-rw-pdp-regulatory-guide-rz-bf.pdf#:~:text=There%20are%20no%20regulations%20for,Regulations%20on%20Rwanda%20Renewable%20Energy</t>
      </text>
    </comment>
    <comment ref="R62" authorId="4" shapeId="0" xr:uid="{29356342-131B-4833-92E9-2243EECE59C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https://www.reg.rw/customer-service/tariffs/</t>
      </text>
    </comment>
    <comment ref="R63" authorId="5" shapeId="0" xr:uid="{CE62517E-9340-4D7F-B180-961460364BD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https://www.seforall.org/system/files/2024-09/Energizing%20Rwanda%E2%80%99s%20Development.pdf</t>
      </text>
    </comment>
    <comment ref="A64" authorId="6" shapeId="0" xr:uid="{D2F1F38E-592B-4966-A106-AC0F947BC88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https://www.energy.gov/sites/default/files/2022-01/lbnl_ieee-land-requirements-for-utility-scale-pv.pdf</t>
      </text>
    </comment>
    <comment ref="A67" authorId="7" shapeId="0" xr:uid="{86838F7A-8ECD-437D-8CDC-9F9B418DC90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https://esa.afdb.org/sites/default/files/UK11-24483_2_Volume%201_NBIA_ESIA_Non-technical%20Summary.pdf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tc={95503CCC-51BB-4BE3-8D93-736F67528ECC}</author>
    <author>tc={775AD2C4-5177-4139-8175-592BD2CF431B}</author>
  </authors>
  <commentList>
    <comment ref="X22" authorId="0" shapeId="0" xr:uid="{95503CCC-51BB-4BE3-8D93-736F67528ECC}">
      <text>
        <t>[Threaded comment]
Your version of Excel allows you to read this threaded comment; however, any edits to it will get removed if the file is opened in a newer version of Excel. Learn more: https://go.microsoft.com/fwlink/?linkid=870924
Comment:
    People per household incerasing 0.01 every year</t>
      </text>
    </comment>
    <comment ref="AA22" authorId="1" shapeId="0" xr:uid="{775AD2C4-5177-4139-8175-592BD2CF43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 other excel with linear regression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tc={562F29AB-7013-4BAC-AAD5-4520633B3CDC}</author>
    <author>tc={A4CAFEEB-E8CB-4A2C-8ADC-3021FF97ECA3}</author>
    <author>tc={5075AAFA-128D-4895-BF0F-ACCB10CA4B4A}</author>
  </authors>
  <commentList>
    <comment ref="C2" authorId="0" shapeId="0" xr:uid="{562F29AB-7013-4BAC-AAD5-4520633B3CD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https://kigalibusservices.rw/our-buses/</t>
      </text>
    </comment>
    <comment ref="C12" authorId="1" shapeId="0" xr:uid="{A4CAFEEB-E8CB-4A2C-8ADC-3021FF97ECA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https://en.igihe.com/news/article/jali-transport-to-introduce-new-buses</t>
      </text>
    </comment>
    <comment ref="N12" authorId="2" shapeId="0" xr:uid="{5075AAFA-128D-4895-BF0F-ACCB10CA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https://www.ktpress.rw/2024/03/kigali-introduces-new-public-transport-lines-to-ease-mobility/#:~:text=According%20to%20Samuel%20Dusengiyumva%2C%20Kigali,nearly%20180%2C000%20during%20the%20weekend.</t>
      </text>
    </comment>
  </commentList>
</comments>
</file>

<file path=xl/sharedStrings.xml><?xml version="1.0" encoding="utf-8"?>
<sst xmlns="http://schemas.openxmlformats.org/spreadsheetml/2006/main" count="354" uniqueCount="216">
  <si>
    <t>year</t>
  </si>
  <si>
    <t>usUSD/kW</t>
  </si>
  <si>
    <t>rfUSD/kW</t>
  </si>
  <si>
    <t>UTILITY</t>
  </si>
  <si>
    <t>COMMERCIAL</t>
  </si>
  <si>
    <t>RESIDENTIAL</t>
  </si>
  <si>
    <t>south africa/RW</t>
  </si>
  <si>
    <t>USA</t>
  </si>
  <si>
    <t>o&amp;m</t>
  </si>
  <si>
    <t>PV length (m):</t>
  </si>
  <si>
    <t>REPLACEMENT:</t>
  </si>
  <si>
    <t>20%less</t>
  </si>
  <si>
    <t>PV width (m):</t>
  </si>
  <si>
    <t>PV power (kW):</t>
  </si>
  <si>
    <t>Residential % of rooftop:</t>
  </si>
  <si>
    <t>PV area:</t>
  </si>
  <si>
    <t>Commercial % of rooftop:</t>
  </si>
  <si>
    <t>Archetype</t>
  </si>
  <si>
    <t>Count</t>
  </si>
  <si>
    <t>Average Height (m)</t>
  </si>
  <si>
    <t>Average Area (m2)</t>
  </si>
  <si>
    <t>Total Area (m2)</t>
  </si>
  <si>
    <t>Rooftop Area (m2)</t>
  </si>
  <si>
    <t>PV # calculation</t>
  </si>
  <si>
    <t>Max # of PVs</t>
  </si>
  <si>
    <t>Max theoretical capacity (kW)</t>
  </si>
  <si>
    <t>Max load [kW]</t>
  </si>
  <si>
    <t># of panels</t>
  </si>
  <si>
    <t>PV capacity [kW]:</t>
  </si>
  <si>
    <t>BAU</t>
  </si>
  <si>
    <t># of buildings in 2030</t>
  </si>
  <si>
    <t># of buildings in 2040</t>
  </si>
  <si>
    <t>Max capacity 2030 (kW)</t>
  </si>
  <si>
    <t>Max capacity 2040 (kW)</t>
  </si>
  <si>
    <t>% of total capacity [BAU]:</t>
  </si>
  <si>
    <t>BAU capacity (kW):</t>
  </si>
  <si>
    <t>% of total capacity 2:</t>
  </si>
  <si>
    <t>2 capacity (kW):</t>
  </si>
  <si>
    <t>Demolished</t>
  </si>
  <si>
    <t>Basic</t>
  </si>
  <si>
    <t>Block</t>
  </si>
  <si>
    <t>Bungalow</t>
  </si>
  <si>
    <t>Villa</t>
  </si>
  <si>
    <t>Mid-rise</t>
  </si>
  <si>
    <t>Hall</t>
  </si>
  <si>
    <t>High-rise</t>
  </si>
  <si>
    <t xml:space="preserve">  </t>
  </si>
  <si>
    <t>Residential:</t>
  </si>
  <si>
    <t>Commercial:</t>
  </si>
  <si>
    <t>Special</t>
  </si>
  <si>
    <t>Total rooftop PVs:</t>
  </si>
  <si>
    <t>Construction</t>
  </si>
  <si>
    <t>4hrs Battery  cost 2030 [$/kWh]:</t>
  </si>
  <si>
    <t>SECOND</t>
  </si>
  <si>
    <t>Max load of buildings kW:</t>
  </si>
  <si>
    <t># of PVs</t>
  </si>
  <si>
    <t>Max capacity kW</t>
  </si>
  <si>
    <t>Total capacity (kW):</t>
  </si>
  <si>
    <t>%</t>
  </si>
  <si>
    <t>Max capacity (kW):</t>
  </si>
  <si>
    <t>Tot res (kW):</t>
  </si>
  <si>
    <t>4hrs Battery  cost 2045 [$/kWh]:</t>
  </si>
  <si>
    <t>Tot comm (kW):</t>
  </si>
  <si>
    <t>4hrs Battery  O&amp;M 2030 [$/kWh]:</t>
  </si>
  <si>
    <t>Total area 2030 m2:</t>
  </si>
  <si>
    <t>4hrs Battery  O&amp;M 2045 [$/kWh]:</t>
  </si>
  <si>
    <t>Total area 2030 km2:</t>
  </si>
  <si>
    <t>No regulations for producing under 50 kW for own-consumption</t>
  </si>
  <si>
    <t>No net metering and tariffs for pvs</t>
  </si>
  <si>
    <t>THIRD</t>
  </si>
  <si>
    <t>Northwest grass (MW):</t>
  </si>
  <si>
    <t>Northeast grass 1 (MW):</t>
  </si>
  <si>
    <t>Northeast grass 2 (MW):</t>
  </si>
  <si>
    <t>Apron (MW):</t>
  </si>
  <si>
    <t>Total (MW):</t>
  </si>
  <si>
    <t>Penetration of rooftop pvs is not officially tracked</t>
  </si>
  <si>
    <t>Tariffs for PVs</t>
  </si>
  <si>
    <t>According to Word Bank's survey, 10% of grid connected activities rely on solar rooftop for backup</t>
  </si>
  <si>
    <t>PV density [MW/Acre]:</t>
  </si>
  <si>
    <t>1 Acre [m2]:</t>
  </si>
  <si>
    <t>Kigali Airport pv field:</t>
  </si>
  <si>
    <t>Northwest grass:</t>
  </si>
  <si>
    <t>Northeast grass 1:</t>
  </si>
  <si>
    <t>Northeast grass 2:</t>
  </si>
  <si>
    <t>Apron:</t>
  </si>
  <si>
    <t>total area m2:</t>
  </si>
  <si>
    <t>FIRST</t>
  </si>
  <si>
    <t>total area [acres]:</t>
  </si>
  <si>
    <t>Max capacity [MW]:</t>
  </si>
  <si>
    <t>IDA ICE Modelling</t>
  </si>
  <si>
    <t>Average electricity consumption in 2015 [kWh per household per year] from Article</t>
  </si>
  <si>
    <t>Stove/Household</t>
  </si>
  <si>
    <t xml:space="preserve">Stove/building </t>
  </si>
  <si>
    <t>2040 Total stoves/ archetype</t>
  </si>
  <si>
    <t xml:space="preserve">Rounded up stoves 2040 </t>
  </si>
  <si>
    <t>Type of change</t>
  </si>
  <si>
    <t>Floors</t>
  </si>
  <si>
    <t>Total Height (m)</t>
  </si>
  <si>
    <t>Area per floor (m2)</t>
  </si>
  <si>
    <t>Total occupants</t>
  </si>
  <si>
    <t>N. of households</t>
  </si>
  <si>
    <t>Total households per Archetype</t>
  </si>
  <si>
    <t>% (Total households per Archetype)</t>
  </si>
  <si>
    <t>Lightning (W/m2)</t>
  </si>
  <si>
    <t>Equipment (W/m2)</t>
  </si>
  <si>
    <t>Delivered energy per year (kWh)</t>
  </si>
  <si>
    <t>Rooftop area</t>
  </si>
  <si>
    <t>No Change</t>
  </si>
  <si>
    <t>Newly Built</t>
  </si>
  <si>
    <t>Building Demolished</t>
  </si>
  <si>
    <t>Total</t>
  </si>
  <si>
    <t>Total NET</t>
  </si>
  <si>
    <t>Total habitants considered (2015)</t>
  </si>
  <si>
    <t>Makes sense</t>
  </si>
  <si>
    <t>TOTAL</t>
  </si>
  <si>
    <t>2012 Census</t>
  </si>
  <si>
    <t>Total 2015</t>
  </si>
  <si>
    <t>Total added 2015</t>
  </si>
  <si>
    <t>Coverage Percentage</t>
  </si>
  <si>
    <t>2022 Census</t>
  </si>
  <si>
    <t>Total 2009</t>
  </si>
  <si>
    <t>Total (2009+2015)</t>
  </si>
  <si>
    <t>Main Materials in Kicukiro District</t>
  </si>
  <si>
    <t>Roof</t>
  </si>
  <si>
    <t>Iron Sheets</t>
  </si>
  <si>
    <t>Walls</t>
  </si>
  <si>
    <t>Sun dried bricks with cement</t>
  </si>
  <si>
    <t>Burnt bricks with cemen</t>
  </si>
  <si>
    <t xml:space="preserve">The average household size in Kicukiro district </t>
  </si>
  <si>
    <t>Population</t>
  </si>
  <si>
    <t xml:space="preserve">Households </t>
  </si>
  <si>
    <t>Floor</t>
  </si>
  <si>
    <t>Cement</t>
  </si>
  <si>
    <t>5th RPHC 2022</t>
  </si>
  <si>
    <t>people/household</t>
  </si>
  <si>
    <t>Ceramic/clays/ Granite tiles</t>
  </si>
  <si>
    <t>4th RPHC 2012 (similar in 2015)</t>
  </si>
  <si>
    <t>Average for calculations</t>
  </si>
  <si>
    <t xml:space="preserve">Share </t>
  </si>
  <si>
    <t xml:space="preserve">Delivered energy / year*house </t>
  </si>
  <si>
    <t>Delivered energy/year*archetype</t>
  </si>
  <si>
    <t>Energy/person</t>
  </si>
  <si>
    <t xml:space="preserve">Basic </t>
  </si>
  <si>
    <t xml:space="preserve">Block </t>
  </si>
  <si>
    <t>Households Distribution per Archetype 2015</t>
  </si>
  <si>
    <t>Households 2040</t>
  </si>
  <si>
    <t xml:space="preserve">Buildings 2040 </t>
  </si>
  <si>
    <t>Increase 2022-2040</t>
  </si>
  <si>
    <t>Rounded Building 2040</t>
  </si>
  <si>
    <t>Households 2030</t>
  </si>
  <si>
    <t>Buildigns 2030</t>
  </si>
  <si>
    <t>Increase 2022-2030</t>
  </si>
  <si>
    <t xml:space="preserve">Bungalow </t>
  </si>
  <si>
    <t xml:space="preserve">Villa </t>
  </si>
  <si>
    <t xml:space="preserve">Hall </t>
  </si>
  <si>
    <t>TOTAL ELECTRICITY DEMAND FROM BUILDINGS 2022</t>
  </si>
  <si>
    <t>kWh</t>
  </si>
  <si>
    <t>kWh/person (2022 census)</t>
  </si>
  <si>
    <t>GWh</t>
  </si>
  <si>
    <t>GWh/person (2022 census)</t>
  </si>
  <si>
    <t>Most updated</t>
  </si>
  <si>
    <t>TOTAL ELECTRICITY DEMAND FROM BUILDINGS 2040</t>
  </si>
  <si>
    <t xml:space="preserve"># Residential </t>
  </si>
  <si>
    <t xml:space="preserve">Number of households </t>
  </si>
  <si>
    <t>Number of buildings (residential)</t>
  </si>
  <si>
    <t>Increase 2015-2022</t>
  </si>
  <si>
    <t>kWh/year</t>
  </si>
  <si>
    <t>basic</t>
  </si>
  <si>
    <t>GWh/year</t>
  </si>
  <si>
    <t>Total number of building 2022 (Residential + Hall)</t>
  </si>
  <si>
    <r>
      <t xml:space="preserve"> </t>
    </r>
    <r>
      <rPr>
        <sz val="11"/>
        <color theme="1"/>
        <rFont val="Aptos Narrow"/>
        <family val="2"/>
      </rPr>
      <t>#</t>
    </r>
    <r>
      <rPr>
        <sz val="11"/>
        <color theme="1"/>
        <rFont val="Aptos Narrow"/>
        <family val="2"/>
        <scheme val="minor"/>
      </rPr>
      <t>Administrative + Industrial + Commercial</t>
    </r>
  </si>
  <si>
    <t>Number of building in 2015</t>
  </si>
  <si>
    <t>Number of building in 2022</t>
  </si>
  <si>
    <t>74,15%</t>
  </si>
  <si>
    <t>Firewood + Charcoal + no cooking</t>
  </si>
  <si>
    <t>73,6%</t>
  </si>
  <si>
    <t>0,51%</t>
  </si>
  <si>
    <t xml:space="preserve">Gas </t>
  </si>
  <si>
    <t>26,2 %</t>
  </si>
  <si>
    <t>18,15%</t>
  </si>
  <si>
    <t>3,36%</t>
  </si>
  <si>
    <t xml:space="preserve">26,2 % </t>
  </si>
  <si>
    <t>0,30%</t>
  </si>
  <si>
    <t>USD</t>
  </si>
  <si>
    <t>kW</t>
  </si>
  <si>
    <t>https://understandingchp.com/blog/understanding-chp-and-the-cost-of-installation/</t>
  </si>
  <si>
    <t>Kigali transport:</t>
  </si>
  <si>
    <t>YUTONG ZK618</t>
  </si>
  <si>
    <t>YUTONG 6741</t>
  </si>
  <si>
    <t>ZONDA</t>
  </si>
  <si>
    <t>TOYOTA</t>
  </si>
  <si>
    <t>BENZ</t>
  </si>
  <si>
    <t>YUTONGIN</t>
  </si>
  <si>
    <t>MCV BENZ</t>
  </si>
  <si>
    <t>Seats:</t>
  </si>
  <si>
    <t>total # of buses:</t>
  </si>
  <si>
    <t>Number:</t>
  </si>
  <si>
    <t># large:</t>
  </si>
  <si>
    <t># large (&gt;70)</t>
  </si>
  <si>
    <t># medium:</t>
  </si>
  <si>
    <t>#medium (&lt;70)</t>
  </si>
  <si>
    <t>% large</t>
  </si>
  <si>
    <t>% large:</t>
  </si>
  <si>
    <t>#diesel buses Kicukiro 2030:</t>
  </si>
  <si>
    <t>% medium</t>
  </si>
  <si>
    <t>% medium:</t>
  </si>
  <si>
    <t>#large buses:</t>
  </si>
  <si>
    <t>#medium buses:</t>
  </si>
  <si>
    <t>Jali transport:</t>
  </si>
  <si>
    <t># buses 2025:</t>
  </si>
  <si>
    <t># large</t>
  </si>
  <si>
    <t># additional large:</t>
  </si>
  <si>
    <t># medium</t>
  </si>
  <si>
    <t xml:space="preserve"># large: </t>
  </si>
  <si>
    <t xml:space="preserve"> </t>
  </si>
  <si>
    <t>#medium: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</si>
</sst>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#,##0.0"/>
    <numFmt numFmtId="167" formatCode="#,##0.000"/>
    <numFmt numFmtId="168" formatCode="0.000"/>
    <numFmt numFmtId="169" formatCode="#,##0.000000"/>
    <numFmt numFmtId="170" formatCode="0.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7"/>
      <color rgb="FF1F1F1F"/>
      <name val="Courier New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6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10" fontId="0" fillId="0" borderId="0" xfId="0" applyNumberFormat="1"/>
    <xf numFmtId="10" fontId="0" fillId="3" borderId="0" xfId="0" applyNumberFormat="1" applyFill="1"/>
    <xf numFmtId="0" fontId="0" fillId="0" borderId="9" xfId="0" applyBorder="1"/>
    <xf numFmtId="0" fontId="0" fillId="2" borderId="9" xfId="0" applyFill="1" applyBorder="1"/>
    <xf numFmtId="0" fontId="0" fillId="2" borderId="10" xfId="0" applyFill="1" applyBorder="1"/>
    <xf numFmtId="0" fontId="0" fillId="3" borderId="11" xfId="0" applyFill="1" applyBorder="1"/>
    <xf numFmtId="0" fontId="4" fillId="4" borderId="9" xfId="0" applyFont="1" applyFill="1" applyBorder="1"/>
    <xf numFmtId="0" fontId="0" fillId="4" borderId="9" xfId="0" applyFill="1" applyBorder="1"/>
    <xf numFmtId="0" fontId="0" fillId="5" borderId="9" xfId="0" applyFill="1" applyBorder="1"/>
    <xf numFmtId="0" fontId="0" fillId="5" borderId="14" xfId="0" applyFill="1" applyBorder="1"/>
    <xf numFmtId="3" fontId="0" fillId="6" borderId="9" xfId="0" applyNumberFormat="1" applyFill="1" applyBorder="1"/>
    <xf numFmtId="0" fontId="4" fillId="0" borderId="9" xfId="0" applyFont="1" applyBorder="1"/>
    <xf numFmtId="3" fontId="4" fillId="0" borderId="9" xfId="0" applyNumberFormat="1" applyFont="1" applyBorder="1"/>
    <xf numFmtId="4" fontId="0" fillId="0" borderId="9" xfId="0" applyNumberFormat="1" applyBorder="1"/>
    <xf numFmtId="0" fontId="0" fillId="7" borderId="9" xfId="0" applyFill="1" applyBorder="1"/>
    <xf numFmtId="164" fontId="0" fillId="7" borderId="9" xfId="0" applyNumberFormat="1" applyFill="1" applyBorder="1"/>
    <xf numFmtId="165" fontId="0" fillId="7" borderId="9" xfId="1" applyNumberFormat="1" applyFont="1" applyFill="1" applyBorder="1"/>
    <xf numFmtId="0" fontId="0" fillId="7" borderId="0" xfId="0" applyFill="1"/>
    <xf numFmtId="164" fontId="0" fillId="7" borderId="0" xfId="0" applyNumberFormat="1" applyFill="1"/>
    <xf numFmtId="164" fontId="0" fillId="7" borderId="15" xfId="0" applyNumberFormat="1" applyFill="1" applyBorder="1"/>
    <xf numFmtId="4" fontId="0" fillId="0" borderId="0" xfId="0" applyNumberFormat="1"/>
    <xf numFmtId="0" fontId="0" fillId="7" borderId="14" xfId="0" applyFill="1" applyBorder="1"/>
    <xf numFmtId="3" fontId="0" fillId="0" borderId="9" xfId="0" applyNumberFormat="1" applyBorder="1"/>
    <xf numFmtId="3" fontId="0" fillId="8" borderId="9" xfId="0" applyNumberFormat="1" applyFill="1" applyBorder="1"/>
    <xf numFmtId="0" fontId="0" fillId="0" borderId="0" xfId="0" applyAlignment="1">
      <alignment wrapText="1"/>
    </xf>
    <xf numFmtId="0" fontId="0" fillId="0" borderId="14" xfId="0" applyBorder="1"/>
    <xf numFmtId="3" fontId="5" fillId="9" borderId="17" xfId="0" applyNumberFormat="1" applyFont="1" applyFill="1" applyBorder="1"/>
    <xf numFmtId="3" fontId="0" fillId="10" borderId="17" xfId="0" applyNumberFormat="1" applyFill="1" applyBorder="1"/>
    <xf numFmtId="166" fontId="0" fillId="7" borderId="0" xfId="0" applyNumberFormat="1" applyFill="1"/>
    <xf numFmtId="4" fontId="0" fillId="9" borderId="14" xfId="0" applyNumberFormat="1" applyFill="1" applyBorder="1"/>
    <xf numFmtId="0" fontId="0" fillId="9" borderId="9" xfId="0" applyFill="1" applyBorder="1"/>
    <xf numFmtId="9" fontId="0" fillId="0" borderId="9" xfId="1" applyFont="1" applyBorder="1"/>
    <xf numFmtId="3" fontId="0" fillId="0" borderId="0" xfId="0" applyNumberFormat="1"/>
    <xf numFmtId="9" fontId="0" fillId="0" borderId="0" xfId="1" applyFont="1"/>
    <xf numFmtId="4" fontId="0" fillId="0" borderId="16" xfId="0" applyNumberFormat="1" applyBorder="1"/>
    <xf numFmtId="3" fontId="0" fillId="0" borderId="17" xfId="0" applyNumberFormat="1" applyBorder="1"/>
    <xf numFmtId="0" fontId="0" fillId="0" borderId="0" xfId="0" applyAlignment="1">
      <alignment horizontal="center"/>
    </xf>
    <xf numFmtId="10" fontId="0" fillId="0" borderId="9" xfId="0" applyNumberFormat="1" applyBorder="1"/>
    <xf numFmtId="10" fontId="0" fillId="0" borderId="0" xfId="1" applyNumberFormat="1" applyFont="1"/>
    <xf numFmtId="0" fontId="0" fillId="0" borderId="17" xfId="0" applyBorder="1" applyAlignment="1">
      <alignment wrapText="1"/>
    </xf>
    <xf numFmtId="0" fontId="0" fillId="0" borderId="18" xfId="0" applyBorder="1"/>
    <xf numFmtId="0" fontId="0" fillId="7" borderId="19" xfId="0" applyFill="1" applyBorder="1" applyAlignment="1">
      <alignment horizontal="center" wrapText="1"/>
    </xf>
    <xf numFmtId="0" fontId="0" fillId="0" borderId="20" xfId="0" applyBorder="1"/>
    <xf numFmtId="0" fontId="0" fillId="0" borderId="9" xfId="0" applyBorder="1" applyAlignment="1">
      <alignment wrapText="1"/>
    </xf>
    <xf numFmtId="0" fontId="0" fillId="7" borderId="21" xfId="0" applyFill="1" applyBorder="1" applyAlignment="1">
      <alignment horizontal="center" wrapText="1"/>
    </xf>
    <xf numFmtId="0" fontId="0" fillId="0" borderId="22" xfId="0" applyBorder="1"/>
    <xf numFmtId="0" fontId="0" fillId="0" borderId="9" xfId="0" applyBorder="1" applyAlignment="1">
      <alignment horizontal="center"/>
    </xf>
    <xf numFmtId="0" fontId="0" fillId="0" borderId="17" xfId="0" applyBorder="1"/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wrapText="1"/>
    </xf>
    <xf numFmtId="0" fontId="0" fillId="0" borderId="25" xfId="0" applyBorder="1"/>
    <xf numFmtId="3" fontId="0" fillId="0" borderId="9" xfId="0" applyNumberFormat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167" fontId="0" fillId="0" borderId="0" xfId="0" applyNumberFormat="1"/>
    <xf numFmtId="0" fontId="0" fillId="9" borderId="9" xfId="0" applyFill="1" applyBorder="1" applyAlignment="1">
      <alignment horizontal="center"/>
    </xf>
    <xf numFmtId="0" fontId="0" fillId="9" borderId="14" xfId="0" applyFill="1" applyBorder="1"/>
    <xf numFmtId="0" fontId="0" fillId="9" borderId="17" xfId="0" applyFill="1" applyBorder="1"/>
    <xf numFmtId="10" fontId="0" fillId="0" borderId="14" xfId="1" applyNumberFormat="1" applyFont="1" applyBorder="1"/>
    <xf numFmtId="168" fontId="0" fillId="0" borderId="9" xfId="0" applyNumberFormat="1" applyBorder="1"/>
    <xf numFmtId="164" fontId="0" fillId="7" borderId="14" xfId="0" applyNumberFormat="1" applyFill="1" applyBorder="1"/>
    <xf numFmtId="0" fontId="0" fillId="9" borderId="26" xfId="0" applyFill="1" applyBorder="1"/>
    <xf numFmtId="164" fontId="0" fillId="7" borderId="23" xfId="0" applyNumberFormat="1" applyFill="1" applyBorder="1"/>
    <xf numFmtId="0" fontId="4" fillId="0" borderId="0" xfId="0" applyFont="1"/>
    <xf numFmtId="4" fontId="4" fillId="0" borderId="9" xfId="0" applyNumberFormat="1" applyFont="1" applyBorder="1"/>
    <xf numFmtId="10" fontId="4" fillId="0" borderId="14" xfId="0" applyNumberFormat="1" applyFont="1" applyBorder="1"/>
    <xf numFmtId="0" fontId="4" fillId="0" borderId="9" xfId="0" applyFont="1" applyBorder="1" applyAlignment="1">
      <alignment horizontal="center"/>
    </xf>
    <xf numFmtId="4" fontId="0" fillId="0" borderId="21" xfId="0" applyNumberFormat="1" applyBorder="1"/>
    <xf numFmtId="0" fontId="0" fillId="0" borderId="27" xfId="0" applyBorder="1"/>
    <xf numFmtId="4" fontId="0" fillId="13" borderId="0" xfId="0" applyNumberFormat="1" applyFill="1"/>
    <xf numFmtId="4" fontId="0" fillId="0" borderId="27" xfId="0" applyNumberFormat="1" applyBorder="1"/>
    <xf numFmtId="4" fontId="0" fillId="13" borderId="14" xfId="0" applyNumberFormat="1" applyFill="1" applyBorder="1"/>
    <xf numFmtId="169" fontId="0" fillId="0" borderId="25" xfId="0" applyNumberFormat="1" applyBorder="1"/>
    <xf numFmtId="4" fontId="0" fillId="0" borderId="17" xfId="0" applyNumberFormat="1" applyBorder="1"/>
    <xf numFmtId="168" fontId="0" fillId="0" borderId="14" xfId="0" applyNumberFormat="1" applyBorder="1"/>
    <xf numFmtId="0" fontId="0" fillId="0" borderId="26" xfId="0" applyBorder="1"/>
    <xf numFmtId="0" fontId="0" fillId="4" borderId="14" xfId="0" applyFill="1" applyBorder="1"/>
    <xf numFmtId="0" fontId="0" fillId="0" borderId="15" xfId="0" applyBorder="1"/>
    <xf numFmtId="4" fontId="0" fillId="0" borderId="15" xfId="0" applyNumberFormat="1" applyBorder="1"/>
    <xf numFmtId="4" fontId="0" fillId="0" borderId="23" xfId="0" applyNumberFormat="1" applyBorder="1"/>
    <xf numFmtId="170" fontId="0" fillId="0" borderId="9" xfId="0" applyNumberFormat="1" applyBorder="1"/>
    <xf numFmtId="0" fontId="0" fillId="0" borderId="21" xfId="0" applyBorder="1"/>
    <xf numFmtId="4" fontId="0" fillId="0" borderId="14" xfId="0" applyNumberFormat="1" applyBorder="1"/>
    <xf numFmtId="0" fontId="5" fillId="4" borderId="9" xfId="0" applyFont="1" applyFill="1" applyBorder="1"/>
    <xf numFmtId="0" fontId="0" fillId="4" borderId="9" xfId="0" applyFill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29" xfId="0" applyBorder="1"/>
    <xf numFmtId="0" fontId="0" fillId="14" borderId="9" xfId="0" applyFill="1" applyBorder="1"/>
    <xf numFmtId="9" fontId="0" fillId="3" borderId="0" xfId="0" applyNumberFormat="1" applyFill="1"/>
    <xf numFmtId="0" fontId="0" fillId="15" borderId="9" xfId="0" applyFill="1" applyBorder="1"/>
    <xf numFmtId="0" fontId="0" fillId="4" borderId="16" xfId="0" applyFill="1" applyBorder="1"/>
    <xf numFmtId="0" fontId="4" fillId="7" borderId="9" xfId="0" applyFont="1" applyFill="1" applyBorder="1"/>
    <xf numFmtId="3" fontId="0" fillId="7" borderId="9" xfId="0" applyNumberFormat="1" applyFill="1" applyBorder="1"/>
    <xf numFmtId="3" fontId="4" fillId="7" borderId="9" xfId="0" applyNumberFormat="1" applyFont="1" applyFill="1" applyBorder="1"/>
    <xf numFmtId="4" fontId="0" fillId="7" borderId="9" xfId="0" applyNumberFormat="1" applyFill="1" applyBorder="1"/>
    <xf numFmtId="0" fontId="4" fillId="0" borderId="30" xfId="0" applyFont="1" applyBorder="1"/>
    <xf numFmtId="0" fontId="0" fillId="4" borderId="30" xfId="0" applyFill="1" applyBorder="1"/>
    <xf numFmtId="0" fontId="7" fillId="0" borderId="0" xfId="2"/>
    <xf numFmtId="0" fontId="0" fillId="0" borderId="3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1" xfId="0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10" fontId="0" fillId="0" borderId="31" xfId="0" applyNumberFormat="1" applyBorder="1"/>
    <xf numFmtId="10" fontId="0" fillId="0" borderId="8" xfId="0" applyNumberFormat="1" applyBorder="1"/>
    <xf numFmtId="0" fontId="0" fillId="3" borderId="4" xfId="0" applyFill="1" applyBorder="1"/>
    <xf numFmtId="0" fontId="0" fillId="3" borderId="8" xfId="0" applyFill="1" applyBorder="1"/>
    <xf numFmtId="10" fontId="0" fillId="3" borderId="31" xfId="0" applyNumberFormat="1" applyFill="1" applyBorder="1"/>
    <xf numFmtId="10" fontId="0" fillId="3" borderId="8" xfId="0" applyNumberFormat="1" applyFill="1" applyBorder="1"/>
    <xf numFmtId="0" fontId="4" fillId="7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/>
    </xf>
    <xf numFmtId="0" fontId="0" fillId="12" borderId="14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0" fontId="0" fillId="0" borderId="9" xfId="1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1" borderId="1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5" borderId="15" xfId="0" applyFill="1" applyBorder="1" applyAlignment="1">
      <alignment horizontal="center" wrapText="1"/>
    </xf>
    <xf numFmtId="0" fontId="0" fillId="5" borderId="16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Solar!$I$1</c:f>
              <c:strCache>
                <c:ptCount val="1"/>
                <c:pt idx="0">
                  <c:v>rfUSD/kW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Solar!$H$2:$H$15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xVal>
          <c:yVal>
            <c:numRef>
              <c:f>Solar!$I$2:$I$15</c:f>
              <c:numCache>
                <c:formatCode>General</c:formatCode>
                <c:ptCount val="14"/>
                <c:pt idx="0">
                  <c:v>8124.3</c:v>
                </c:pt>
                <c:pt idx="1">
                  <c:v>6966.09</c:v>
                </c:pt>
                <c:pt idx="2">
                  <c:v>5302.9800000000005</c:v>
                </c:pt>
                <c:pt idx="3">
                  <c:v>4654.26</c:v>
                </c:pt>
                <c:pt idx="4">
                  <c:v>4205.97</c:v>
                </c:pt>
                <c:pt idx="5">
                  <c:v>3197.7000000000003</c:v>
                </c:pt>
                <c:pt idx="6">
                  <c:v>2908.53</c:v>
                </c:pt>
                <c:pt idx="7">
                  <c:v>2515.3200000000002</c:v>
                </c:pt>
                <c:pt idx="8">
                  <c:v>2149.65</c:v>
                </c:pt>
                <c:pt idx="9">
                  <c:v>1776.33</c:v>
                </c:pt>
                <c:pt idx="10">
                  <c:v>1559.07</c:v>
                </c:pt>
                <c:pt idx="11">
                  <c:v>1453.5</c:v>
                </c:pt>
                <c:pt idx="12">
                  <c:v>1389.24</c:v>
                </c:pt>
                <c:pt idx="13">
                  <c:v>1161.27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4372-89D6-4AE44AE2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378815"/>
        <c:axId val="1105376415"/>
      </c:scatterChart>
      <c:valAx>
        <c:axId val="110537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6415"/>
        <c:crosses val="autoZero"/>
        <c:crossBetween val="midCat"/>
      </c:valAx>
      <c:valAx>
        <c:axId val="11053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930446194225721E-2"/>
                  <c:y val="-0.51551582093904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Solar!$K$3:$K$15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xVal>
          <c:yVal>
            <c:numRef>
              <c:f>Solar!$L$3:$L$15</c:f>
              <c:numCache>
                <c:formatCode>General</c:formatCode>
                <c:ptCount val="13"/>
                <c:pt idx="0">
                  <c:v>0.14256120527306967</c:v>
                </c:pt>
                <c:pt idx="1">
                  <c:v>0.23874368548209965</c:v>
                </c:pt>
                <c:pt idx="2">
                  <c:v>0.122331217541835</c:v>
                </c:pt>
                <c:pt idx="3">
                  <c:v>9.6318211702827075E-2</c:v>
                </c:pt>
                <c:pt idx="4">
                  <c:v>0.23972353583121134</c:v>
                </c:pt>
                <c:pt idx="5">
                  <c:v>9.0430622009569389E-2</c:v>
                </c:pt>
                <c:pt idx="6">
                  <c:v>0.13519200420831143</c:v>
                </c:pt>
                <c:pt idx="7">
                  <c:v>0.14537712895377131</c:v>
                </c:pt>
                <c:pt idx="8">
                  <c:v>0.17366548042704633</c:v>
                </c:pt>
                <c:pt idx="9">
                  <c:v>0.1223083548664944</c:v>
                </c:pt>
                <c:pt idx="10">
                  <c:v>6.771344455348377E-2</c:v>
                </c:pt>
                <c:pt idx="11">
                  <c:v>4.4210526315789464E-2</c:v>
                </c:pt>
                <c:pt idx="12">
                  <c:v>0.1640969162995595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6-4E79-A7BC-7C879E21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94543"/>
        <c:axId val="1149895503"/>
      </c:scatterChart>
      <c:valAx>
        <c:axId val="114989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95503"/>
        <c:crosses val="autoZero"/>
        <c:crossBetween val="midCat"/>
      </c:valAx>
      <c:valAx>
        <c:axId val="1149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9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1B-4B53-BD50-8C441D1AE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BAULOAD!#REF!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BAULOAD!#REF!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BDB-40FF-A277-DFB14158D8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BAULOAD!#REF!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BAULOAD!#REF!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FDF-4F5A-AB1D-C9B09A597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9630847"/>
        <c:axId val="1539636127"/>
      </c:barChart>
      <c:catAx>
        <c:axId val="15396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36127"/>
        <c:crosses val="autoZero"/>
        <c:auto val="1"/>
        <c:lblAlgn val="ctr"/>
        <c:lblOffset val="100"/>
        <c:noMultiLvlLbl val="0"/>
      </c:catAx>
      <c:valAx>
        <c:axId val="15396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6308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91887247575991"/>
          <c:y val="0.1978046010570686"/>
          <c:w val="0.81272253405083938"/>
          <c:h val="0.7170474607743769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BIOGAS!$B$6:$B$16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BIOGAS!$C$6:$C$16</c:f>
              <c:numCache>
                <c:formatCode>General</c:formatCode>
                <c:ptCount val="11"/>
                <c:pt idx="0">
                  <c:v>2900</c:v>
                </c:pt>
                <c:pt idx="1">
                  <c:v>144621.47</c:v>
                </c:pt>
                <c:pt idx="2">
                  <c:v>359350.97</c:v>
                </c:pt>
                <c:pt idx="3">
                  <c:v>430927.47</c:v>
                </c:pt>
                <c:pt idx="4">
                  <c:v>574080.47</c:v>
                </c:pt>
                <c:pt idx="5">
                  <c:v>717233.47</c:v>
                </c:pt>
                <c:pt idx="6">
                  <c:v>860386.47</c:v>
                </c:pt>
                <c:pt idx="7">
                  <c:v>1003539.47</c:v>
                </c:pt>
                <c:pt idx="8">
                  <c:v>1146692.47</c:v>
                </c:pt>
                <c:pt idx="9">
                  <c:v>1289845.47</c:v>
                </c:pt>
                <c:pt idx="10">
                  <c:v>1433000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1-485F-AF94-F475F98F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25695"/>
        <c:axId val="2065606495"/>
      </c:scatterChart>
      <c:valAx>
        <c:axId val="20656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06495"/>
        <c:crosses val="autoZero"/>
        <c:crossBetween val="midCat"/>
      </c:valAx>
      <c:valAx>
        <c:axId val="20656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339725</xdr:colOff>
      <xdr:row>0</xdr:row>
      <xdr:rowOff>63500</xdr:rowOff>
    </xdr:from>
    <xdr:to>
      <xdr:col>20</xdr:col>
      <xdr:colOff>34925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28340-9959-BE43-F6CF-498063F3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66386</xdr:colOff>
      <xdr:row>0</xdr:row>
      <xdr:rowOff>136526</xdr:rowOff>
    </xdr:from>
    <xdr:to>
      <xdr:col>27</xdr:col>
      <xdr:colOff>395431</xdr:colOff>
      <xdr:row>15</xdr:row>
      <xdr:rowOff>65521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9D99B-C590-530E-1530-0D6B87C75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</xdr:colOff>
      <xdr:row>71</xdr:row>
      <xdr:rowOff>156873</xdr:rowOff>
    </xdr:from>
    <xdr:to>
      <xdr:col>7</xdr:col>
      <xdr:colOff>1044224</xdr:colOff>
      <xdr:row>95</xdr:row>
      <xdr:rowOff>125589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746ACE-1982-2873-CF2C-A1470FBEB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3266095"/>
          <a:ext cx="9694334" cy="4371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19758</xdr:colOff>
      <xdr:row>16</xdr:row>
      <xdr:rowOff>30223</xdr:rowOff>
    </xdr:from>
    <xdr:to>
      <xdr:col>13</xdr:col>
      <xdr:colOff>47741</xdr:colOff>
      <xdr:row>29</xdr:row>
      <xdr:rowOff>163740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FD669DF-2A6A-433D-9358-3A639EA2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20203</xdr:colOff>
      <xdr:row>30</xdr:row>
      <xdr:rowOff>56496</xdr:rowOff>
    </xdr:from>
    <xdr:to>
      <xdr:col>13</xdr:col>
      <xdr:colOff>47741</xdr:colOff>
      <xdr:row>44</xdr:row>
      <xdr:rowOff>25829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A73E230-2982-47D4-B06C-E337AD507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11ACF-8D17-EA90-7225-DD26B2D8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a Ruggerini" id="{493C10D6-7E11-4B23-8A9D-34701788C240}" userId="S::martar@UG.KTH.SE::3ca16268-db85-46f0-9821-4902e7fef250" providerId="AD"/>
  <person displayName="Andrea Mario Gaetani" id="{06D7DFAD-771B-4145-9216-82D5DA0618B3}" userId="S::gaetani@UG.KTH.SE::cb70a217-0455-49df-b4f1-b1ffba3041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6" dT="2025-05-13T15:07:23.76" personId="{06D7DFAD-771B-4145-9216-82D5DA0618B3}" id="{3AF533EC-5726-482F-BEA5-E3FE5DE4CAA5}">
    <text>https://www.seforall.org/system/files/2024-09/Energizing%20Rwanda%E2%80%99s%20Development.pdf</text>
    <extLst>
      <x:ext xmlns:xltc2="http://schemas.microsoft.com/office/spreadsheetml/2020/threadedcomments2" uri="{F7C98A9C-CBB3-438F-8F68-D28B6AF4A901}">
        <xltc2:checksum>75867155</xltc2:checksum>
        <xltc2:hyperlink startIndex="0" length="93" url="https://www.seforall.org/system/files/2024-09/Energizing%20Rwanda%E2%80%99s%20Development.pdf"/>
      </x:ext>
    </extLst>
  </threadedComment>
  <threadedComment ref="R51" dT="2025-05-13T15:08:36.86" personId="{06D7DFAD-771B-4145-9216-82D5DA0618B3}" id="{09BC74B0-EB47-4828-9F01-7B57900417AC}">
    <text>https://docs.nrel.gov/docs/fy23osti/85332.pdf</text>
    <extLst>
      <x:ext xmlns:xltc2="http://schemas.microsoft.com/office/spreadsheetml/2020/threadedcomments2" uri="{F7C98A9C-CBB3-438F-8F68-D28B6AF4A901}">
        <xltc2:checksum>3528989989</xltc2:checksum>
        <xltc2:hyperlink startIndex="0" length="45" url="https://docs.nrel.gov/docs/fy23osti/85332.pdf"/>
      </x:ext>
    </extLst>
  </threadedComment>
  <threadedComment ref="R59" dT="2025-05-13T20:13:20.10" personId="{06D7DFAD-771B-4145-9216-82D5DA0618B3}" id="{753AAFE9-EBE8-429D-A721-657C4F3EC5AF}">
    <text>https://www.giz.de/en/downloads/giz2024-en-rw-pdp-regulatory-guide-rz-bf.pdf#:~:text=In%20accordance%20with%20the%20Electricity,the%20regulatory%20requirements%20and%20obligations</text>
    <extLst>
      <x:ext xmlns:xltc2="http://schemas.microsoft.com/office/spreadsheetml/2020/threadedcomments2" uri="{F7C98A9C-CBB3-438F-8F68-D28B6AF4A901}">
        <xltc2:checksum>3138090787</xltc2:checksum>
        <xltc2:hyperlink startIndex="0" length="179" url="https://www.giz.de/en/downloads/giz2024-en-rw-pdp-regulatory-guide-rz-bf.pdf#:~:text=In%20accordance%20with%20the%20Electricity,the%20regulatory%20requirements%20and%20obligations"/>
      </x:ext>
    </extLst>
  </threadedComment>
  <threadedComment ref="R59" dT="2025-05-13T20:13:39.95" personId="{06D7DFAD-771B-4145-9216-82D5DA0618B3}" id="{E0FB8936-E83C-4138-87A7-9A3A6A0AD4D0}" parentId="{753AAFE9-EBE8-429D-A721-657C4F3EC5AF}">
    <text>Page 16</text>
  </threadedComment>
  <threadedComment ref="R60" dT="2025-05-13T20:15:43.07" personId="{06D7DFAD-771B-4145-9216-82D5DA0618B3}" id="{63C6BF50-6405-4ABE-B09E-77C9731094B0}">
    <text>https://www.giz.de/en/downloads/giz2024-en-rw-pdp-regulatory-guide-rz-bf.pdf#:~:text=There%20are%20no%20regulations%20for,Regulations%20on%20Rwanda%20Renewable%20Energy</text>
    <extLst>
      <x:ext xmlns:xltc2="http://schemas.microsoft.com/office/spreadsheetml/2020/threadedcomments2" uri="{F7C98A9C-CBB3-438F-8F68-D28B6AF4A901}">
        <xltc2:checksum>2952596024</xltc2:checksum>
        <xltc2:hyperlink startIndex="0" length="168" url="https://www.giz.de/en/downloads/giz2024-en-rw-pdp-regulatory-guide-rz-bf.pdf#:~:text=There%20are%20no%20regulations%20for,Regulations%20on%20Rwanda%20Renewable%20Energy"/>
      </x:ext>
    </extLst>
  </threadedComment>
  <threadedComment ref="R62" dT="2025-05-13T20:39:43.22" personId="{06D7DFAD-771B-4145-9216-82D5DA0618B3}" id="{29356342-131B-4833-92E9-2243EECE59C8}">
    <text>https://www.reg.rw/customer-service/tariffs/</text>
    <extLst>
      <x:ext xmlns:xltc2="http://schemas.microsoft.com/office/spreadsheetml/2020/threadedcomments2" uri="{F7C98A9C-CBB3-438F-8F68-D28B6AF4A901}">
        <xltc2:checksum>3576928978</xltc2:checksum>
        <xltc2:hyperlink startIndex="0" length="44" url="https://www.reg.rw/customer-service/tariffs/"/>
      </x:ext>
    </extLst>
  </threadedComment>
  <threadedComment ref="R63" dT="2025-05-13T20:47:53.55" personId="{06D7DFAD-771B-4145-9216-82D5DA0618B3}" id="{CE62517E-9340-4D7F-B180-961460364BD2}">
    <text>https://www.seforall.org/system/files/2024-09/Energizing%20Rwanda%E2%80%99s%20Development.pdf</text>
    <extLst>
      <x:ext xmlns:xltc2="http://schemas.microsoft.com/office/spreadsheetml/2020/threadedcomments2" uri="{F7C98A9C-CBB3-438F-8F68-D28B6AF4A901}">
        <xltc2:checksum>75867155</xltc2:checksum>
        <xltc2:hyperlink startIndex="0" length="93" url="https://www.seforall.org/system/files/2024-09/Energizing%20Rwanda%E2%80%99s%20Development.pdf"/>
      </x:ext>
    </extLst>
  </threadedComment>
  <threadedComment ref="A64" dT="2025-05-11T21:43:51.22" personId="{06D7DFAD-771B-4145-9216-82D5DA0618B3}" id="{D2F1F38E-592B-4966-A106-AC0F947BC88F}">
    <text>https://www.energy.gov/sites/default/files/2022-01/lbnl_ieee-land-requirements-for-utility-scale-pv.pdf</text>
    <extLst>
      <x:ext xmlns:xltc2="http://schemas.microsoft.com/office/spreadsheetml/2020/threadedcomments2" uri="{F7C98A9C-CBB3-438F-8F68-D28B6AF4A901}">
        <xltc2:checksum>1910896093</xltc2:checksum>
        <xltc2:hyperlink startIndex="0" length="103" url="https://www.energy.gov/sites/default/files/2022-01/lbnl_ieee-land-requirements-for-utility-scale-pv.pdf"/>
      </x:ext>
    </extLst>
  </threadedComment>
  <threadedComment ref="A67" dT="2025-05-11T10:09:47.55" personId="{06D7DFAD-771B-4145-9216-82D5DA0618B3}" id="{86838F7A-8ECD-437D-8CDC-9F9B418DC904}">
    <text>https://esa.afdb.org/sites/default/files/UK11-24483_2_Volume%201_NBIA_ESIA_Non-technical%20Summary.pdf</text>
    <extLst>
      <x:ext xmlns:xltc2="http://schemas.microsoft.com/office/spreadsheetml/2020/threadedcomments2" uri="{F7C98A9C-CBB3-438F-8F68-D28B6AF4A901}">
        <xltc2:checksum>3862035559</xltc2:checksum>
        <xltc2:hyperlink startIndex="0" length="102" url="https://esa.afdb.org/sites/default/files/UK11-24483_2_Volume%201_NBIA_ESIA_Non-technical%20Summary.pdf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22" dT="2025-04-18T14:26:22.34" personId="{493C10D6-7E11-4B23-8A9D-34701788C240}" id="{95503CCC-51BB-4BE3-8D93-736F67528ECC}">
    <text>People per household incerasing 0.01 every year</text>
  </threadedComment>
  <threadedComment ref="AA22" dT="2025-04-18T14:25:29.50" personId="{493C10D6-7E11-4B23-8A9D-34701788C240}" id="{775AD2C4-5177-4139-8175-592BD2CF431B}">
    <text>From  other excel with linear regression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5-05-26T13:51:01.02" personId="{06D7DFAD-771B-4145-9216-82D5DA0618B3}" id="{562F29AB-7013-4BAC-AAD5-4520633B3CDC}">
    <text>https://kigalibusservices.rw/our-buses/</text>
    <extLst>
      <x:ext xmlns:xltc2="http://schemas.microsoft.com/office/spreadsheetml/2020/threadedcomments2" uri="{F7C98A9C-CBB3-438F-8F68-D28B6AF4A901}">
        <xltc2:checksum>1010810376</xltc2:checksum>
        <xltc2:hyperlink startIndex="0" length="39" url="https://kigalibusservices.rw/our-buses/"/>
      </x:ext>
    </extLst>
  </threadedComment>
  <threadedComment ref="C12" dT="2025-05-26T13:51:47.55" personId="{06D7DFAD-771B-4145-9216-82D5DA0618B3}" id="{A4CAFEEB-E8CB-4A2C-8ADC-3021FF97ECA3}">
    <text>https://en.igihe.com/news/article/jali-transport-to-introduce-new-buses</text>
    <extLst>
      <x:ext xmlns:xltc2="http://schemas.microsoft.com/office/spreadsheetml/2020/threadedcomments2" uri="{F7C98A9C-CBB3-438F-8F68-D28B6AF4A901}">
        <xltc2:checksum>648829902</xltc2:checksum>
        <xltc2:hyperlink startIndex="0" length="71" url="https://en.igihe.com/news/article/jali-transport-to-introduce-new-buses"/>
      </x:ext>
    </extLst>
  </threadedComment>
  <threadedComment ref="N12" dT="2025-05-26T13:50:02.68" personId="{06D7DFAD-771B-4145-9216-82D5DA0618B3}" id="{5075AAFA-128D-4895-BF0F-ACCB10CA4B4A}">
    <text>https://www.ktpress.rw/2024/03/kigali-introduces-new-public-transport-lines-to-ease-mobility/#:~:text=According%20to%20Samuel%20Dusengiyumva%2C%20Kigali,nearly%20180%2C000%20during%20the%20weekend.</text>
    <extLst>
      <x:ext xmlns:xltc2="http://schemas.microsoft.com/office/spreadsheetml/2020/threadedcomments2" uri="{F7C98A9C-CBB3-438F-8F68-D28B6AF4A901}">
        <xltc2:checksum>3531631424</xltc2:checksum>
        <xltc2:hyperlink startIndex="0" length="196" url="https://www.ktpress.rw/2024/03/kigali-introduces-new-public-transport-lines-to-ease-mobility/#:~:text=According%20to%20Samuel%20Dusengiyumva%2C%20Kigali,nearly%20180%2C000%20during%20the%20weekend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understandingchp.com/blog/understanding-chp-and-the-cost-of-installa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32DF-C96E-4C40-9160-13A5B28DAAB2}">
  <dimension ref="A1:AL75"/>
  <sheetViews>
    <sheetView topLeftCell="P42" zoomScale="110" zoomScaleNormal="70" workbookViewId="0">
      <selection activeCell="R54" sqref="R54"/>
    </sheetView>
  </sheetViews>
  <sheetFormatPr defaultRowHeight="14.5" x14ac:dyDescent="0.35"/>
  <cols>
    <col min="1" max="1" width="19.54296875" customWidth="1"/>
    <col min="2" max="2" width="14.453125" customWidth="1"/>
    <col min="3" max="3" width="16.81640625" customWidth="1"/>
    <col min="4" max="4" width="23" customWidth="1"/>
    <col min="5" max="5" width="18.54296875" customWidth="1"/>
    <col min="6" max="6" width="13.54296875" customWidth="1"/>
    <col min="7" max="7" width="17.81640625" customWidth="1"/>
    <col min="8" max="8" width="16.453125" customWidth="1"/>
    <col min="9" max="9" width="10.81640625" customWidth="1"/>
    <col min="10" max="10" width="27.453125" customWidth="1"/>
    <col min="11" max="11" width="25.453125" customWidth="1"/>
    <col min="12" max="12" width="13.81640625" customWidth="1"/>
    <col min="13" max="13" width="18.81640625" customWidth="1"/>
    <col min="14" max="14" width="18.54296875" customWidth="1"/>
    <col min="15" max="15" width="27" customWidth="1"/>
    <col min="16" max="16" width="21.7265625" customWidth="1"/>
    <col min="17" max="17" width="17" customWidth="1"/>
    <col min="18" max="18" width="26.453125" customWidth="1"/>
    <col min="19" max="19" width="21.26953125" customWidth="1"/>
    <col min="20" max="20" width="17.26953125" customWidth="1"/>
    <col min="21" max="21" width="21.453125" customWidth="1"/>
    <col min="22" max="22" width="22.7265625" customWidth="1"/>
    <col min="23" max="23" width="21" customWidth="1"/>
    <col min="24" max="24" width="19.1796875" customWidth="1"/>
    <col min="25" max="25" width="17.7265625" customWidth="1"/>
    <col min="26" max="26" width="14.7265625" customWidth="1"/>
    <col min="27" max="27" width="16.81640625" customWidth="1"/>
    <col min="29" max="29" width="16.453125" customWidth="1"/>
    <col min="31" max="31" width="13.54296875" customWidth="1"/>
    <col min="34" max="34" width="19.7265625" customWidth="1"/>
    <col min="35" max="35" width="20.54296875" customWidth="1"/>
    <col min="36" max="36" width="20.1796875" customWidth="1"/>
    <col min="37" max="37" width="13" customWidth="1"/>
    <col min="38" max="38" width="11.1796875" customWidth="1"/>
  </cols>
  <sheetData>
    <row r="1" spans="1:12" x14ac:dyDescent="0.35">
      <c r="D1" t="s">
        <v>0</v>
      </c>
      <c r="E1" t="s">
        <v>1</v>
      </c>
      <c r="F1" t="s">
        <v>2</v>
      </c>
      <c r="H1" t="s">
        <v>0</v>
      </c>
      <c r="I1" t="s">
        <v>2</v>
      </c>
    </row>
    <row r="2" spans="1:12" x14ac:dyDescent="0.35">
      <c r="D2">
        <v>2010</v>
      </c>
      <c r="E2">
        <v>5310</v>
      </c>
      <c r="F2">
        <f>$E2*1.53</f>
        <v>8124.3</v>
      </c>
      <c r="H2">
        <v>2010</v>
      </c>
      <c r="I2">
        <f>$E2*1.53</f>
        <v>8124.3</v>
      </c>
    </row>
    <row r="3" spans="1:12" x14ac:dyDescent="0.35">
      <c r="D3">
        <v>2011</v>
      </c>
      <c r="E3">
        <v>4553</v>
      </c>
      <c r="F3">
        <f t="shared" ref="F3:F15" si="0">$E3*1.53</f>
        <v>6966.09</v>
      </c>
      <c r="H3">
        <v>2011</v>
      </c>
      <c r="I3">
        <f t="shared" ref="I3:I15" si="1">$E3*1.53</f>
        <v>6966.09</v>
      </c>
      <c r="K3">
        <v>2011</v>
      </c>
      <c r="L3">
        <f>($I2-$I3)/($I2)</f>
        <v>0.14256120527306967</v>
      </c>
    </row>
    <row r="4" spans="1:12" x14ac:dyDescent="0.35">
      <c r="D4">
        <v>2012</v>
      </c>
      <c r="E4">
        <v>3466</v>
      </c>
      <c r="F4">
        <f t="shared" si="0"/>
        <v>5302.9800000000005</v>
      </c>
      <c r="H4">
        <v>2012</v>
      </c>
      <c r="I4">
        <f t="shared" si="1"/>
        <v>5302.9800000000005</v>
      </c>
      <c r="K4">
        <v>2012</v>
      </c>
      <c r="L4">
        <f t="shared" ref="L4:L15" si="2">($I3-$I4)/($I3)</f>
        <v>0.23874368548209965</v>
      </c>
    </row>
    <row r="5" spans="1:12" x14ac:dyDescent="0.35">
      <c r="D5">
        <v>2013</v>
      </c>
      <c r="E5">
        <v>3042</v>
      </c>
      <c r="F5">
        <f t="shared" si="0"/>
        <v>4654.26</v>
      </c>
      <c r="H5">
        <v>2013</v>
      </c>
      <c r="I5">
        <f t="shared" si="1"/>
        <v>4654.26</v>
      </c>
      <c r="K5">
        <v>2013</v>
      </c>
      <c r="L5">
        <f t="shared" si="2"/>
        <v>0.122331217541835</v>
      </c>
    </row>
    <row r="6" spans="1:12" x14ac:dyDescent="0.35">
      <c r="D6">
        <v>2014</v>
      </c>
      <c r="E6">
        <v>2749</v>
      </c>
      <c r="F6">
        <f t="shared" si="0"/>
        <v>4205.97</v>
      </c>
      <c r="H6">
        <v>2014</v>
      </c>
      <c r="I6">
        <f t="shared" si="1"/>
        <v>4205.97</v>
      </c>
      <c r="K6">
        <v>2014</v>
      </c>
      <c r="L6">
        <f t="shared" si="2"/>
        <v>9.6318211702827075E-2</v>
      </c>
    </row>
    <row r="7" spans="1:12" x14ac:dyDescent="0.35">
      <c r="D7">
        <v>2015</v>
      </c>
      <c r="E7">
        <v>2090</v>
      </c>
      <c r="F7">
        <f t="shared" si="0"/>
        <v>3197.7000000000003</v>
      </c>
      <c r="H7">
        <v>2015</v>
      </c>
      <c r="I7">
        <f t="shared" si="1"/>
        <v>3197.7000000000003</v>
      </c>
      <c r="K7">
        <v>2015</v>
      </c>
      <c r="L7">
        <f t="shared" si="2"/>
        <v>0.23972353583121134</v>
      </c>
    </row>
    <row r="8" spans="1:12" x14ac:dyDescent="0.35">
      <c r="A8">
        <f>(4236+658)/2</f>
        <v>2447</v>
      </c>
      <c r="D8">
        <v>2016</v>
      </c>
      <c r="E8">
        <v>1901</v>
      </c>
      <c r="F8">
        <f t="shared" si="0"/>
        <v>2908.53</v>
      </c>
      <c r="H8">
        <v>2016</v>
      </c>
      <c r="I8">
        <f t="shared" si="1"/>
        <v>2908.53</v>
      </c>
      <c r="K8">
        <v>2016</v>
      </c>
      <c r="L8">
        <f t="shared" si="2"/>
        <v>9.0430622009569389E-2</v>
      </c>
    </row>
    <row r="9" spans="1:12" x14ac:dyDescent="0.35">
      <c r="A9">
        <f>(2974+651)/2</f>
        <v>1812.5</v>
      </c>
      <c r="D9">
        <v>2017</v>
      </c>
      <c r="E9">
        <v>1644</v>
      </c>
      <c r="F9">
        <f t="shared" si="0"/>
        <v>2515.3200000000002</v>
      </c>
      <c r="H9">
        <v>2017</v>
      </c>
      <c r="I9">
        <f t="shared" si="1"/>
        <v>2515.3200000000002</v>
      </c>
      <c r="K9">
        <v>2017</v>
      </c>
      <c r="L9">
        <f t="shared" si="2"/>
        <v>0.13519200420831143</v>
      </c>
    </row>
    <row r="10" spans="1:12" x14ac:dyDescent="0.35">
      <c r="A10" s="3">
        <f>(2447-1812.5)/1812.5</f>
        <v>0.35006896551724137</v>
      </c>
      <c r="D10">
        <v>2018</v>
      </c>
      <c r="E10">
        <v>1405</v>
      </c>
      <c r="F10">
        <f t="shared" si="0"/>
        <v>2149.65</v>
      </c>
      <c r="H10">
        <v>2018</v>
      </c>
      <c r="I10">
        <f t="shared" si="1"/>
        <v>2149.65</v>
      </c>
      <c r="K10">
        <v>2018</v>
      </c>
      <c r="L10">
        <f t="shared" si="2"/>
        <v>0.14537712895377131</v>
      </c>
    </row>
    <row r="11" spans="1:12" x14ac:dyDescent="0.35">
      <c r="D11">
        <v>2019</v>
      </c>
      <c r="E11">
        <v>1161</v>
      </c>
      <c r="F11">
        <f t="shared" si="0"/>
        <v>1776.33</v>
      </c>
      <c r="H11">
        <v>2019</v>
      </c>
      <c r="I11">
        <f t="shared" si="1"/>
        <v>1776.33</v>
      </c>
      <c r="K11">
        <v>2019</v>
      </c>
      <c r="L11">
        <f t="shared" si="2"/>
        <v>0.17366548042704633</v>
      </c>
    </row>
    <row r="12" spans="1:12" x14ac:dyDescent="0.35">
      <c r="D12">
        <v>2020</v>
      </c>
      <c r="E12">
        <v>1019</v>
      </c>
      <c r="F12">
        <f t="shared" si="0"/>
        <v>1559.07</v>
      </c>
      <c r="H12">
        <v>2020</v>
      </c>
      <c r="I12">
        <f t="shared" si="1"/>
        <v>1559.07</v>
      </c>
      <c r="K12">
        <v>2020</v>
      </c>
      <c r="L12">
        <f t="shared" si="2"/>
        <v>0.1223083548664944</v>
      </c>
    </row>
    <row r="13" spans="1:12" x14ac:dyDescent="0.35">
      <c r="D13">
        <v>2021</v>
      </c>
      <c r="E13">
        <v>950</v>
      </c>
      <c r="F13">
        <f t="shared" si="0"/>
        <v>1453.5</v>
      </c>
      <c r="H13">
        <v>2021</v>
      </c>
      <c r="I13">
        <f t="shared" si="1"/>
        <v>1453.5</v>
      </c>
      <c r="K13">
        <v>2021</v>
      </c>
      <c r="L13">
        <f t="shared" si="2"/>
        <v>6.771344455348377E-2</v>
      </c>
    </row>
    <row r="14" spans="1:12" x14ac:dyDescent="0.35">
      <c r="D14">
        <v>2022</v>
      </c>
      <c r="E14">
        <v>908</v>
      </c>
      <c r="F14">
        <f t="shared" si="0"/>
        <v>1389.24</v>
      </c>
      <c r="H14">
        <v>2022</v>
      </c>
      <c r="I14">
        <f t="shared" si="1"/>
        <v>1389.24</v>
      </c>
      <c r="K14">
        <v>2022</v>
      </c>
      <c r="L14">
        <f t="shared" si="2"/>
        <v>4.4210526315789464E-2</v>
      </c>
    </row>
    <row r="15" spans="1:12" x14ac:dyDescent="0.35">
      <c r="D15">
        <v>2023</v>
      </c>
      <c r="E15">
        <v>759</v>
      </c>
      <c r="F15">
        <f t="shared" si="0"/>
        <v>1161.27</v>
      </c>
      <c r="H15">
        <v>2023</v>
      </c>
      <c r="I15">
        <f t="shared" si="1"/>
        <v>1161.27</v>
      </c>
      <c r="K15">
        <v>2023</v>
      </c>
      <c r="L15">
        <f t="shared" si="2"/>
        <v>0.1640969162995595</v>
      </c>
    </row>
    <row r="16" spans="1:12" x14ac:dyDescent="0.35">
      <c r="D16">
        <v>2024</v>
      </c>
      <c r="E16" s="1"/>
      <c r="H16" s="3">
        <v>2024</v>
      </c>
      <c r="I16" s="3">
        <f>$I15 - $L16*$I15</f>
        <v>978.021593999998</v>
      </c>
      <c r="K16" s="3">
        <v>2024</v>
      </c>
      <c r="L16" s="3">
        <f>$K16*$P$18 + $Q$18</f>
        <v>0.15780000000000172</v>
      </c>
    </row>
    <row r="17" spans="4:32" x14ac:dyDescent="0.35">
      <c r="D17">
        <v>2025</v>
      </c>
      <c r="H17" s="3">
        <v>2025</v>
      </c>
      <c r="I17" s="3">
        <f t="shared" ref="I17:I22" si="3">$I16 - $L17*$I16</f>
        <v>829.36231171199734</v>
      </c>
      <c r="K17" s="3">
        <v>2025</v>
      </c>
      <c r="L17" s="3">
        <f t="shared" ref="L17:L22" si="4">$K17*$P$18 + $Q$18</f>
        <v>0.15200000000000102</v>
      </c>
    </row>
    <row r="18" spans="4:32" x14ac:dyDescent="0.35">
      <c r="D18">
        <v>2026</v>
      </c>
      <c r="H18" s="3">
        <v>2026</v>
      </c>
      <c r="I18" s="3">
        <f t="shared" si="3"/>
        <v>708.10954173970299</v>
      </c>
      <c r="K18" s="3">
        <v>2026</v>
      </c>
      <c r="L18" s="3">
        <f t="shared" si="4"/>
        <v>0.14620000000000033</v>
      </c>
      <c r="P18">
        <v>-5.7999999999999996E-3</v>
      </c>
      <c r="Q18">
        <v>11.897</v>
      </c>
    </row>
    <row r="19" spans="4:32" x14ac:dyDescent="0.35">
      <c r="D19">
        <v>2027</v>
      </c>
      <c r="H19" s="3">
        <v>2027</v>
      </c>
      <c r="I19" s="3">
        <f t="shared" si="3"/>
        <v>608.69096207944767</v>
      </c>
      <c r="J19" s="2"/>
      <c r="K19" s="3">
        <v>2027</v>
      </c>
      <c r="L19" s="3">
        <f t="shared" si="4"/>
        <v>0.14040000000000141</v>
      </c>
    </row>
    <row r="20" spans="4:32" x14ac:dyDescent="0.35">
      <c r="D20">
        <v>2028</v>
      </c>
      <c r="H20" s="3">
        <v>2028</v>
      </c>
      <c r="I20" s="3">
        <f t="shared" si="3"/>
        <v>526.76115858355354</v>
      </c>
      <c r="J20" s="1"/>
      <c r="K20" s="3">
        <v>2028</v>
      </c>
      <c r="L20" s="3">
        <f t="shared" si="4"/>
        <v>0.13460000000000072</v>
      </c>
    </row>
    <row r="21" spans="4:32" x14ac:dyDescent="0.35">
      <c r="D21">
        <v>2029</v>
      </c>
      <c r="H21" s="3">
        <v>2029</v>
      </c>
      <c r="I21" s="3">
        <f t="shared" si="3"/>
        <v>458.9143213579909</v>
      </c>
      <c r="K21" s="3">
        <v>2029</v>
      </c>
      <c r="L21" s="3">
        <f t="shared" si="4"/>
        <v>0.1288000000000018</v>
      </c>
    </row>
    <row r="22" spans="4:32" x14ac:dyDescent="0.35">
      <c r="D22">
        <v>2030</v>
      </c>
      <c r="H22" s="3">
        <v>2030</v>
      </c>
      <c r="I22" s="3">
        <f t="shared" si="3"/>
        <v>402.46785983095754</v>
      </c>
      <c r="K22" s="3">
        <v>2030</v>
      </c>
      <c r="L22" s="3">
        <f t="shared" si="4"/>
        <v>0.12300000000000111</v>
      </c>
      <c r="T22">
        <f>(1.9-1.3)/1.9</f>
        <v>0.31578947368421045</v>
      </c>
    </row>
    <row r="26" spans="4:32" x14ac:dyDescent="0.35"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4:32" ht="15" thickBot="1" x14ac:dyDescent="0.4"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spans="4:32" ht="15" thickBot="1" x14ac:dyDescent="0.4">
      <c r="D28" s="4" t="s">
        <v>3</v>
      </c>
      <c r="E28" s="5">
        <v>2023</v>
      </c>
      <c r="F28" s="6">
        <v>2030</v>
      </c>
      <c r="H28" s="4" t="s">
        <v>4</v>
      </c>
      <c r="I28" s="5">
        <v>2023</v>
      </c>
      <c r="J28" s="6">
        <v>2030</v>
      </c>
      <c r="L28" s="4" t="s">
        <v>5</v>
      </c>
      <c r="M28" s="5">
        <v>2023</v>
      </c>
      <c r="N28" s="6">
        <v>2030</v>
      </c>
      <c r="P28" s="27"/>
      <c r="Q28" s="108"/>
      <c r="R28" s="27"/>
      <c r="S28" s="27"/>
      <c r="T28" s="27"/>
      <c r="U28" s="27"/>
      <c r="V28" s="27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</row>
    <row r="29" spans="4:32" ht="15" thickBot="1" x14ac:dyDescent="0.4">
      <c r="D29" s="7" t="s">
        <v>6</v>
      </c>
      <c r="E29" s="8">
        <v>1255</v>
      </c>
      <c r="F29" s="12">
        <f>(E29*F30)/(E30)</f>
        <v>929.94720496894411</v>
      </c>
      <c r="H29" s="7" t="s">
        <v>6</v>
      </c>
      <c r="I29" s="8">
        <f>(E29*I30)/E30</f>
        <v>1438.1832298136646</v>
      </c>
      <c r="J29" s="12">
        <f>(I29*J30)/(I30)</f>
        <v>1021.1490683229814</v>
      </c>
      <c r="L29" s="7" t="s">
        <v>6</v>
      </c>
      <c r="M29" s="8">
        <f>(E29*M30)/E30</f>
        <v>2090.6273291925468</v>
      </c>
      <c r="N29" s="12">
        <f>(M29*N30)/M30</f>
        <v>1644.7515527950311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</row>
    <row r="30" spans="4:32" ht="15" thickBot="1" x14ac:dyDescent="0.4">
      <c r="D30" s="9" t="s">
        <v>7</v>
      </c>
      <c r="E30" s="10">
        <v>1610</v>
      </c>
      <c r="F30" s="11">
        <v>1193</v>
      </c>
      <c r="H30" s="9" t="s">
        <v>7</v>
      </c>
      <c r="I30" s="10">
        <v>1845</v>
      </c>
      <c r="J30" s="11">
        <v>1310</v>
      </c>
      <c r="L30" s="9" t="s">
        <v>7</v>
      </c>
      <c r="M30" s="10">
        <v>2682</v>
      </c>
      <c r="N30" s="11">
        <v>2110</v>
      </c>
      <c r="P30" s="27"/>
      <c r="Q30" s="27"/>
      <c r="R30" s="27"/>
      <c r="S30" s="109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spans="4:32" x14ac:dyDescent="0.35">
      <c r="D31" s="8" t="s">
        <v>8</v>
      </c>
      <c r="E31" s="14">
        <v>1.4999999999999999E-2</v>
      </c>
      <c r="H31" s="8" t="s">
        <v>8</v>
      </c>
      <c r="I31" s="14">
        <v>1.06E-2</v>
      </c>
      <c r="L31" s="8" t="s">
        <v>8</v>
      </c>
      <c r="M31" s="14">
        <v>1.1599999999999999E-2</v>
      </c>
      <c r="P31" s="27"/>
      <c r="Q31" s="108"/>
      <c r="R31" s="108"/>
      <c r="S31" s="110"/>
      <c r="T31" s="27"/>
      <c r="U31" s="27"/>
      <c r="V31" s="111"/>
      <c r="W31" s="27"/>
      <c r="X31" s="27"/>
      <c r="Y31" s="27"/>
      <c r="Z31" s="27"/>
      <c r="AA31" s="28"/>
      <c r="AB31" s="28"/>
      <c r="AC31" s="29"/>
      <c r="AD31" s="27"/>
      <c r="AE31" s="27"/>
      <c r="AF31" s="111"/>
    </row>
    <row r="32" spans="4:32" x14ac:dyDescent="0.35">
      <c r="D32" s="8"/>
      <c r="H32" s="8"/>
      <c r="L32" s="8"/>
      <c r="P32" s="27"/>
      <c r="Q32" s="108"/>
      <c r="R32" s="108"/>
      <c r="S32" s="108"/>
      <c r="T32" s="27"/>
      <c r="U32" s="27"/>
      <c r="V32" s="111"/>
      <c r="W32" s="27"/>
      <c r="X32" s="27"/>
      <c r="Y32" s="27"/>
      <c r="Z32" s="27"/>
      <c r="AA32" s="28"/>
      <c r="AB32" s="28"/>
      <c r="AC32" s="29"/>
      <c r="AD32" s="27"/>
      <c r="AE32" s="27"/>
      <c r="AF32" s="111"/>
    </row>
    <row r="33" spans="1:32" x14ac:dyDescent="0.35">
      <c r="P33" s="27"/>
      <c r="Q33" s="108"/>
      <c r="R33" s="108"/>
      <c r="S33" s="110"/>
      <c r="T33" s="27"/>
      <c r="U33" s="27"/>
      <c r="V33" s="111"/>
      <c r="W33" s="27"/>
      <c r="X33" s="27"/>
      <c r="Y33" s="27"/>
      <c r="Z33" s="27"/>
      <c r="AA33" s="28"/>
      <c r="AB33" s="28"/>
      <c r="AC33" s="29"/>
      <c r="AD33" s="27"/>
      <c r="AE33" s="27"/>
      <c r="AF33" s="111"/>
    </row>
    <row r="34" spans="1:32" ht="15" thickBot="1" x14ac:dyDescent="0.4">
      <c r="H34" s="16" t="s">
        <v>9</v>
      </c>
      <c r="I34" s="15">
        <v>1.762</v>
      </c>
      <c r="P34" s="27"/>
      <c r="Q34" s="108"/>
      <c r="R34" s="108"/>
      <c r="S34" s="110"/>
      <c r="T34" s="27"/>
      <c r="U34" s="27"/>
      <c r="V34" s="111"/>
      <c r="W34" s="27"/>
      <c r="X34" s="27"/>
      <c r="Y34" s="27"/>
      <c r="Z34" s="27"/>
      <c r="AA34" s="28"/>
      <c r="AB34" s="28"/>
      <c r="AC34" s="29"/>
      <c r="AD34" s="27"/>
      <c r="AE34" s="27"/>
      <c r="AF34" s="111"/>
    </row>
    <row r="35" spans="1:32" ht="15" thickBot="1" x14ac:dyDescent="0.4">
      <c r="A35" s="17" t="s">
        <v>10</v>
      </c>
      <c r="B35" s="18" t="s">
        <v>11</v>
      </c>
      <c r="H35" s="16" t="s">
        <v>12</v>
      </c>
      <c r="I35" s="15">
        <v>1.1133999999999999</v>
      </c>
      <c r="P35" s="27"/>
      <c r="Q35" s="108"/>
      <c r="R35" s="108"/>
      <c r="S35" s="108"/>
      <c r="T35" s="27"/>
      <c r="U35" s="27"/>
      <c r="V35" s="111"/>
      <c r="W35" s="27"/>
      <c r="X35" s="27"/>
      <c r="Y35" s="27"/>
      <c r="Z35" s="27"/>
      <c r="AA35" s="28"/>
      <c r="AB35" s="28"/>
      <c r="AC35" s="29"/>
      <c r="AD35" s="27"/>
      <c r="AE35" s="27"/>
      <c r="AF35" s="111"/>
    </row>
    <row r="36" spans="1:32" x14ac:dyDescent="0.35">
      <c r="H36" s="16" t="s">
        <v>13</v>
      </c>
      <c r="I36" s="15">
        <v>0.41499999999999998</v>
      </c>
      <c r="K36" s="8" t="s">
        <v>14</v>
      </c>
      <c r="L36" s="105">
        <v>0.25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8"/>
      <c r="AB36" s="28"/>
      <c r="AC36" s="28"/>
      <c r="AD36" s="27"/>
      <c r="AE36" s="27"/>
      <c r="AF36" s="111"/>
    </row>
    <row r="37" spans="1:32" x14ac:dyDescent="0.35">
      <c r="H37" s="16" t="s">
        <v>15</v>
      </c>
      <c r="I37" s="15">
        <f>I34*I35</f>
        <v>1.9618107999999999</v>
      </c>
      <c r="K37" s="8" t="s">
        <v>16</v>
      </c>
      <c r="L37" s="105">
        <v>0.6</v>
      </c>
      <c r="P37" s="27"/>
      <c r="Q37" s="108"/>
      <c r="R37" s="108"/>
      <c r="S37" s="110"/>
      <c r="T37" s="27"/>
      <c r="U37" s="27"/>
      <c r="V37" s="111"/>
      <c r="W37" s="27"/>
      <c r="X37" s="27"/>
      <c r="Y37" s="27"/>
      <c r="Z37" s="27"/>
      <c r="AA37" s="28"/>
      <c r="AB37" s="28"/>
      <c r="AC37" s="28"/>
      <c r="AD37" s="27"/>
      <c r="AE37" s="27"/>
      <c r="AF37" s="111"/>
    </row>
    <row r="38" spans="1:32" x14ac:dyDescent="0.35"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spans="1:32" x14ac:dyDescent="0.35"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x14ac:dyDescent="0.35">
      <c r="A40" s="20" t="s">
        <v>17</v>
      </c>
      <c r="B40" s="20"/>
      <c r="C40" s="20" t="s">
        <v>18</v>
      </c>
      <c r="D40" s="20" t="s">
        <v>19</v>
      </c>
      <c r="E40" s="20" t="s">
        <v>20</v>
      </c>
      <c r="F40" s="20" t="s">
        <v>21</v>
      </c>
      <c r="G40" s="20" t="s">
        <v>22</v>
      </c>
      <c r="H40" s="20" t="s">
        <v>23</v>
      </c>
      <c r="I40" s="20" t="s">
        <v>24</v>
      </c>
      <c r="J40" s="20" t="s">
        <v>25</v>
      </c>
      <c r="K40" s="113" t="s">
        <v>26</v>
      </c>
      <c r="L40" s="113" t="s">
        <v>27</v>
      </c>
      <c r="M40" s="113" t="s">
        <v>28</v>
      </c>
      <c r="R40" s="20" t="s">
        <v>29</v>
      </c>
      <c r="S40" s="20" t="s">
        <v>30</v>
      </c>
      <c r="T40" s="106" t="s">
        <v>31</v>
      </c>
      <c r="U40" s="20" t="s">
        <v>32</v>
      </c>
      <c r="V40" s="107" t="s">
        <v>33</v>
      </c>
      <c r="W40" s="107" t="s">
        <v>34</v>
      </c>
      <c r="X40" s="107" t="s">
        <v>35</v>
      </c>
      <c r="Y40" s="113"/>
      <c r="Z40" s="113" t="s">
        <v>36</v>
      </c>
      <c r="AA40" s="113" t="s">
        <v>37</v>
      </c>
    </row>
    <row r="41" spans="1:32" x14ac:dyDescent="0.35">
      <c r="A41" s="15">
        <v>0</v>
      </c>
      <c r="B41" s="15" t="s">
        <v>38</v>
      </c>
      <c r="C41" s="23">
        <v>3515</v>
      </c>
      <c r="R41" s="24" t="s">
        <v>39</v>
      </c>
      <c r="S41" s="15">
        <v>116804</v>
      </c>
      <c r="T41" s="15">
        <v>173034</v>
      </c>
      <c r="U41" s="15">
        <f>$S41*$M42</f>
        <v>48473.659999999996</v>
      </c>
      <c r="V41" s="15">
        <f>$M42*$T41</f>
        <v>71809.11</v>
      </c>
      <c r="W41" s="15">
        <v>0</v>
      </c>
      <c r="X41" s="15">
        <v>0</v>
      </c>
      <c r="Y41" s="115"/>
      <c r="Z41" s="15">
        <v>0</v>
      </c>
      <c r="AA41" s="15">
        <v>0</v>
      </c>
    </row>
    <row r="42" spans="1:32" x14ac:dyDescent="0.35">
      <c r="A42" s="24">
        <v>1</v>
      </c>
      <c r="B42" s="24" t="s">
        <v>39</v>
      </c>
      <c r="C42" s="25">
        <v>46082</v>
      </c>
      <c r="D42" s="15">
        <v>2.4297399999999998</v>
      </c>
      <c r="E42" s="15">
        <v>65.221934000000005</v>
      </c>
      <c r="F42" s="26">
        <f>C42*E42</f>
        <v>3005557.1625880003</v>
      </c>
      <c r="G42" s="15">
        <v>65.319999999999993</v>
      </c>
      <c r="H42" s="15">
        <f>($L$36*$G42)/$I$37</f>
        <v>8.3239423495884513</v>
      </c>
      <c r="I42" s="15">
        <v>8</v>
      </c>
      <c r="J42" s="15">
        <f>($I42*$I$36)</f>
        <v>3.32</v>
      </c>
      <c r="K42">
        <v>0.14399999999999999</v>
      </c>
      <c r="L42">
        <v>1</v>
      </c>
      <c r="M42">
        <v>0.41499999999999998</v>
      </c>
      <c r="R42" s="24" t="s">
        <v>40</v>
      </c>
      <c r="S42" s="15">
        <v>799</v>
      </c>
      <c r="T42" s="15">
        <v>1183</v>
      </c>
      <c r="U42" s="15">
        <f t="shared" ref="U42:U45" si="5">$S42*$M43</f>
        <v>331.58499999999998</v>
      </c>
      <c r="V42" s="15">
        <f t="shared" ref="V42:V45" si="6">$M43*$T42</f>
        <v>490.94499999999999</v>
      </c>
      <c r="W42" s="15">
        <v>0</v>
      </c>
      <c r="X42" s="15">
        <v>0</v>
      </c>
      <c r="Y42" s="115"/>
      <c r="Z42" s="15">
        <v>0</v>
      </c>
      <c r="AA42" s="15">
        <v>0</v>
      </c>
    </row>
    <row r="43" spans="1:32" x14ac:dyDescent="0.35">
      <c r="A43" s="24">
        <v>2</v>
      </c>
      <c r="B43" s="24" t="s">
        <v>40</v>
      </c>
      <c r="C43" s="24">
        <v>315</v>
      </c>
      <c r="D43" s="15">
        <v>2.686194</v>
      </c>
      <c r="E43" s="15">
        <v>141.03016</v>
      </c>
      <c r="F43" s="26">
        <f t="shared" ref="F43:F46" si="7">C43*E43</f>
        <v>44424.500399999997</v>
      </c>
      <c r="G43" s="15">
        <v>140.69999999999999</v>
      </c>
      <c r="H43" s="15">
        <f t="shared" ref="H43:H46" si="8">($L$36*$G43)/$I$37</f>
        <v>17.929863572980636</v>
      </c>
      <c r="I43" s="15">
        <v>17</v>
      </c>
      <c r="J43" s="15">
        <f t="shared" ref="J43:J48" si="9">($I43*$I$36)</f>
        <v>7.0549999999999997</v>
      </c>
      <c r="K43">
        <v>0.252</v>
      </c>
      <c r="L43">
        <v>1</v>
      </c>
      <c r="M43">
        <v>0.41499999999999998</v>
      </c>
      <c r="R43" s="24" t="s">
        <v>41</v>
      </c>
      <c r="S43" s="15">
        <v>28587</v>
      </c>
      <c r="T43" s="15">
        <v>42348</v>
      </c>
      <c r="U43" s="15">
        <f t="shared" si="5"/>
        <v>59318.024999999994</v>
      </c>
      <c r="V43" s="15">
        <f t="shared" si="6"/>
        <v>87872.099999999991</v>
      </c>
      <c r="W43" s="15">
        <v>0</v>
      </c>
      <c r="X43" s="15">
        <v>0</v>
      </c>
      <c r="Y43" s="115"/>
      <c r="Z43" s="15">
        <v>0.2</v>
      </c>
      <c r="AA43" s="15">
        <f>$U43*$Z43</f>
        <v>11863.605</v>
      </c>
      <c r="AB43">
        <f>SUM(AA43:AA44)</f>
        <v>21634.235000000001</v>
      </c>
    </row>
    <row r="44" spans="1:32" x14ac:dyDescent="0.35">
      <c r="A44" s="24">
        <v>3</v>
      </c>
      <c r="B44" s="24" t="s">
        <v>41</v>
      </c>
      <c r="C44" s="25">
        <v>11278</v>
      </c>
      <c r="D44" s="15">
        <v>3.5974930000000001</v>
      </c>
      <c r="E44" s="15">
        <v>176.72992400000001</v>
      </c>
      <c r="F44" s="26">
        <f t="shared" si="7"/>
        <v>1993160.0828720001</v>
      </c>
      <c r="G44" s="15">
        <v>178.47</v>
      </c>
      <c r="H44" s="15">
        <f t="shared" si="8"/>
        <v>22.743018847689086</v>
      </c>
      <c r="I44" s="15">
        <v>22</v>
      </c>
      <c r="J44" s="15">
        <f t="shared" si="9"/>
        <v>9.129999999999999</v>
      </c>
      <c r="K44">
        <v>1.821</v>
      </c>
      <c r="L44">
        <v>5</v>
      </c>
      <c r="M44">
        <f>$L44*$I$36</f>
        <v>2.0749999999999997</v>
      </c>
      <c r="R44" s="24" t="s">
        <v>42</v>
      </c>
      <c r="S44" s="15">
        <v>5290</v>
      </c>
      <c r="T44" s="15">
        <v>7837</v>
      </c>
      <c r="U44" s="15">
        <f t="shared" si="5"/>
        <v>19541.259999999998</v>
      </c>
      <c r="V44" s="15">
        <f t="shared" si="6"/>
        <v>28949.878000000001</v>
      </c>
      <c r="W44" s="15">
        <v>0.15</v>
      </c>
      <c r="X44" s="15">
        <f>$U44*$W44</f>
        <v>2931.1889999999999</v>
      </c>
      <c r="Z44" s="15">
        <v>0.5</v>
      </c>
      <c r="AA44" s="15">
        <f>$U44*$Z44</f>
        <v>9770.6299999999992</v>
      </c>
    </row>
    <row r="45" spans="1:32" x14ac:dyDescent="0.35">
      <c r="A45" s="24">
        <v>4</v>
      </c>
      <c r="B45" s="24" t="s">
        <v>42</v>
      </c>
      <c r="C45" s="25">
        <v>2087</v>
      </c>
      <c r="D45" s="15">
        <v>4.4907459999999997</v>
      </c>
      <c r="E45" s="15">
        <v>270.288185</v>
      </c>
      <c r="F45" s="26">
        <f t="shared" si="7"/>
        <v>564091.44209499995</v>
      </c>
      <c r="G45" s="15">
        <v>275.35000000000002</v>
      </c>
      <c r="H45" s="15">
        <f t="shared" si="8"/>
        <v>35.088755755651874</v>
      </c>
      <c r="I45" s="15">
        <v>35</v>
      </c>
      <c r="J45" s="15">
        <f t="shared" si="9"/>
        <v>14.524999999999999</v>
      </c>
      <c r="K45">
        <v>3.694</v>
      </c>
      <c r="L45">
        <f>K45/I36</f>
        <v>8.9012048192771083</v>
      </c>
      <c r="M45">
        <f t="shared" ref="M45:M48" si="10">$L45*$I$36</f>
        <v>3.694</v>
      </c>
      <c r="R45" s="24" t="s">
        <v>43</v>
      </c>
      <c r="S45" s="15">
        <v>467</v>
      </c>
      <c r="T45" s="15">
        <v>691</v>
      </c>
      <c r="U45" s="15">
        <f t="shared" si="5"/>
        <v>10077.859999999999</v>
      </c>
      <c r="V45" s="15">
        <f t="shared" si="6"/>
        <v>14911.779999999999</v>
      </c>
      <c r="W45" s="15">
        <v>0.15</v>
      </c>
      <c r="X45" s="15">
        <f>$U45*$W45</f>
        <v>1511.6789999999999</v>
      </c>
      <c r="Z45" s="15">
        <v>0.5</v>
      </c>
      <c r="AA45" s="15">
        <f>$U45*$Z45</f>
        <v>5038.9299999999994</v>
      </c>
      <c r="AB45">
        <f xml:space="preserve"> SUM(AA45:AA46)</f>
        <v>13211.109999999999</v>
      </c>
    </row>
    <row r="46" spans="1:32" x14ac:dyDescent="0.35">
      <c r="A46" s="24">
        <v>5</v>
      </c>
      <c r="B46" s="24" t="s">
        <v>43</v>
      </c>
      <c r="C46" s="24">
        <v>184</v>
      </c>
      <c r="D46" s="15">
        <v>5.1498670000000004</v>
      </c>
      <c r="E46" s="15">
        <v>619.04335800000001</v>
      </c>
      <c r="F46" s="26">
        <f t="shared" si="7"/>
        <v>113903.977872</v>
      </c>
      <c r="G46" s="15">
        <v>623.09</v>
      </c>
      <c r="H46" s="15">
        <f t="shared" si="8"/>
        <v>79.402407204609133</v>
      </c>
      <c r="I46" s="15">
        <v>79</v>
      </c>
      <c r="J46" s="15">
        <f t="shared" si="9"/>
        <v>32.784999999999997</v>
      </c>
      <c r="K46">
        <v>21.556999999999999</v>
      </c>
      <c r="L46">
        <v>52</v>
      </c>
      <c r="M46">
        <f t="shared" si="10"/>
        <v>21.58</v>
      </c>
      <c r="R46" s="24" t="s">
        <v>44</v>
      </c>
      <c r="S46" s="15">
        <v>4376</v>
      </c>
      <c r="T46" s="15">
        <v>6482</v>
      </c>
      <c r="U46" s="15">
        <f>$S46*$M48</f>
        <v>16344.359999999999</v>
      </c>
      <c r="V46" s="15">
        <f>$M48*$T46</f>
        <v>24210.27</v>
      </c>
      <c r="W46" s="15">
        <v>0.2</v>
      </c>
      <c r="X46" s="15">
        <f>$U46*$W46</f>
        <v>3268.8719999999998</v>
      </c>
      <c r="Z46" s="15">
        <v>0.5</v>
      </c>
      <c r="AA46" s="15">
        <f>$U46*$Z46</f>
        <v>8172.1799999999994</v>
      </c>
    </row>
    <row r="47" spans="1:32" x14ac:dyDescent="0.35">
      <c r="A47" s="15">
        <v>6</v>
      </c>
      <c r="B47" s="15" t="s">
        <v>45</v>
      </c>
      <c r="C47" s="15">
        <v>25</v>
      </c>
      <c r="D47" s="15"/>
      <c r="E47" s="15"/>
      <c r="F47" s="15"/>
      <c r="J47" s="15">
        <f t="shared" si="9"/>
        <v>0</v>
      </c>
      <c r="V47" t="s">
        <v>46</v>
      </c>
      <c r="W47" t="s">
        <v>47</v>
      </c>
      <c r="X47">
        <f>SUM(X41:X44)</f>
        <v>2931.1889999999999</v>
      </c>
      <c r="AA47">
        <f>SUM(AA41:AA44)</f>
        <v>21634.235000000001</v>
      </c>
    </row>
    <row r="48" spans="1:32" x14ac:dyDescent="0.35">
      <c r="A48" s="24">
        <v>7</v>
      </c>
      <c r="B48" s="24" t="s">
        <v>44</v>
      </c>
      <c r="C48" s="25">
        <v>1726</v>
      </c>
      <c r="D48" s="15">
        <v>3.782435</v>
      </c>
      <c r="E48" s="15">
        <v>566.754817</v>
      </c>
      <c r="F48" s="26">
        <f t="shared" ref="F48" si="11">C48*E48</f>
        <v>978218.81414200005</v>
      </c>
      <c r="G48" s="15">
        <v>581.29</v>
      </c>
      <c r="H48" s="15">
        <f>(L37*$G46)/$I$37</f>
        <v>190.56577729106192</v>
      </c>
      <c r="I48" s="15">
        <v>190</v>
      </c>
      <c r="J48" s="15">
        <f t="shared" si="9"/>
        <v>78.849999999999994</v>
      </c>
      <c r="K48">
        <v>3.42</v>
      </c>
      <c r="L48">
        <v>9</v>
      </c>
      <c r="M48">
        <f t="shared" si="10"/>
        <v>3.7349999999999999</v>
      </c>
      <c r="W48" t="s">
        <v>48</v>
      </c>
      <c r="X48">
        <f>SUM(X45:X46)</f>
        <v>4780.5509999999995</v>
      </c>
      <c r="AA48">
        <f>SUM(AA45:AA46)</f>
        <v>13211.109999999999</v>
      </c>
    </row>
    <row r="49" spans="1:38" x14ac:dyDescent="0.35">
      <c r="A49" s="15">
        <v>8</v>
      </c>
      <c r="B49" s="15" t="s">
        <v>49</v>
      </c>
      <c r="C49" s="15">
        <v>58</v>
      </c>
      <c r="D49" s="15"/>
      <c r="E49" s="15"/>
      <c r="F49" s="26"/>
      <c r="O49" s="24" t="s">
        <v>39</v>
      </c>
      <c r="P49">
        <f>$S41*$G42</f>
        <v>7629637.2799999993</v>
      </c>
      <c r="Z49" t="s">
        <v>50</v>
      </c>
      <c r="AA49">
        <f>SUM(AA47:AA48)</f>
        <v>34845.345000000001</v>
      </c>
    </row>
    <row r="50" spans="1:38" x14ac:dyDescent="0.35">
      <c r="A50" s="15">
        <v>9</v>
      </c>
      <c r="B50" s="15" t="s">
        <v>51</v>
      </c>
      <c r="C50" s="15">
        <v>393</v>
      </c>
      <c r="D50" s="15"/>
      <c r="E50" s="15"/>
      <c r="F50" s="26"/>
      <c r="O50" s="24" t="s">
        <v>40</v>
      </c>
      <c r="P50">
        <f>$S42*$G43</f>
        <v>112419.29999999999</v>
      </c>
    </row>
    <row r="51" spans="1:38" x14ac:dyDescent="0.35">
      <c r="O51" s="24" t="s">
        <v>41</v>
      </c>
      <c r="P51">
        <f>$S43*$G44</f>
        <v>5101921.8899999997</v>
      </c>
      <c r="R51" t="s">
        <v>52</v>
      </c>
      <c r="S51">
        <v>330</v>
      </c>
      <c r="V51" s="104" t="s">
        <v>53</v>
      </c>
      <c r="W51" s="104" t="s">
        <v>30</v>
      </c>
      <c r="X51" s="104" t="s">
        <v>54</v>
      </c>
      <c r="Y51" s="104" t="s">
        <v>55</v>
      </c>
      <c r="Z51" s="104" t="s">
        <v>56</v>
      </c>
      <c r="AA51" s="104" t="s">
        <v>57</v>
      </c>
      <c r="AB51" s="104" t="s">
        <v>58</v>
      </c>
      <c r="AC51" s="104" t="s">
        <v>59</v>
      </c>
      <c r="AD51" s="104"/>
      <c r="AE51" s="104" t="s">
        <v>60</v>
      </c>
      <c r="AF51" s="104">
        <f>AC54+AC55</f>
        <v>16076.933999999999</v>
      </c>
    </row>
    <row r="52" spans="1:38" x14ac:dyDescent="0.35">
      <c r="O52" s="24" t="s">
        <v>42</v>
      </c>
      <c r="P52">
        <f>$S44*$G45</f>
        <v>1456601.5000000002</v>
      </c>
      <c r="R52" t="s">
        <v>61</v>
      </c>
      <c r="S52">
        <v>260</v>
      </c>
      <c r="V52" s="24" t="s">
        <v>39</v>
      </c>
      <c r="W52" s="15">
        <v>116804</v>
      </c>
      <c r="X52" s="15"/>
      <c r="Y52" s="15"/>
      <c r="Z52" s="15"/>
      <c r="AA52" s="15"/>
      <c r="AB52" s="15"/>
      <c r="AC52" s="15"/>
      <c r="AD52" s="15"/>
      <c r="AE52" s="15" t="s">
        <v>62</v>
      </c>
      <c r="AF52" s="15">
        <f>AC56+AC57</f>
        <v>14833.344999999999</v>
      </c>
    </row>
    <row r="53" spans="1:38" x14ac:dyDescent="0.35">
      <c r="O53" s="24" t="s">
        <v>43</v>
      </c>
      <c r="P53">
        <f>$S45*$G46</f>
        <v>290983.03000000003</v>
      </c>
      <c r="V53" s="24" t="s">
        <v>40</v>
      </c>
      <c r="W53" s="15">
        <v>799</v>
      </c>
      <c r="X53" s="15"/>
      <c r="Y53" s="15"/>
      <c r="Z53" s="15"/>
      <c r="AA53" s="15"/>
      <c r="AB53" s="15"/>
      <c r="AC53" s="15"/>
      <c r="AD53" s="15"/>
      <c r="AE53" s="15"/>
      <c r="AF53" s="15"/>
    </row>
    <row r="54" spans="1:38" x14ac:dyDescent="0.35">
      <c r="O54" s="24" t="s">
        <v>44</v>
      </c>
      <c r="P54">
        <f>S46*G48</f>
        <v>2543725.04</v>
      </c>
      <c r="R54" t="s">
        <v>63</v>
      </c>
      <c r="S54">
        <f>0.025*$S51</f>
        <v>8.25</v>
      </c>
      <c r="V54" s="24" t="s">
        <v>41</v>
      </c>
      <c r="W54" s="15">
        <v>28587</v>
      </c>
      <c r="X54" s="15">
        <v>1.4179999999999999</v>
      </c>
      <c r="Y54" s="15">
        <f>ROUNDUP($X54/$I$36,0)</f>
        <v>4</v>
      </c>
      <c r="Z54" s="15">
        <f>$Y54*$I$36</f>
        <v>1.66</v>
      </c>
      <c r="AA54" s="15">
        <f>$Z54*$W54</f>
        <v>47454.42</v>
      </c>
      <c r="AB54" s="15">
        <v>0.2</v>
      </c>
      <c r="AC54" s="15">
        <f>$AB54*$AA54</f>
        <v>9490.884</v>
      </c>
      <c r="AD54" s="15"/>
      <c r="AE54" s="15"/>
      <c r="AF54" s="15"/>
    </row>
    <row r="55" spans="1:38" x14ac:dyDescent="0.35">
      <c r="O55" s="112" t="s">
        <v>64</v>
      </c>
      <c r="P55">
        <f>SUM(P49:P54)</f>
        <v>17135288.039999999</v>
      </c>
      <c r="R55" t="s">
        <v>65</v>
      </c>
      <c r="S55">
        <f>0.025*$S52</f>
        <v>6.5</v>
      </c>
      <c r="V55" s="24" t="s">
        <v>42</v>
      </c>
      <c r="W55" s="15">
        <v>5290</v>
      </c>
      <c r="X55" s="15">
        <v>2.4169999999999998</v>
      </c>
      <c r="Y55" s="15">
        <f t="shared" ref="Y55:Y57" si="12">ROUNDUP($X55/$I$36,0)</f>
        <v>6</v>
      </c>
      <c r="Z55" s="15">
        <f t="shared" ref="Z55:Z57" si="13">$Y55*$I$36</f>
        <v>2.4899999999999998</v>
      </c>
      <c r="AA55" s="15">
        <f t="shared" ref="AA55:AA57" si="14">$Z55*$W55</f>
        <v>13172.099999999999</v>
      </c>
      <c r="AB55" s="15">
        <v>0.5</v>
      </c>
      <c r="AC55" s="15">
        <f t="shared" ref="AC55:AC57" si="15">$AB55*$AA55</f>
        <v>6586.0499999999993</v>
      </c>
      <c r="AD55" s="15"/>
      <c r="AE55" s="15"/>
      <c r="AF55" s="15"/>
    </row>
    <row r="56" spans="1:38" x14ac:dyDescent="0.35">
      <c r="O56" s="112" t="s">
        <v>66</v>
      </c>
      <c r="P56">
        <f>P55/1000000</f>
        <v>17.135288039999999</v>
      </c>
      <c r="V56" s="24" t="s">
        <v>43</v>
      </c>
      <c r="W56" s="15">
        <v>467</v>
      </c>
      <c r="X56" s="15">
        <v>20.5</v>
      </c>
      <c r="Y56" s="15">
        <f t="shared" si="12"/>
        <v>50</v>
      </c>
      <c r="Z56" s="15">
        <f t="shared" si="13"/>
        <v>20.75</v>
      </c>
      <c r="AA56" s="15">
        <f t="shared" si="14"/>
        <v>9690.25</v>
      </c>
      <c r="AB56" s="15">
        <v>0.5</v>
      </c>
      <c r="AC56" s="15">
        <f t="shared" si="15"/>
        <v>4845.125</v>
      </c>
      <c r="AD56" s="15"/>
      <c r="AE56" s="15"/>
      <c r="AF56" s="15"/>
    </row>
    <row r="57" spans="1:38" x14ac:dyDescent="0.35">
      <c r="V57" s="24" t="s">
        <v>44</v>
      </c>
      <c r="W57" s="15">
        <v>4376</v>
      </c>
      <c r="X57" s="15">
        <v>4.2750000000000004</v>
      </c>
      <c r="Y57" s="15">
        <f t="shared" si="12"/>
        <v>11</v>
      </c>
      <c r="Z57" s="15">
        <f t="shared" si="13"/>
        <v>4.5649999999999995</v>
      </c>
      <c r="AA57" s="15">
        <f t="shared" si="14"/>
        <v>19976.439999999999</v>
      </c>
      <c r="AB57" s="15">
        <v>0.5</v>
      </c>
      <c r="AC57" s="15">
        <f t="shared" si="15"/>
        <v>9988.2199999999993</v>
      </c>
      <c r="AD57" s="15"/>
      <c r="AE57" s="15"/>
      <c r="AF57" s="15"/>
    </row>
    <row r="59" spans="1:38" x14ac:dyDescent="0.35">
      <c r="R59" t="s">
        <v>67</v>
      </c>
    </row>
    <row r="60" spans="1:38" x14ac:dyDescent="0.35">
      <c r="R60" t="s">
        <v>68</v>
      </c>
      <c r="V60" s="104" t="s">
        <v>69</v>
      </c>
      <c r="W60" s="104" t="s">
        <v>30</v>
      </c>
      <c r="X60" s="104" t="s">
        <v>54</v>
      </c>
      <c r="Y60" s="104" t="s">
        <v>55</v>
      </c>
      <c r="Z60" s="104" t="s">
        <v>56</v>
      </c>
      <c r="AA60" s="104" t="s">
        <v>57</v>
      </c>
      <c r="AB60" s="104" t="s">
        <v>58</v>
      </c>
      <c r="AC60" s="104" t="s">
        <v>59</v>
      </c>
      <c r="AD60" s="104"/>
      <c r="AE60" s="104" t="s">
        <v>60</v>
      </c>
      <c r="AF60" s="104">
        <f>AC63+AC64</f>
        <v>16076.933999999999</v>
      </c>
      <c r="AH60" s="104" t="s">
        <v>70</v>
      </c>
      <c r="AI60" s="104" t="s">
        <v>71</v>
      </c>
      <c r="AJ60" s="104" t="s">
        <v>72</v>
      </c>
      <c r="AK60" s="104" t="s">
        <v>73</v>
      </c>
      <c r="AL60" s="104" t="s">
        <v>74</v>
      </c>
    </row>
    <row r="61" spans="1:38" x14ac:dyDescent="0.35">
      <c r="R61" t="s">
        <v>75</v>
      </c>
      <c r="V61" s="24" t="s">
        <v>39</v>
      </c>
      <c r="W61" s="15">
        <v>116804</v>
      </c>
      <c r="X61" s="15"/>
      <c r="Y61" s="15"/>
      <c r="Z61" s="15"/>
      <c r="AA61" s="15"/>
      <c r="AB61" s="15"/>
      <c r="AC61" s="15"/>
      <c r="AD61" s="15"/>
      <c r="AE61" s="15" t="s">
        <v>62</v>
      </c>
      <c r="AF61" s="15">
        <f>AC65+AC66</f>
        <v>15935.169999999998</v>
      </c>
      <c r="AH61" s="15">
        <v>5.19</v>
      </c>
      <c r="AI61" s="15">
        <v>8.2200000000000006</v>
      </c>
      <c r="AJ61" s="15">
        <v>8.65</v>
      </c>
      <c r="AK61" s="15">
        <v>5.4</v>
      </c>
      <c r="AL61" s="15">
        <f>SUM(AH61:AK61)</f>
        <v>27.46</v>
      </c>
    </row>
    <row r="62" spans="1:38" x14ac:dyDescent="0.35">
      <c r="R62" t="s">
        <v>76</v>
      </c>
      <c r="V62" s="24" t="s">
        <v>40</v>
      </c>
      <c r="W62" s="15">
        <v>799</v>
      </c>
      <c r="X62" s="15"/>
      <c r="Y62" s="15"/>
      <c r="Z62" s="15"/>
      <c r="AA62" s="15"/>
      <c r="AB62" s="15"/>
      <c r="AC62" s="15"/>
      <c r="AD62" s="15"/>
      <c r="AE62" s="15"/>
      <c r="AF62" s="15"/>
    </row>
    <row r="63" spans="1:38" x14ac:dyDescent="0.35">
      <c r="R63" t="s">
        <v>77</v>
      </c>
      <c r="V63" s="24" t="s">
        <v>41</v>
      </c>
      <c r="W63" s="15">
        <v>28587</v>
      </c>
      <c r="X63" s="15">
        <v>1.482</v>
      </c>
      <c r="Y63" s="15">
        <f>ROUNDUP($X63/$I$36,0)</f>
        <v>4</v>
      </c>
      <c r="Z63" s="15">
        <f>$Y63*$I$36</f>
        <v>1.66</v>
      </c>
      <c r="AA63" s="15">
        <f>$Z63*$W63</f>
        <v>47454.42</v>
      </c>
      <c r="AB63" s="15">
        <v>0.2</v>
      </c>
      <c r="AC63" s="15">
        <f>$AB63*$AA63</f>
        <v>9490.884</v>
      </c>
      <c r="AD63" s="15"/>
      <c r="AE63" s="15"/>
      <c r="AF63" s="15"/>
    </row>
    <row r="64" spans="1:38" x14ac:dyDescent="0.35">
      <c r="A64" t="s">
        <v>78</v>
      </c>
      <c r="B64">
        <v>0.35</v>
      </c>
      <c r="V64" s="24" t="s">
        <v>42</v>
      </c>
      <c r="W64" s="15">
        <v>5290</v>
      </c>
      <c r="X64" s="15">
        <v>2.4540000000000002</v>
      </c>
      <c r="Y64" s="15">
        <f t="shared" ref="Y64:Y66" si="16">ROUNDUP($X64/$I$36,0)</f>
        <v>6</v>
      </c>
      <c r="Z64" s="15">
        <f t="shared" ref="Z64:Z66" si="17">$Y64*$I$36</f>
        <v>2.4899999999999998</v>
      </c>
      <c r="AA64" s="15">
        <f t="shared" ref="AA64:AA66" si="18">$Z64*$W64</f>
        <v>13172.099999999999</v>
      </c>
      <c r="AB64" s="15">
        <v>0.5</v>
      </c>
      <c r="AC64" s="15">
        <f t="shared" ref="AC64:AC66" si="19">$AB64*$AA64</f>
        <v>6586.0499999999993</v>
      </c>
      <c r="AD64" s="15"/>
      <c r="AE64" s="15"/>
      <c r="AF64" s="15"/>
    </row>
    <row r="65" spans="1:32" x14ac:dyDescent="0.35">
      <c r="A65" t="s">
        <v>79</v>
      </c>
      <c r="B65">
        <v>4046.86</v>
      </c>
      <c r="V65" s="24" t="s">
        <v>43</v>
      </c>
      <c r="W65" s="15">
        <v>467</v>
      </c>
      <c r="X65" s="15">
        <v>21.3</v>
      </c>
      <c r="Y65" s="15">
        <f t="shared" si="16"/>
        <v>52</v>
      </c>
      <c r="Z65" s="15">
        <f t="shared" si="17"/>
        <v>21.58</v>
      </c>
      <c r="AA65" s="15">
        <f t="shared" si="18"/>
        <v>10077.859999999999</v>
      </c>
      <c r="AB65" s="15">
        <v>0.5</v>
      </c>
      <c r="AC65" s="15">
        <f t="shared" si="19"/>
        <v>5038.9299999999994</v>
      </c>
      <c r="AD65" s="15"/>
      <c r="AE65" s="15"/>
      <c r="AF65" s="15"/>
    </row>
    <row r="66" spans="1:32" x14ac:dyDescent="0.35">
      <c r="V66" s="24" t="s">
        <v>44</v>
      </c>
      <c r="W66" s="15">
        <v>4376</v>
      </c>
      <c r="X66" s="15">
        <v>4.5860000000000003</v>
      </c>
      <c r="Y66" s="15">
        <f t="shared" si="16"/>
        <v>12</v>
      </c>
      <c r="Z66" s="15">
        <f t="shared" si="17"/>
        <v>4.9799999999999995</v>
      </c>
      <c r="AA66" s="15">
        <f t="shared" si="18"/>
        <v>21792.48</v>
      </c>
      <c r="AB66" s="15">
        <v>0.5</v>
      </c>
      <c r="AC66" s="15">
        <f t="shared" si="19"/>
        <v>10896.24</v>
      </c>
      <c r="AD66" s="15"/>
      <c r="AE66" s="15"/>
      <c r="AF66" s="15"/>
    </row>
    <row r="67" spans="1:32" x14ac:dyDescent="0.35">
      <c r="A67" t="s">
        <v>80</v>
      </c>
    </row>
    <row r="68" spans="1:32" x14ac:dyDescent="0.35">
      <c r="B68" t="s">
        <v>81</v>
      </c>
      <c r="C68" t="s">
        <v>82</v>
      </c>
      <c r="D68" t="s">
        <v>83</v>
      </c>
      <c r="E68" t="s">
        <v>84</v>
      </c>
    </row>
    <row r="69" spans="1:32" x14ac:dyDescent="0.35">
      <c r="A69" t="s">
        <v>85</v>
      </c>
      <c r="B69">
        <f>600*100</f>
        <v>60000</v>
      </c>
      <c r="C69">
        <f>100*950</f>
        <v>95000</v>
      </c>
      <c r="D69">
        <f>400*250</f>
        <v>100000</v>
      </c>
      <c r="E69">
        <f>250*250</f>
        <v>62500</v>
      </c>
      <c r="V69" s="104" t="s">
        <v>86</v>
      </c>
      <c r="W69" s="104" t="s">
        <v>30</v>
      </c>
      <c r="X69" s="104" t="s">
        <v>54</v>
      </c>
      <c r="Y69" s="104" t="s">
        <v>55</v>
      </c>
      <c r="Z69" s="104" t="s">
        <v>56</v>
      </c>
      <c r="AA69" s="104" t="s">
        <v>57</v>
      </c>
      <c r="AB69" s="104" t="s">
        <v>58</v>
      </c>
      <c r="AC69" s="104" t="s">
        <v>59</v>
      </c>
      <c r="AD69" s="104"/>
      <c r="AE69" s="104" t="s">
        <v>60</v>
      </c>
      <c r="AF69" s="104">
        <f>AC72+AC73</f>
        <v>2963.7224999999994</v>
      </c>
    </row>
    <row r="70" spans="1:32" x14ac:dyDescent="0.35">
      <c r="A70" t="s">
        <v>87</v>
      </c>
      <c r="B70">
        <f>B69/B65</f>
        <v>14.826309780916562</v>
      </c>
      <c r="C70">
        <f>C69/B65</f>
        <v>23.474990486451222</v>
      </c>
      <c r="D70">
        <f>D69/B65</f>
        <v>24.710516301527605</v>
      </c>
      <c r="E70">
        <f>E69/B65</f>
        <v>15.444072688454751</v>
      </c>
      <c r="V70" s="24" t="s">
        <v>39</v>
      </c>
      <c r="W70" s="15">
        <v>116804</v>
      </c>
      <c r="X70" s="15"/>
      <c r="Y70" s="15"/>
      <c r="Z70" s="15"/>
      <c r="AA70" s="15"/>
      <c r="AB70" s="15"/>
      <c r="AC70" s="15"/>
      <c r="AD70" s="15"/>
      <c r="AE70" s="15" t="s">
        <v>62</v>
      </c>
      <c r="AF70" s="15">
        <f>AC74+AC75</f>
        <v>4780.5509999999995</v>
      </c>
    </row>
    <row r="71" spans="1:32" x14ac:dyDescent="0.35">
      <c r="A71" t="s">
        <v>88</v>
      </c>
      <c r="B71">
        <f>B70*B64</f>
        <v>5.189208423320796</v>
      </c>
      <c r="C71">
        <f>C70*B64</f>
        <v>8.2162466702579273</v>
      </c>
      <c r="D71">
        <f>D70*B64</f>
        <v>8.6486807055346606</v>
      </c>
      <c r="E71">
        <f>E70*B64</f>
        <v>5.4054254409591627</v>
      </c>
      <c r="F71">
        <f>SUM(B71:E71)</f>
        <v>27.459561240072546</v>
      </c>
      <c r="V71" s="24" t="s">
        <v>40</v>
      </c>
      <c r="W71" s="15">
        <v>799</v>
      </c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 x14ac:dyDescent="0.35">
      <c r="V72" s="24" t="s">
        <v>41</v>
      </c>
      <c r="W72" s="15">
        <v>28587</v>
      </c>
      <c r="X72" s="15">
        <v>1.82</v>
      </c>
      <c r="Y72" s="15">
        <f>ROUNDUP($X72/$I$36,0)</f>
        <v>5</v>
      </c>
      <c r="Z72" s="15">
        <f>$Y72*$I$36</f>
        <v>2.0749999999999997</v>
      </c>
      <c r="AA72" s="15">
        <f>$Z72*$W72</f>
        <v>59318.024999999994</v>
      </c>
      <c r="AB72" s="15">
        <v>0</v>
      </c>
      <c r="AC72" s="15">
        <f>$AB72*$AA72</f>
        <v>0</v>
      </c>
      <c r="AD72" s="15"/>
      <c r="AE72" s="15"/>
      <c r="AF72" s="15"/>
    </row>
    <row r="73" spans="1:32" x14ac:dyDescent="0.35">
      <c r="V73" s="24" t="s">
        <v>42</v>
      </c>
      <c r="W73" s="15">
        <v>5290</v>
      </c>
      <c r="X73" s="15">
        <v>3.694</v>
      </c>
      <c r="Y73" s="15">
        <f t="shared" ref="Y73:Y75" si="20">ROUNDUP($X73/$I$36,0)</f>
        <v>9</v>
      </c>
      <c r="Z73" s="15">
        <f t="shared" ref="Z73:Z75" si="21">$Y73*$I$36</f>
        <v>3.7349999999999999</v>
      </c>
      <c r="AA73" s="15">
        <f t="shared" ref="AA73:AA75" si="22">$Z73*$W73</f>
        <v>19758.149999999998</v>
      </c>
      <c r="AB73" s="15">
        <v>0.15</v>
      </c>
      <c r="AC73" s="15">
        <f t="shared" ref="AC73:AC75" si="23">$AB73*$AA73</f>
        <v>2963.7224999999994</v>
      </c>
      <c r="AD73" s="15"/>
      <c r="AE73" s="15"/>
      <c r="AF73" s="15"/>
    </row>
    <row r="74" spans="1:32" x14ac:dyDescent="0.35">
      <c r="V74" s="24" t="s">
        <v>43</v>
      </c>
      <c r="W74" s="15">
        <v>467</v>
      </c>
      <c r="X74" s="15">
        <v>21.55</v>
      </c>
      <c r="Y74" s="15">
        <f t="shared" si="20"/>
        <v>52</v>
      </c>
      <c r="Z74" s="15">
        <f t="shared" si="21"/>
        <v>21.58</v>
      </c>
      <c r="AA74" s="15">
        <f t="shared" si="22"/>
        <v>10077.859999999999</v>
      </c>
      <c r="AB74" s="15">
        <v>0.15</v>
      </c>
      <c r="AC74" s="15">
        <f t="shared" si="23"/>
        <v>1511.6789999999999</v>
      </c>
      <c r="AD74" s="15"/>
      <c r="AE74" s="15"/>
      <c r="AF74" s="15"/>
    </row>
    <row r="75" spans="1:32" x14ac:dyDescent="0.35">
      <c r="V75" s="24" t="s">
        <v>44</v>
      </c>
      <c r="W75" s="15">
        <v>4376</v>
      </c>
      <c r="X75" s="15">
        <v>3.42</v>
      </c>
      <c r="Y75" s="15">
        <f t="shared" si="20"/>
        <v>9</v>
      </c>
      <c r="Z75" s="15">
        <f t="shared" si="21"/>
        <v>3.7349999999999999</v>
      </c>
      <c r="AA75" s="15">
        <f t="shared" si="22"/>
        <v>16344.359999999999</v>
      </c>
      <c r="AB75" s="15">
        <v>0.2</v>
      </c>
      <c r="AC75" s="15">
        <f t="shared" si="23"/>
        <v>3268.8719999999998</v>
      </c>
      <c r="AD75" s="15"/>
      <c r="AE75" s="15"/>
      <c r="AF75" s="15"/>
    </row>
  </sheetData>
  <mergeCells count="1">
    <mergeCell ref="W28:AF2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E728-19FB-4F0C-99F2-2535742A4BD7}">
  <dimension ref="A1:AJ54"/>
  <sheetViews>
    <sheetView zoomScale="70" zoomScaleNormal="55" workbookViewId="0">
      <selection activeCell="W17" sqref="W17"/>
    </sheetView>
  </sheetViews>
  <sheetFormatPr defaultRowHeight="14.5" x14ac:dyDescent="0.35"/>
  <cols>
    <col min="3" max="3" width="8.81640625" bestFit="1" customWidth="1"/>
    <col min="5" max="5" width="8.81640625" bestFit="1" customWidth="1"/>
    <col min="7" max="7" width="8.81640625" bestFit="1" customWidth="1"/>
    <col min="9" max="11" width="8.81640625" bestFit="1" customWidth="1"/>
    <col min="12" max="12" width="11.81640625" bestFit="1" customWidth="1"/>
    <col min="13" max="13" width="8.81640625" bestFit="1" customWidth="1"/>
    <col min="14" max="14" width="15.26953125" customWidth="1"/>
    <col min="15" max="15" width="9.81640625" bestFit="1" customWidth="1"/>
    <col min="16" max="16" width="8.81640625" bestFit="1" customWidth="1"/>
    <col min="17" max="17" width="9.81640625" bestFit="1" customWidth="1"/>
    <col min="18" max="18" width="13.54296875" bestFit="1" customWidth="1"/>
    <col min="19" max="19" width="8.81640625" bestFit="1" customWidth="1"/>
    <col min="20" max="20" width="9.453125" bestFit="1" customWidth="1"/>
    <col min="21" max="21" width="9.81640625" bestFit="1" customWidth="1"/>
    <col min="22" max="22" width="8.81640625" bestFit="1" customWidth="1"/>
    <col min="23" max="23" width="19.1796875" customWidth="1"/>
    <col min="24" max="24" width="27.1796875" customWidth="1"/>
    <col min="25" max="29" width="8.81640625" bestFit="1" customWidth="1"/>
    <col min="30" max="30" width="23.54296875" customWidth="1"/>
    <col min="31" max="31" width="16.1796875" customWidth="1"/>
    <col min="32" max="32" width="13.1796875" customWidth="1"/>
    <col min="33" max="33" width="8.81640625" bestFit="1" customWidth="1"/>
    <col min="34" max="34" width="19.81640625" customWidth="1"/>
    <col min="35" max="35" width="12.453125" customWidth="1"/>
    <col min="36" max="36" width="11.453125" customWidth="1"/>
  </cols>
  <sheetData>
    <row r="1" spans="1:36" x14ac:dyDescent="0.35">
      <c r="E1" s="19">
        <v>2009</v>
      </c>
      <c r="I1" s="19">
        <v>2015</v>
      </c>
      <c r="O1" s="152" t="s">
        <v>89</v>
      </c>
      <c r="P1" s="152"/>
      <c r="Q1" s="152"/>
      <c r="R1" s="152"/>
      <c r="S1" s="152"/>
      <c r="T1" s="152"/>
      <c r="U1" s="153"/>
      <c r="V1" s="153"/>
      <c r="W1" s="152"/>
      <c r="X1" s="152"/>
      <c r="Y1" s="151" t="s">
        <v>90</v>
      </c>
      <c r="Z1" s="151"/>
      <c r="AA1" s="151"/>
      <c r="AB1" s="151"/>
      <c r="AC1" s="140" t="s">
        <v>91</v>
      </c>
      <c r="AD1" s="140" t="s">
        <v>92</v>
      </c>
      <c r="AE1" s="149" t="s">
        <v>93</v>
      </c>
      <c r="AF1" s="151" t="s">
        <v>94</v>
      </c>
      <c r="AH1" s="19">
        <v>2015</v>
      </c>
    </row>
    <row r="2" spans="1:36" x14ac:dyDescent="0.35">
      <c r="A2" s="19" t="s">
        <v>95</v>
      </c>
      <c r="B2" s="19"/>
      <c r="C2" s="19" t="s">
        <v>18</v>
      </c>
      <c r="E2" s="19" t="s">
        <v>17</v>
      </c>
      <c r="F2" s="19"/>
      <c r="G2" s="19" t="s">
        <v>18</v>
      </c>
      <c r="I2" s="20" t="s">
        <v>17</v>
      </c>
      <c r="J2" s="20"/>
      <c r="K2" s="20" t="s">
        <v>18</v>
      </c>
      <c r="L2" s="20" t="s">
        <v>19</v>
      </c>
      <c r="M2" s="20" t="s">
        <v>20</v>
      </c>
      <c r="N2" s="20" t="s">
        <v>21</v>
      </c>
      <c r="O2" s="21" t="s">
        <v>96</v>
      </c>
      <c r="P2" s="21" t="s">
        <v>97</v>
      </c>
      <c r="Q2" s="21" t="s">
        <v>98</v>
      </c>
      <c r="R2" s="21" t="s">
        <v>99</v>
      </c>
      <c r="S2" s="21" t="s">
        <v>100</v>
      </c>
      <c r="T2" s="21" t="s">
        <v>101</v>
      </c>
      <c r="U2" s="21" t="s">
        <v>102</v>
      </c>
      <c r="V2" s="21" t="s">
        <v>103</v>
      </c>
      <c r="W2" s="21" t="s">
        <v>104</v>
      </c>
      <c r="X2" s="22" t="s">
        <v>105</v>
      </c>
      <c r="Y2" s="151"/>
      <c r="Z2" s="151"/>
      <c r="AA2" s="151"/>
      <c r="AB2" s="151"/>
      <c r="AC2" s="140"/>
      <c r="AD2" s="140"/>
      <c r="AE2" s="150"/>
      <c r="AF2" s="151"/>
      <c r="AH2" s="104" t="s">
        <v>17</v>
      </c>
      <c r="AI2" s="104"/>
      <c r="AJ2" s="104" t="s">
        <v>106</v>
      </c>
    </row>
    <row r="3" spans="1:36" x14ac:dyDescent="0.35">
      <c r="A3" s="15">
        <v>1</v>
      </c>
      <c r="B3" s="15" t="s">
        <v>107</v>
      </c>
      <c r="C3" s="35">
        <v>41972</v>
      </c>
      <c r="E3" s="15">
        <v>0</v>
      </c>
      <c r="F3" s="15"/>
      <c r="G3" s="36">
        <v>14047</v>
      </c>
      <c r="I3" s="15">
        <v>0</v>
      </c>
      <c r="J3" s="15" t="s">
        <v>38</v>
      </c>
      <c r="K3" s="23">
        <v>3515</v>
      </c>
      <c r="Y3" s="37"/>
      <c r="Z3" s="37"/>
      <c r="AA3" s="37"/>
      <c r="AH3" s="15">
        <v>0</v>
      </c>
      <c r="AI3" s="15" t="s">
        <v>38</v>
      </c>
    </row>
    <row r="4" spans="1:36" x14ac:dyDescent="0.35">
      <c r="A4" s="15">
        <v>2</v>
      </c>
      <c r="B4" s="15" t="s">
        <v>108</v>
      </c>
      <c r="C4" s="36">
        <v>14047</v>
      </c>
      <c r="E4" s="15">
        <v>1</v>
      </c>
      <c r="F4" s="15" t="s">
        <v>39</v>
      </c>
      <c r="G4" s="35">
        <v>40415</v>
      </c>
      <c r="I4" s="24">
        <v>1</v>
      </c>
      <c r="J4" s="24" t="s">
        <v>39</v>
      </c>
      <c r="K4" s="25">
        <v>46082</v>
      </c>
      <c r="L4" s="15">
        <v>2.4297399999999998</v>
      </c>
      <c r="M4" s="15">
        <v>65.221934000000005</v>
      </c>
      <c r="N4" s="26">
        <f>K4*M4</f>
        <v>3005557.1625880003</v>
      </c>
      <c r="O4" s="27">
        <v>1</v>
      </c>
      <c r="P4" s="27">
        <v>2.5</v>
      </c>
      <c r="Q4" s="27">
        <v>65</v>
      </c>
      <c r="R4" s="27">
        <v>4</v>
      </c>
      <c r="S4" s="28">
        <f>R4/3.67</f>
        <v>1.0899182561307903</v>
      </c>
      <c r="T4" s="28">
        <f>S4*K4</f>
        <v>50225.61307901908</v>
      </c>
      <c r="U4" s="29">
        <f>T4/$T$12</f>
        <v>0.65465988073717063</v>
      </c>
      <c r="V4" s="15">
        <v>1.5</v>
      </c>
      <c r="W4" s="15">
        <v>1.5</v>
      </c>
      <c r="X4" s="26">
        <v>427.8</v>
      </c>
      <c r="Y4" s="154">
        <v>423.64</v>
      </c>
      <c r="Z4" s="154"/>
      <c r="AA4" s="154"/>
      <c r="AB4" s="155"/>
      <c r="AC4" s="15">
        <v>1</v>
      </c>
      <c r="AD4" s="15">
        <f>AC4*S4</f>
        <v>1.0899182561307903</v>
      </c>
      <c r="AE4" s="38">
        <f>AD4*AH28</f>
        <v>127306.81198910082</v>
      </c>
      <c r="AF4" s="15">
        <f>ROUNDUP(AE4,0)</f>
        <v>127307</v>
      </c>
      <c r="AH4" s="24">
        <v>1</v>
      </c>
      <c r="AI4" s="24" t="s">
        <v>39</v>
      </c>
    </row>
    <row r="5" spans="1:36" x14ac:dyDescent="0.35">
      <c r="A5" s="15">
        <v>3</v>
      </c>
      <c r="B5" s="15"/>
      <c r="C5" s="35">
        <v>3681</v>
      </c>
      <c r="E5" s="15">
        <v>2</v>
      </c>
      <c r="F5" s="15" t="s">
        <v>40</v>
      </c>
      <c r="G5" s="15">
        <v>329</v>
      </c>
      <c r="I5" s="24">
        <v>2</v>
      </c>
      <c r="J5" s="24" t="s">
        <v>40</v>
      </c>
      <c r="K5" s="24">
        <v>315</v>
      </c>
      <c r="L5" s="15">
        <v>2.686194</v>
      </c>
      <c r="M5" s="15">
        <v>141.03016</v>
      </c>
      <c r="N5" s="26">
        <f t="shared" ref="N5:N10" si="0">K5*M5</f>
        <v>44424.500399999997</v>
      </c>
      <c r="O5" s="27">
        <v>1</v>
      </c>
      <c r="P5" s="27">
        <v>2.5</v>
      </c>
      <c r="Q5" s="27">
        <v>140</v>
      </c>
      <c r="R5" s="27">
        <v>5</v>
      </c>
      <c r="S5" s="28">
        <f>R5/3.67</f>
        <v>1.3623978201634879</v>
      </c>
      <c r="T5" s="28">
        <f t="shared" ref="T5:T8" si="1">S5*K5</f>
        <v>429.15531335149871</v>
      </c>
      <c r="U5" s="29">
        <f>T5/$T$12</f>
        <v>5.5937747502335178E-3</v>
      </c>
      <c r="V5" s="15">
        <v>3</v>
      </c>
      <c r="W5" s="15">
        <v>1.8</v>
      </c>
      <c r="X5" s="26">
        <v>921.3</v>
      </c>
      <c r="Y5" s="33"/>
      <c r="Z5" s="33"/>
      <c r="AA5" s="33"/>
      <c r="AB5" s="33"/>
      <c r="AC5" s="15">
        <v>1</v>
      </c>
      <c r="AD5" s="15">
        <f>AC5*S5</f>
        <v>1.3623978201634879</v>
      </c>
      <c r="AE5" s="38">
        <f>AD5*AH29</f>
        <v>1088.5558583106267</v>
      </c>
      <c r="AF5" s="15">
        <f>ROUNDUP(AE5,0)</f>
        <v>1089</v>
      </c>
      <c r="AH5" s="24">
        <v>2</v>
      </c>
      <c r="AI5" s="24" t="s">
        <v>40</v>
      </c>
    </row>
    <row r="6" spans="1:36" x14ac:dyDescent="0.35">
      <c r="A6" s="15">
        <v>4</v>
      </c>
      <c r="B6" s="15"/>
      <c r="C6" s="35">
        <v>1101</v>
      </c>
      <c r="E6" s="15">
        <v>3</v>
      </c>
      <c r="F6" s="15" t="s">
        <v>41</v>
      </c>
      <c r="G6" s="35">
        <v>8091</v>
      </c>
      <c r="I6" s="24">
        <v>3</v>
      </c>
      <c r="J6" s="24" t="s">
        <v>41</v>
      </c>
      <c r="K6" s="25">
        <v>11278</v>
      </c>
      <c r="L6" s="15">
        <v>3.5974930000000001</v>
      </c>
      <c r="M6" s="15">
        <v>176.72992400000001</v>
      </c>
      <c r="N6" s="26">
        <f t="shared" si="0"/>
        <v>1993160.0828720001</v>
      </c>
      <c r="O6" s="27">
        <v>1</v>
      </c>
      <c r="P6" s="27">
        <v>3.5</v>
      </c>
      <c r="Q6" s="27">
        <v>175</v>
      </c>
      <c r="R6" s="27">
        <v>5</v>
      </c>
      <c r="S6" s="28">
        <f>R6/3.67</f>
        <v>1.3623978201634879</v>
      </c>
      <c r="T6" s="28">
        <f t="shared" si="1"/>
        <v>15365.122615803817</v>
      </c>
      <c r="U6" s="29">
        <f>T6/$T$12</f>
        <v>0.20027489407344004</v>
      </c>
      <c r="V6" s="15">
        <v>3</v>
      </c>
      <c r="W6" s="15">
        <v>4</v>
      </c>
      <c r="X6" s="26">
        <v>1939.7</v>
      </c>
      <c r="Y6" s="154">
        <v>1940.28</v>
      </c>
      <c r="Z6" s="154"/>
      <c r="AA6" s="154"/>
      <c r="AB6" s="155"/>
      <c r="AC6" s="15">
        <v>1</v>
      </c>
      <c r="AD6" s="15">
        <f>AC6*S6</f>
        <v>1.3623978201634879</v>
      </c>
      <c r="AE6" s="38">
        <f>AD6*AH30</f>
        <v>38946.866485013627</v>
      </c>
      <c r="AF6" s="15">
        <f>ROUNDUP(AE6,0)</f>
        <v>38947</v>
      </c>
      <c r="AH6" s="24">
        <v>3</v>
      </c>
      <c r="AI6" s="24" t="s">
        <v>41</v>
      </c>
    </row>
    <row r="7" spans="1:36" x14ac:dyDescent="0.35">
      <c r="A7" s="15">
        <v>5</v>
      </c>
      <c r="B7" s="15"/>
      <c r="C7" s="35">
        <v>1347</v>
      </c>
      <c r="E7" s="15">
        <v>4</v>
      </c>
      <c r="F7" s="15" t="s">
        <v>42</v>
      </c>
      <c r="G7" s="15">
        <v>424</v>
      </c>
      <c r="I7" s="24">
        <v>4</v>
      </c>
      <c r="J7" s="24" t="s">
        <v>42</v>
      </c>
      <c r="K7" s="25">
        <v>2087</v>
      </c>
      <c r="L7" s="15">
        <v>4.4907459999999997</v>
      </c>
      <c r="M7" s="15">
        <v>270.288185</v>
      </c>
      <c r="N7" s="26">
        <f t="shared" si="0"/>
        <v>564091.44209499995</v>
      </c>
      <c r="O7" s="27">
        <v>2</v>
      </c>
      <c r="P7" s="27">
        <v>5</v>
      </c>
      <c r="Q7" s="27">
        <v>270</v>
      </c>
      <c r="R7" s="27">
        <v>10</v>
      </c>
      <c r="S7" s="28">
        <f>R7/3.67</f>
        <v>2.7247956403269757</v>
      </c>
      <c r="T7" s="28">
        <f t="shared" si="1"/>
        <v>5686.6485013623987</v>
      </c>
      <c r="U7" s="29">
        <f>T7/$T$12</f>
        <v>7.4121954944364132E-2</v>
      </c>
      <c r="V7" s="15">
        <v>0.75</v>
      </c>
      <c r="W7" s="15">
        <v>0.5</v>
      </c>
      <c r="X7" s="26">
        <v>2897.1</v>
      </c>
      <c r="Y7" s="154">
        <v>2888.07</v>
      </c>
      <c r="Z7" s="154"/>
      <c r="AA7" s="154"/>
      <c r="AB7" s="155"/>
      <c r="AC7" s="15">
        <v>1</v>
      </c>
      <c r="AD7" s="15">
        <f>AC7*S7</f>
        <v>2.7247956403269757</v>
      </c>
      <c r="AE7" s="38">
        <f>AD7*AH31</f>
        <v>14414.168937329701</v>
      </c>
      <c r="AF7" s="15">
        <f>ROUNDUP(AE7,0)</f>
        <v>14415</v>
      </c>
      <c r="AH7" s="24">
        <v>4</v>
      </c>
      <c r="AI7" s="24" t="s">
        <v>42</v>
      </c>
    </row>
    <row r="8" spans="1:36" x14ac:dyDescent="0.35">
      <c r="A8" s="15">
        <v>6</v>
      </c>
      <c r="B8" s="15" t="s">
        <v>109</v>
      </c>
      <c r="C8" s="23">
        <v>3515</v>
      </c>
      <c r="E8" s="15">
        <v>5</v>
      </c>
      <c r="F8" s="15" t="s">
        <v>43</v>
      </c>
      <c r="G8" s="15">
        <v>79</v>
      </c>
      <c r="I8" s="24">
        <v>5</v>
      </c>
      <c r="J8" s="24" t="s">
        <v>43</v>
      </c>
      <c r="K8" s="24">
        <v>184</v>
      </c>
      <c r="L8" s="15">
        <v>5.1498670000000004</v>
      </c>
      <c r="M8" s="15">
        <v>619.04335800000001</v>
      </c>
      <c r="N8" s="26">
        <f t="shared" si="0"/>
        <v>113903.977872</v>
      </c>
      <c r="O8" s="27">
        <v>2</v>
      </c>
      <c r="P8" s="27">
        <v>5</v>
      </c>
      <c r="Q8" s="27">
        <v>620</v>
      </c>
      <c r="R8" s="27">
        <v>100</v>
      </c>
      <c r="S8" s="28">
        <f>R8/3.67</f>
        <v>27.247956403269754</v>
      </c>
      <c r="T8" s="28">
        <f t="shared" si="1"/>
        <v>5013.6239782016346</v>
      </c>
      <c r="U8" s="29">
        <f>T8/$T$12</f>
        <v>6.5349495494791562E-2</v>
      </c>
      <c r="V8" s="15">
        <v>3</v>
      </c>
      <c r="W8" s="15">
        <v>5</v>
      </c>
      <c r="X8" s="26">
        <v>44220.7</v>
      </c>
      <c r="AC8" s="15">
        <v>1</v>
      </c>
      <c r="AD8" s="15">
        <f>AC8*S8</f>
        <v>27.247956403269754</v>
      </c>
      <c r="AE8" s="38">
        <f>AD8*AH32</f>
        <v>12724.795640326975</v>
      </c>
      <c r="AF8" s="15">
        <f>ROUNDUP(AE8,0)</f>
        <v>12725</v>
      </c>
      <c r="AH8" s="24">
        <v>5</v>
      </c>
      <c r="AI8" s="24" t="s">
        <v>43</v>
      </c>
    </row>
    <row r="9" spans="1:36" x14ac:dyDescent="0.35">
      <c r="E9" s="15">
        <v>6</v>
      </c>
      <c r="F9" s="15" t="s">
        <v>45</v>
      </c>
      <c r="G9" s="15">
        <v>11</v>
      </c>
      <c r="I9" s="15">
        <v>6</v>
      </c>
      <c r="J9" s="15" t="s">
        <v>45</v>
      </c>
      <c r="K9" s="15">
        <v>25</v>
      </c>
      <c r="L9" s="15"/>
      <c r="M9" s="15"/>
      <c r="N9" s="15"/>
      <c r="O9" s="30"/>
      <c r="P9" s="30"/>
      <c r="Q9" s="30"/>
      <c r="R9" s="30"/>
      <c r="S9" s="31"/>
      <c r="T9" s="32"/>
      <c r="U9" s="28"/>
      <c r="X9" s="33"/>
      <c r="AH9" s="15">
        <v>6</v>
      </c>
      <c r="AI9" s="15" t="s">
        <v>45</v>
      </c>
    </row>
    <row r="10" spans="1:36" x14ac:dyDescent="0.35">
      <c r="B10" s="38" t="s">
        <v>110</v>
      </c>
      <c r="C10" s="39">
        <f>SUM(C3:C8)</f>
        <v>65663</v>
      </c>
      <c r="E10" s="15">
        <v>7</v>
      </c>
      <c r="F10" s="15" t="s">
        <v>44</v>
      </c>
      <c r="G10" s="35">
        <v>1423</v>
      </c>
      <c r="I10" s="24">
        <v>7</v>
      </c>
      <c r="J10" s="24" t="s">
        <v>44</v>
      </c>
      <c r="K10" s="25">
        <v>1726</v>
      </c>
      <c r="L10" s="15">
        <v>3.782435</v>
      </c>
      <c r="M10" s="15">
        <v>566.754817</v>
      </c>
      <c r="N10" s="26">
        <f t="shared" si="0"/>
        <v>978218.81414200005</v>
      </c>
      <c r="O10" s="27">
        <v>1</v>
      </c>
      <c r="P10" s="27">
        <v>4</v>
      </c>
      <c r="Q10" s="27">
        <v>570</v>
      </c>
      <c r="R10" s="34">
        <v>30</v>
      </c>
      <c r="S10" s="28"/>
      <c r="T10" s="28"/>
      <c r="U10" s="28"/>
      <c r="V10" s="15">
        <v>10</v>
      </c>
      <c r="W10" s="15">
        <v>50</v>
      </c>
      <c r="X10" s="26">
        <v>8926.9</v>
      </c>
      <c r="AH10" s="24">
        <v>7</v>
      </c>
      <c r="AI10" s="24" t="s">
        <v>44</v>
      </c>
    </row>
    <row r="11" spans="1:36" x14ac:dyDescent="0.35">
      <c r="B11" s="38" t="s">
        <v>111</v>
      </c>
      <c r="C11" s="40">
        <f>SUM(C3:C7)</f>
        <v>62148</v>
      </c>
      <c r="E11" s="15">
        <v>8</v>
      </c>
      <c r="F11" s="15" t="s">
        <v>49</v>
      </c>
      <c r="G11" s="15">
        <v>67</v>
      </c>
      <c r="I11" s="15">
        <v>8</v>
      </c>
      <c r="J11" s="15" t="s">
        <v>49</v>
      </c>
      <c r="K11" s="15">
        <v>58</v>
      </c>
      <c r="L11" s="15"/>
      <c r="M11" s="15"/>
      <c r="N11" s="26"/>
      <c r="S11" s="41"/>
      <c r="T11" s="41"/>
      <c r="U11" s="41"/>
      <c r="AH11" s="15">
        <v>8</v>
      </c>
      <c r="AI11" s="15" t="s">
        <v>49</v>
      </c>
    </row>
    <row r="12" spans="1:36" x14ac:dyDescent="0.35">
      <c r="E12" s="15">
        <v>9</v>
      </c>
      <c r="F12" s="15" t="s">
        <v>51</v>
      </c>
      <c r="G12" s="15">
        <v>777</v>
      </c>
      <c r="I12" s="15">
        <v>9</v>
      </c>
      <c r="J12" s="15" t="s">
        <v>51</v>
      </c>
      <c r="K12" s="15">
        <v>393</v>
      </c>
      <c r="L12" s="15"/>
      <c r="M12" s="15"/>
      <c r="N12" s="26"/>
      <c r="Q12" s="22" t="s">
        <v>112</v>
      </c>
      <c r="R12" s="42">
        <f>R4*K4+R5*K5+R6*K6+R7*K7+R8*K8+R10*K10</f>
        <v>333343</v>
      </c>
      <c r="S12" s="43" t="s">
        <v>113</v>
      </c>
      <c r="T12" s="26">
        <f>SUM(T4:T10)</f>
        <v>76720.163487738435</v>
      </c>
      <c r="U12" s="44">
        <f>SUM(U4:U8)</f>
        <v>0.99999999999999978</v>
      </c>
      <c r="AH12" s="15">
        <v>9</v>
      </c>
      <c r="AI12" s="15" t="s">
        <v>51</v>
      </c>
    </row>
    <row r="13" spans="1:36" x14ac:dyDescent="0.35">
      <c r="C13" s="45"/>
      <c r="L13" s="46"/>
      <c r="M13" s="20" t="s">
        <v>114</v>
      </c>
      <c r="N13" s="26">
        <f>SUM(N4:N12)</f>
        <v>6699355.9799690004</v>
      </c>
      <c r="Q13" s="21" t="s">
        <v>115</v>
      </c>
      <c r="R13" s="47">
        <v>318564</v>
      </c>
      <c r="S13" s="33"/>
      <c r="T13" s="33"/>
      <c r="U13" s="33"/>
    </row>
    <row r="14" spans="1:36" x14ac:dyDescent="0.35">
      <c r="F14" s="38" t="s">
        <v>116</v>
      </c>
      <c r="G14" s="39">
        <f>SUM(G3:G12)</f>
        <v>65663</v>
      </c>
      <c r="J14" s="38" t="s">
        <v>117</v>
      </c>
      <c r="K14" s="39">
        <f>SUM(K3:K12)</f>
        <v>65663</v>
      </c>
      <c r="L14" s="20" t="s">
        <v>21</v>
      </c>
      <c r="M14" s="20" t="s">
        <v>118</v>
      </c>
      <c r="N14" s="20"/>
      <c r="Q14" s="21" t="s">
        <v>119</v>
      </c>
      <c r="R14" s="26">
        <v>491731</v>
      </c>
      <c r="S14" s="33"/>
      <c r="T14" s="33"/>
      <c r="U14" s="33"/>
    </row>
    <row r="15" spans="1:36" x14ac:dyDescent="0.35">
      <c r="F15" s="38" t="s">
        <v>120</v>
      </c>
      <c r="G15" s="48">
        <f>SUM(G4:G12)</f>
        <v>51616</v>
      </c>
      <c r="J15" s="38" t="s">
        <v>121</v>
      </c>
      <c r="K15" s="40">
        <f>SUM(K4:K12)</f>
        <v>62148</v>
      </c>
      <c r="L15" s="26">
        <v>6831645.1498050001</v>
      </c>
      <c r="M15" s="139">
        <f>(N13/L15)</f>
        <v>0.98063582534877769</v>
      </c>
      <c r="N15" s="139"/>
    </row>
    <row r="17" spans="4:34" x14ac:dyDescent="0.35">
      <c r="O17" s="140" t="s">
        <v>122</v>
      </c>
      <c r="P17" s="140"/>
      <c r="Q17" s="140"/>
      <c r="R17" s="49"/>
      <c r="S17" s="49"/>
      <c r="T17" s="49"/>
      <c r="U17" s="49"/>
    </row>
    <row r="18" spans="4:34" x14ac:dyDescent="0.35">
      <c r="O18" s="21" t="s">
        <v>123</v>
      </c>
      <c r="P18" s="15" t="s">
        <v>124</v>
      </c>
      <c r="Q18" s="50">
        <v>0.98899999999999999</v>
      </c>
      <c r="R18" s="13"/>
      <c r="S18" s="13"/>
      <c r="T18" s="13"/>
      <c r="U18">
        <f>3.7-0.01*3</f>
        <v>3.6700000000000004</v>
      </c>
    </row>
    <row r="19" spans="4:34" ht="58" x14ac:dyDescent="0.35">
      <c r="J19" s="51">
        <f t="shared" ref="J19:J27" si="2">K4/$K$15</f>
        <v>0.74148806075819018</v>
      </c>
      <c r="O19" s="140" t="s">
        <v>125</v>
      </c>
      <c r="P19" s="52" t="s">
        <v>126</v>
      </c>
      <c r="Q19" s="50">
        <v>0.627</v>
      </c>
      <c r="R19" s="13"/>
      <c r="S19" s="13"/>
      <c r="T19" s="13"/>
      <c r="U19" s="13"/>
      <c r="X19" s="53"/>
      <c r="Y19" s="54"/>
      <c r="Z19" s="55"/>
    </row>
    <row r="20" spans="4:34" ht="58" x14ac:dyDescent="0.35">
      <c r="J20" s="51">
        <f t="shared" si="2"/>
        <v>5.068546051361267E-3</v>
      </c>
      <c r="O20" s="140"/>
      <c r="P20" s="56" t="s">
        <v>127</v>
      </c>
      <c r="Q20" s="50">
        <v>0.113</v>
      </c>
      <c r="R20" s="13"/>
      <c r="S20" s="13"/>
      <c r="T20" s="13"/>
      <c r="U20" s="13"/>
      <c r="V20" s="149" t="s">
        <v>128</v>
      </c>
      <c r="W20" s="149"/>
      <c r="X20" s="57"/>
      <c r="Y20" s="58"/>
      <c r="Z20" s="55"/>
      <c r="AA20" s="59" t="s">
        <v>129</v>
      </c>
      <c r="AB20" s="59" t="s">
        <v>130</v>
      </c>
    </row>
    <row r="21" spans="4:34" x14ac:dyDescent="0.35">
      <c r="J21" s="51">
        <f t="shared" si="2"/>
        <v>0.18147003926111863</v>
      </c>
      <c r="O21" s="140" t="s">
        <v>131</v>
      </c>
      <c r="P21" s="60" t="s">
        <v>132</v>
      </c>
      <c r="Q21" s="50">
        <v>0.627</v>
      </c>
      <c r="R21" s="13"/>
      <c r="S21" s="13"/>
      <c r="T21" s="38" t="s">
        <v>133</v>
      </c>
      <c r="U21" s="61"/>
      <c r="V21" s="61">
        <v>3.6</v>
      </c>
      <c r="W21" s="62" t="s">
        <v>134</v>
      </c>
      <c r="X21" s="56">
        <v>2042</v>
      </c>
      <c r="Y21" s="27">
        <v>2040</v>
      </c>
      <c r="AA21" s="59">
        <v>2040</v>
      </c>
      <c r="AB21" s="59">
        <v>2040</v>
      </c>
    </row>
    <row r="22" spans="4:34" ht="58" x14ac:dyDescent="0.35">
      <c r="J22" s="51">
        <f t="shared" si="2"/>
        <v>3.3581128918066548E-2</v>
      </c>
      <c r="O22" s="140"/>
      <c r="P22" s="56" t="s">
        <v>135</v>
      </c>
      <c r="Q22" s="50">
        <v>0.22</v>
      </c>
      <c r="R22" s="13"/>
      <c r="S22" s="13"/>
      <c r="T22" s="63" t="s">
        <v>136</v>
      </c>
      <c r="U22" s="63"/>
      <c r="V22" s="38">
        <v>3.7</v>
      </c>
      <c r="W22" s="64" t="s">
        <v>134</v>
      </c>
      <c r="X22" s="15">
        <v>3.4</v>
      </c>
      <c r="Y22" s="15">
        <v>3.42</v>
      </c>
      <c r="AA22" s="59">
        <v>985221.42255219258</v>
      </c>
      <c r="AB22" s="59">
        <f>AA22/Y22</f>
        <v>288076.43934274639</v>
      </c>
    </row>
    <row r="23" spans="4:34" x14ac:dyDescent="0.35">
      <c r="J23" s="51">
        <f t="shared" si="2"/>
        <v>2.9606745188903907E-3</v>
      </c>
      <c r="T23" s="21" t="s">
        <v>137</v>
      </c>
      <c r="U23" s="15"/>
      <c r="V23" s="15">
        <f>(V21+V22)/2</f>
        <v>3.6500000000000004</v>
      </c>
      <c r="W23" s="64" t="s">
        <v>134</v>
      </c>
      <c r="X23" s="15">
        <v>2032</v>
      </c>
      <c r="Y23" s="15">
        <v>2030</v>
      </c>
      <c r="AA23" s="59">
        <v>2030</v>
      </c>
      <c r="AB23" s="59">
        <v>2030</v>
      </c>
    </row>
    <row r="24" spans="4:34" x14ac:dyDescent="0.35">
      <c r="J24" s="51">
        <f t="shared" si="2"/>
        <v>4.0226555963184657E-4</v>
      </c>
      <c r="X24" s="15">
        <v>3.5</v>
      </c>
      <c r="Y24" s="15">
        <v>3.52</v>
      </c>
      <c r="AA24" s="65">
        <v>684506</v>
      </c>
      <c r="AB24" s="15">
        <f>AA24/Y24</f>
        <v>194461.93181818182</v>
      </c>
    </row>
    <row r="25" spans="4:34" x14ac:dyDescent="0.35">
      <c r="J25" s="51">
        <f t="shared" si="2"/>
        <v>2.7772414236982686E-2</v>
      </c>
      <c r="O25" s="66" t="s">
        <v>17</v>
      </c>
      <c r="P25" s="66" t="s">
        <v>138</v>
      </c>
      <c r="Q25" s="66" t="s">
        <v>139</v>
      </c>
      <c r="R25" s="144" t="s">
        <v>140</v>
      </c>
      <c r="S25" s="145"/>
      <c r="T25" s="145"/>
      <c r="U25" s="145"/>
      <c r="V25" s="146"/>
      <c r="W25" s="66" t="s">
        <v>141</v>
      </c>
    </row>
    <row r="26" spans="4:34" x14ac:dyDescent="0.35">
      <c r="J26" s="51">
        <f t="shared" si="2"/>
        <v>9.3325609834588399E-4</v>
      </c>
      <c r="O26" s="66" t="s">
        <v>142</v>
      </c>
      <c r="P26" s="67">
        <v>0.74150000000000005</v>
      </c>
      <c r="Q26" s="68">
        <v>427.8</v>
      </c>
      <c r="R26" s="133">
        <f>P26*$U$42*Q26</f>
        <v>34542668.647799999</v>
      </c>
      <c r="S26" s="133"/>
      <c r="T26" s="133"/>
      <c r="U26" s="133"/>
      <c r="V26" s="133"/>
      <c r="W26" s="15">
        <f>Q26/R4</f>
        <v>106.95</v>
      </c>
      <c r="X26" s="69"/>
      <c r="Y26" s="69"/>
      <c r="AA26" s="69"/>
    </row>
    <row r="27" spans="4:34" x14ac:dyDescent="0.35">
      <c r="J27" s="51">
        <f t="shared" si="2"/>
        <v>6.323614597412628E-3</v>
      </c>
      <c r="O27" s="66" t="s">
        <v>143</v>
      </c>
      <c r="P27" s="67">
        <v>5.1000000000000004E-3</v>
      </c>
      <c r="Q27" s="68">
        <v>921.3</v>
      </c>
      <c r="R27" s="133">
        <f t="shared" ref="R27:R31" si="3">P27*$U$42*Q27</f>
        <v>511652.61522000004</v>
      </c>
      <c r="S27" s="133"/>
      <c r="T27" s="133"/>
      <c r="U27" s="133"/>
      <c r="V27" s="133"/>
      <c r="W27" s="15">
        <f>Q27/R5</f>
        <v>184.26</v>
      </c>
      <c r="Y27" s="147" t="s">
        <v>144</v>
      </c>
      <c r="Z27" s="148"/>
      <c r="AA27" s="70" t="s">
        <v>145</v>
      </c>
      <c r="AB27" s="70" t="s">
        <v>146</v>
      </c>
      <c r="AC27" s="43" t="s">
        <v>147</v>
      </c>
      <c r="AD27" s="71" t="s">
        <v>148</v>
      </c>
      <c r="AE27" s="70" t="s">
        <v>149</v>
      </c>
      <c r="AF27" s="70" t="s">
        <v>150</v>
      </c>
      <c r="AG27" s="70" t="s">
        <v>151</v>
      </c>
      <c r="AH27" s="70" t="s">
        <v>148</v>
      </c>
    </row>
    <row r="28" spans="4:34" x14ac:dyDescent="0.35">
      <c r="O28" s="66" t="s">
        <v>152</v>
      </c>
      <c r="P28" s="67">
        <v>0.18149999999999999</v>
      </c>
      <c r="Q28" s="68">
        <v>1939.7</v>
      </c>
      <c r="R28" s="133">
        <f t="shared" si="3"/>
        <v>38336737.061700001</v>
      </c>
      <c r="S28" s="133"/>
      <c r="T28" s="133"/>
      <c r="U28" s="133"/>
      <c r="V28" s="133"/>
      <c r="W28" s="15">
        <f>Q28/R6</f>
        <v>387.94</v>
      </c>
      <c r="X28" s="72" t="s">
        <v>39</v>
      </c>
      <c r="Y28" s="28">
        <v>50225.61307901908</v>
      </c>
      <c r="Z28" s="73">
        <f>(Y28/$Y$33)</f>
        <v>0.65465988073717063</v>
      </c>
      <c r="AA28" s="59">
        <f>$AB$22*Z28</f>
        <v>188592.08742331111</v>
      </c>
      <c r="AB28" s="59">
        <f>AA28/S4</f>
        <v>173033.24021088792</v>
      </c>
      <c r="AC28" s="74">
        <f>AB28/R39</f>
        <v>2.1266060794663217</v>
      </c>
      <c r="AD28" s="38">
        <f>ROUNDUP(AB28,0)</f>
        <v>173034</v>
      </c>
      <c r="AE28" s="15">
        <f>$AB$24*Z28</f>
        <v>127306.42509201072</v>
      </c>
      <c r="AF28" s="15">
        <f>AE28/S4</f>
        <v>116803.64502191982</v>
      </c>
      <c r="AG28" s="15">
        <f>AF28/R39</f>
        <v>1.4355353994683553</v>
      </c>
      <c r="AH28" s="15">
        <f>ROUNDUP(AF28,0)</f>
        <v>116804</v>
      </c>
    </row>
    <row r="29" spans="4:34" x14ac:dyDescent="0.35">
      <c r="D29" s="45"/>
      <c r="O29" s="66" t="s">
        <v>153</v>
      </c>
      <c r="P29" s="67">
        <v>3.3599999999999998E-2</v>
      </c>
      <c r="Q29" s="68">
        <v>2897.1</v>
      </c>
      <c r="R29" s="133">
        <f t="shared" si="3"/>
        <v>10600020.728639999</v>
      </c>
      <c r="S29" s="133"/>
      <c r="T29" s="133"/>
      <c r="U29" s="133"/>
      <c r="V29" s="133"/>
      <c r="W29" s="15">
        <f>Q29/R7</f>
        <v>289.70999999999998</v>
      </c>
      <c r="X29" s="72" t="s">
        <v>40</v>
      </c>
      <c r="Y29" s="75">
        <v>429.15531335149871</v>
      </c>
      <c r="Z29" s="73">
        <f>(Y29/$Y$33)</f>
        <v>5.5937747502335178E-3</v>
      </c>
      <c r="AA29" s="59">
        <f t="shared" ref="AA29:AA32" si="4">$AB$22*Z29</f>
        <v>1611.4347125326324</v>
      </c>
      <c r="AB29" s="59">
        <f t="shared" ref="AB29:AB32" si="5">AA29/S5</f>
        <v>1182.7930789989521</v>
      </c>
      <c r="AC29" s="74">
        <f>AB29/R40</f>
        <v>2.1266060794663222</v>
      </c>
      <c r="AD29" s="38">
        <f>ROUNDUP(AB29,0)</f>
        <v>1183</v>
      </c>
      <c r="AE29" s="15">
        <f>$AB$24*Z29</f>
        <v>1087.7762440861775</v>
      </c>
      <c r="AF29" s="15">
        <f>AE29/S5</f>
        <v>798.42776315925414</v>
      </c>
      <c r="AG29" s="15">
        <f>AF29/R40</f>
        <v>1.4355353994683553</v>
      </c>
      <c r="AH29" s="15">
        <f>ROUNDUP(AF29,0)</f>
        <v>799</v>
      </c>
    </row>
    <row r="30" spans="4:34" x14ac:dyDescent="0.35">
      <c r="O30" s="66" t="s">
        <v>43</v>
      </c>
      <c r="P30" s="67">
        <v>3.0000000000000001E-3</v>
      </c>
      <c r="Q30" s="68">
        <v>44220.7</v>
      </c>
      <c r="R30" s="133">
        <f t="shared" si="3"/>
        <v>14446106.717399999</v>
      </c>
      <c r="S30" s="133"/>
      <c r="T30" s="133"/>
      <c r="U30" s="133"/>
      <c r="V30" s="133"/>
      <c r="W30" s="15">
        <f>Q30/R8</f>
        <v>442.20699999999999</v>
      </c>
      <c r="X30" s="72" t="s">
        <v>41</v>
      </c>
      <c r="Y30" s="75">
        <v>15365.122615803817</v>
      </c>
      <c r="Z30" s="73">
        <f>(Y30/$Y$33)</f>
        <v>0.20027489407344004</v>
      </c>
      <c r="AA30" s="59">
        <f t="shared" si="4"/>
        <v>57694.47837442231</v>
      </c>
      <c r="AB30" s="59">
        <f>AA30/S6</f>
        <v>42347.747126825969</v>
      </c>
      <c r="AC30" s="74">
        <f>AB30/R41</f>
        <v>2.1266060794663222</v>
      </c>
      <c r="AD30" s="38">
        <f>ROUNDUP(AB30,0)</f>
        <v>42348</v>
      </c>
      <c r="AE30" s="15">
        <f>$AB$24*Z30</f>
        <v>38945.842796202887</v>
      </c>
      <c r="AF30" s="15">
        <f>AE30/S6</f>
        <v>28586.248612412917</v>
      </c>
      <c r="AG30" s="15">
        <f>AF30/R41</f>
        <v>1.4355353994683555</v>
      </c>
      <c r="AH30" s="15">
        <f>ROUNDUP(AF30,0)</f>
        <v>28587</v>
      </c>
    </row>
    <row r="31" spans="4:34" x14ac:dyDescent="0.35">
      <c r="O31" s="66" t="s">
        <v>154</v>
      </c>
      <c r="P31" s="67">
        <v>2.7799999999999998E-2</v>
      </c>
      <c r="Q31" s="68">
        <v>8926.9</v>
      </c>
      <c r="R31" s="133">
        <f t="shared" si="3"/>
        <v>27023986.591079995</v>
      </c>
      <c r="S31" s="133"/>
      <c r="T31" s="133"/>
      <c r="U31" s="133"/>
      <c r="V31" s="133"/>
      <c r="W31" s="15">
        <f>Q31/R10</f>
        <v>297.56333333333333</v>
      </c>
      <c r="X31" s="76" t="s">
        <v>42</v>
      </c>
      <c r="Y31" s="77">
        <v>5686.6485013623987</v>
      </c>
      <c r="Z31" s="73">
        <f>(Y31/$Y$33)</f>
        <v>7.4121954944364132E-2</v>
      </c>
      <c r="AA31" s="59">
        <f t="shared" si="4"/>
        <v>21352.788857495896</v>
      </c>
      <c r="AB31" s="59">
        <f t="shared" si="5"/>
        <v>7836.4735107009928</v>
      </c>
      <c r="AC31" s="74">
        <f>AB31/R42</f>
        <v>2.1266060794663222</v>
      </c>
      <c r="AD31" s="38">
        <f>ROUNDUP(AB31,0)</f>
        <v>7837</v>
      </c>
      <c r="AE31" s="15">
        <f>$AB$24*Z31</f>
        <v>14413.898548621282</v>
      </c>
      <c r="AF31" s="15">
        <f>AE31/S7</f>
        <v>5289.9007673440101</v>
      </c>
      <c r="AG31" s="15">
        <f>AF31/R42</f>
        <v>1.4355353994683553</v>
      </c>
      <c r="AH31" s="15">
        <f>ROUNDUP(AF31,0)</f>
        <v>5290</v>
      </c>
    </row>
    <row r="32" spans="4:34" x14ac:dyDescent="0.35">
      <c r="X32" s="43" t="s">
        <v>43</v>
      </c>
      <c r="Y32" s="75">
        <v>5013.6239782016346</v>
      </c>
      <c r="Z32" s="73">
        <f>(Y32/$Y$33)</f>
        <v>6.5349495494791562E-2</v>
      </c>
      <c r="AA32" s="59">
        <f t="shared" si="4"/>
        <v>18825.649974984401</v>
      </c>
      <c r="AB32" s="59">
        <f t="shared" si="5"/>
        <v>690.90135408192748</v>
      </c>
      <c r="AC32" s="74">
        <f>AB32/R43</f>
        <v>2.1266060794663222</v>
      </c>
      <c r="AD32" s="38">
        <f>ROUNDUP(AB32,0)</f>
        <v>691</v>
      </c>
      <c r="AE32" s="15">
        <f>$AB$24*Z32</f>
        <v>12707.989137260736</v>
      </c>
      <c r="AF32" s="15">
        <f>AE32/S8</f>
        <v>466.38320133746902</v>
      </c>
      <c r="AG32" s="15">
        <f>AF32/R43</f>
        <v>1.4355353994683553</v>
      </c>
      <c r="AH32" s="15">
        <f>ROUNDUP(AF32,0)</f>
        <v>467</v>
      </c>
    </row>
    <row r="33" spans="15:34" x14ac:dyDescent="0.35">
      <c r="R33" s="134" t="s">
        <v>155</v>
      </c>
      <c r="S33" s="135"/>
      <c r="T33" s="135"/>
      <c r="U33" s="136"/>
      <c r="X33" s="78"/>
      <c r="Y33" s="79">
        <f>SUM(Y28:Y32)</f>
        <v>76720.163487738435</v>
      </c>
      <c r="Z33" s="80">
        <f>SUM(Z28:Z32)</f>
        <v>0.99999999999999978</v>
      </c>
      <c r="AA33" s="81">
        <f>SUM(AA28:AA32)</f>
        <v>288076.43934274634</v>
      </c>
      <c r="AB33" s="24">
        <f>SUM(AB28:AB32)</f>
        <v>225091.15528149577</v>
      </c>
      <c r="AC33" s="74">
        <f>AB33/R45</f>
        <v>2.1266060794663222</v>
      </c>
    </row>
    <row r="34" spans="15:34" x14ac:dyDescent="0.35">
      <c r="R34" s="82">
        <f>SUM(R26:R31)</f>
        <v>125461172.36183999</v>
      </c>
      <c r="S34" s="83" t="s">
        <v>156</v>
      </c>
      <c r="T34" s="84">
        <f>R34/R14</f>
        <v>255.14188115420828</v>
      </c>
      <c r="U34" s="85" t="s">
        <v>157</v>
      </c>
    </row>
    <row r="35" spans="15:34" x14ac:dyDescent="0.35">
      <c r="R35" s="86">
        <f>R34*10^-6</f>
        <v>125.46117236183999</v>
      </c>
      <c r="S35" s="60" t="s">
        <v>158</v>
      </c>
      <c r="T35" s="87">
        <f>R35/R14</f>
        <v>2.5514188115420826E-4</v>
      </c>
      <c r="U35" s="88" t="s">
        <v>159</v>
      </c>
      <c r="AB35" s="70" t="s">
        <v>146</v>
      </c>
      <c r="AC35" s="43" t="s">
        <v>147</v>
      </c>
    </row>
    <row r="36" spans="15:34" x14ac:dyDescent="0.35">
      <c r="X36" s="43" t="s">
        <v>44</v>
      </c>
      <c r="AB36" s="15">
        <f>T49*AC36</f>
        <v>6481.8953302133486</v>
      </c>
      <c r="AC36" s="89">
        <v>2.1266060794663217</v>
      </c>
      <c r="AD36" s="15">
        <f>ROUNDUP(AB36,0)</f>
        <v>6482</v>
      </c>
      <c r="AF36">
        <f>T49*AG28</f>
        <v>4375.5118975795467</v>
      </c>
      <c r="AG36">
        <v>1.4355353994683553</v>
      </c>
      <c r="AH36">
        <f>ROUNDUP(AF36,0)</f>
        <v>4376</v>
      </c>
    </row>
    <row r="37" spans="15:34" x14ac:dyDescent="0.35">
      <c r="O37" s="137" t="s">
        <v>160</v>
      </c>
      <c r="P37" s="137"/>
      <c r="Q37" s="137"/>
      <c r="R37" s="137"/>
      <c r="S37" s="137"/>
      <c r="T37" s="138"/>
      <c r="U37" s="90"/>
      <c r="AA37" s="141" t="s">
        <v>161</v>
      </c>
      <c r="AB37" s="142"/>
      <c r="AC37" s="142"/>
      <c r="AD37" s="143"/>
    </row>
    <row r="38" spans="15:34" x14ac:dyDescent="0.35">
      <c r="O38" s="20" t="s">
        <v>162</v>
      </c>
      <c r="P38" s="20" t="s">
        <v>17</v>
      </c>
      <c r="Q38" s="20" t="s">
        <v>163</v>
      </c>
      <c r="R38" s="91" t="s">
        <v>164</v>
      </c>
      <c r="S38" s="20" t="s">
        <v>165</v>
      </c>
      <c r="U38" s="83"/>
      <c r="AA38" s="131">
        <f>AD28*Q26+AD29*Q27+AD30*Q28+AD31*Q29+AD32*Q30+AD36*Q31</f>
        <v>268381500.89999998</v>
      </c>
      <c r="AB38" s="131"/>
      <c r="AC38" s="131" t="s">
        <v>166</v>
      </c>
      <c r="AD38" s="131"/>
    </row>
    <row r="39" spans="15:34" x14ac:dyDescent="0.35">
      <c r="O39" s="26">
        <v>135463</v>
      </c>
      <c r="P39" s="92" t="s">
        <v>167</v>
      </c>
      <c r="Q39" s="93">
        <f>$O$39*U4</f>
        <v>88682.191424299352</v>
      </c>
      <c r="R39" s="94">
        <f>Q39/S4</f>
        <v>81365.910631794643</v>
      </c>
      <c r="S39" s="95">
        <f>R39/K4</f>
        <v>1.7656766336485969</v>
      </c>
      <c r="U39" s="83"/>
      <c r="AA39" s="131">
        <f>AA38*(10^-6)</f>
        <v>268.38150089999999</v>
      </c>
      <c r="AB39" s="131"/>
      <c r="AC39" s="131" t="s">
        <v>168</v>
      </c>
      <c r="AD39" s="131"/>
    </row>
    <row r="40" spans="15:34" x14ac:dyDescent="0.35">
      <c r="O40" s="96"/>
      <c r="P40" s="15" t="s">
        <v>40</v>
      </c>
      <c r="Q40" s="26">
        <f>$O$39*U5</f>
        <v>757.74950899088299</v>
      </c>
      <c r="R40" s="97">
        <f>Q40/S5</f>
        <v>556.1881395993081</v>
      </c>
      <c r="S40" s="95">
        <f>R40/K5</f>
        <v>1.7656766336485972</v>
      </c>
      <c r="U40" s="83"/>
    </row>
    <row r="41" spans="15:34" x14ac:dyDescent="0.35">
      <c r="O41" s="96"/>
      <c r="P41" s="15" t="s">
        <v>41</v>
      </c>
      <c r="Q41" s="26">
        <f>$O$39*U6</f>
        <v>27129.837975870407</v>
      </c>
      <c r="R41" s="97">
        <f>Q41/S6</f>
        <v>19913.301074288876</v>
      </c>
      <c r="S41" s="95">
        <f>R41/K6</f>
        <v>1.7656766336485969</v>
      </c>
      <c r="U41" s="98" t="s">
        <v>169</v>
      </c>
    </row>
    <row r="42" spans="15:34" x14ac:dyDescent="0.35">
      <c r="O42" s="96"/>
      <c r="P42" s="15" t="s">
        <v>42</v>
      </c>
      <c r="Q42" s="26">
        <f>$O$39*U7</f>
        <v>10040.782382628398</v>
      </c>
      <c r="R42" s="97">
        <f>Q42/S7</f>
        <v>3684.9671344246217</v>
      </c>
      <c r="S42" s="95">
        <f>R42/K7</f>
        <v>1.7656766336485969</v>
      </c>
      <c r="U42" s="26">
        <f>R46+T49</f>
        <v>108894</v>
      </c>
    </row>
    <row r="43" spans="15:34" x14ac:dyDescent="0.35">
      <c r="O43" s="96"/>
      <c r="P43" s="15" t="s">
        <v>43</v>
      </c>
      <c r="Q43" s="26">
        <f>$O$39*U8</f>
        <v>8852.4387082109497</v>
      </c>
      <c r="R43" s="97">
        <f>Q43/S8</f>
        <v>324.88450059134186</v>
      </c>
      <c r="S43" s="95">
        <f>R43/K8</f>
        <v>1.7656766336485972</v>
      </c>
      <c r="U43" s="83"/>
    </row>
    <row r="44" spans="15:34" x14ac:dyDescent="0.35">
      <c r="O44" s="96"/>
      <c r="R44" s="99" t="s">
        <v>114</v>
      </c>
      <c r="U44" s="83"/>
      <c r="X44" s="100">
        <v>684506</v>
      </c>
    </row>
    <row r="45" spans="15:34" x14ac:dyDescent="0.35">
      <c r="O45" s="96"/>
      <c r="Q45" s="97">
        <f>SUM(Q39:Q43)</f>
        <v>135463</v>
      </c>
      <c r="R45" s="15">
        <f>SUM(R39:R43)</f>
        <v>105845.25148069879</v>
      </c>
      <c r="U45" s="83"/>
    </row>
    <row r="46" spans="15:34" x14ac:dyDescent="0.35">
      <c r="O46" s="96"/>
      <c r="R46" s="26">
        <f>ROUNDUP(R45,0)</f>
        <v>105846</v>
      </c>
      <c r="U46" s="83"/>
    </row>
    <row r="47" spans="15:34" x14ac:dyDescent="0.35">
      <c r="O47" s="96"/>
      <c r="U47" s="83"/>
    </row>
    <row r="48" spans="15:34" x14ac:dyDescent="0.35">
      <c r="O48" s="132" t="s">
        <v>170</v>
      </c>
      <c r="P48" s="132"/>
      <c r="Q48" s="20" t="s">
        <v>17</v>
      </c>
      <c r="R48" s="20" t="s">
        <v>171</v>
      </c>
      <c r="S48" s="20" t="s">
        <v>165</v>
      </c>
      <c r="T48" s="20" t="s">
        <v>172</v>
      </c>
      <c r="U48" s="83"/>
    </row>
    <row r="49" spans="9:21" x14ac:dyDescent="0.35">
      <c r="I49" s="24" t="s">
        <v>39</v>
      </c>
      <c r="J49" s="59" t="s">
        <v>173</v>
      </c>
      <c r="K49" s="131" t="s">
        <v>174</v>
      </c>
      <c r="L49" s="131"/>
      <c r="M49" s="101" t="s">
        <v>175</v>
      </c>
      <c r="O49" s="132"/>
      <c r="P49" s="132"/>
      <c r="Q49" s="15" t="s">
        <v>44</v>
      </c>
      <c r="R49" s="35">
        <f>K10</f>
        <v>1726</v>
      </c>
      <c r="S49" s="95">
        <f>S43</f>
        <v>1.7656766336485972</v>
      </c>
      <c r="T49" s="102">
        <f>ROUNDUP(R49*S49,0)</f>
        <v>3048</v>
      </c>
      <c r="U49" s="103"/>
    </row>
    <row r="50" spans="9:21" x14ac:dyDescent="0.35">
      <c r="I50" s="24" t="s">
        <v>40</v>
      </c>
      <c r="J50" s="59" t="s">
        <v>176</v>
      </c>
      <c r="K50" s="131" t="s">
        <v>177</v>
      </c>
      <c r="L50" s="131"/>
      <c r="M50" s="59" t="s">
        <v>178</v>
      </c>
    </row>
    <row r="51" spans="9:21" x14ac:dyDescent="0.35">
      <c r="I51" s="24" t="s">
        <v>41</v>
      </c>
      <c r="J51" s="59" t="s">
        <v>179</v>
      </c>
      <c r="K51" s="131" t="s">
        <v>177</v>
      </c>
      <c r="L51" s="131"/>
      <c r="M51" s="59" t="s">
        <v>178</v>
      </c>
    </row>
    <row r="52" spans="9:21" x14ac:dyDescent="0.35">
      <c r="I52" s="24" t="s">
        <v>42</v>
      </c>
      <c r="J52" s="59" t="s">
        <v>180</v>
      </c>
      <c r="K52" s="131" t="s">
        <v>177</v>
      </c>
      <c r="L52" s="131"/>
      <c r="M52" s="59" t="s">
        <v>181</v>
      </c>
    </row>
    <row r="53" spans="9:21" x14ac:dyDescent="0.35">
      <c r="I53" s="24" t="s">
        <v>43</v>
      </c>
      <c r="J53" s="59" t="s">
        <v>182</v>
      </c>
      <c r="K53" s="131" t="s">
        <v>177</v>
      </c>
      <c r="L53" s="131"/>
      <c r="M53" s="59" t="s">
        <v>178</v>
      </c>
    </row>
    <row r="54" spans="9:21" x14ac:dyDescent="0.35">
      <c r="I54" s="24"/>
      <c r="J54" s="59"/>
      <c r="K54" s="131"/>
      <c r="L54" s="131"/>
      <c r="M54" s="59"/>
    </row>
  </sheetData>
  <mergeCells count="36">
    <mergeCell ref="AD1:AD2"/>
    <mergeCell ref="AE1:AE2"/>
    <mergeCell ref="AF1:AF2"/>
    <mergeCell ref="O19:O20"/>
    <mergeCell ref="V20:W20"/>
    <mergeCell ref="O1:X1"/>
    <mergeCell ref="Y1:AB2"/>
    <mergeCell ref="AC1:AC2"/>
    <mergeCell ref="Y4:AB4"/>
    <mergeCell ref="Y6:AB6"/>
    <mergeCell ref="Y7:AB7"/>
    <mergeCell ref="M15:N15"/>
    <mergeCell ref="O17:Q17"/>
    <mergeCell ref="AA37:AD37"/>
    <mergeCell ref="O21:O22"/>
    <mergeCell ref="R25:V25"/>
    <mergeCell ref="R26:V26"/>
    <mergeCell ref="R27:V27"/>
    <mergeCell ref="Y27:Z27"/>
    <mergeCell ref="R28:V28"/>
    <mergeCell ref="K49:L49"/>
    <mergeCell ref="R29:V29"/>
    <mergeCell ref="R30:V30"/>
    <mergeCell ref="R31:V31"/>
    <mergeCell ref="R33:U33"/>
    <mergeCell ref="O37:T37"/>
    <mergeCell ref="AA38:AB38"/>
    <mergeCell ref="AC38:AD38"/>
    <mergeCell ref="AA39:AB39"/>
    <mergeCell ref="AC39:AD39"/>
    <mergeCell ref="O48:P49"/>
    <mergeCell ref="K50:L50"/>
    <mergeCell ref="K51:L51"/>
    <mergeCell ref="K52:L52"/>
    <mergeCell ref="K53:L53"/>
    <mergeCell ref="K54:L5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D447-B554-4493-8E0B-2EB567E8B383}">
  <dimension ref="B2:O16"/>
  <sheetViews>
    <sheetView zoomScale="55" workbookViewId="0">
      <selection activeCell="W21" sqref="W21"/>
    </sheetView>
  </sheetViews>
  <sheetFormatPr defaultRowHeight="14.5" x14ac:dyDescent="0.35"/>
  <sheetData>
    <row r="2" spans="2:15" x14ac:dyDescent="0.35">
      <c r="C2" t="s">
        <v>183</v>
      </c>
      <c r="D2" t="s">
        <v>184</v>
      </c>
    </row>
    <row r="3" spans="2:15" x14ac:dyDescent="0.35">
      <c r="C3">
        <v>2900</v>
      </c>
      <c r="D3">
        <v>1</v>
      </c>
    </row>
    <row r="4" spans="2:15" x14ac:dyDescent="0.35">
      <c r="C4">
        <f>1433*1000</f>
        <v>1433000</v>
      </c>
      <c r="D4">
        <v>1000</v>
      </c>
      <c r="O4" s="114" t="s">
        <v>185</v>
      </c>
    </row>
    <row r="6" spans="2:15" x14ac:dyDescent="0.35">
      <c r="B6">
        <v>1</v>
      </c>
      <c r="C6">
        <v>2900</v>
      </c>
    </row>
    <row r="7" spans="2:15" x14ac:dyDescent="0.35">
      <c r="B7">
        <v>100</v>
      </c>
      <c r="C7">
        <f>1431.53*$B7+1468.47</f>
        <v>144621.47</v>
      </c>
    </row>
    <row r="8" spans="2:15" x14ac:dyDescent="0.35">
      <c r="B8">
        <v>250</v>
      </c>
      <c r="C8">
        <f t="shared" ref="C8:C15" si="0">1431.53*$B8+1468.47</f>
        <v>359350.97</v>
      </c>
    </row>
    <row r="9" spans="2:15" x14ac:dyDescent="0.35">
      <c r="B9">
        <v>300</v>
      </c>
      <c r="C9">
        <f t="shared" si="0"/>
        <v>430927.47</v>
      </c>
    </row>
    <row r="10" spans="2:15" x14ac:dyDescent="0.35">
      <c r="B10">
        <v>400</v>
      </c>
      <c r="C10">
        <f t="shared" si="0"/>
        <v>574080.47</v>
      </c>
    </row>
    <row r="11" spans="2:15" x14ac:dyDescent="0.35">
      <c r="B11">
        <v>500</v>
      </c>
      <c r="C11">
        <f t="shared" si="0"/>
        <v>717233.47</v>
      </c>
    </row>
    <row r="12" spans="2:15" x14ac:dyDescent="0.35">
      <c r="B12">
        <v>600</v>
      </c>
      <c r="C12">
        <f t="shared" si="0"/>
        <v>860386.47</v>
      </c>
    </row>
    <row r="13" spans="2:15" x14ac:dyDescent="0.35">
      <c r="B13">
        <v>700</v>
      </c>
      <c r="C13">
        <f t="shared" si="0"/>
        <v>1003539.47</v>
      </c>
    </row>
    <row r="14" spans="2:15" x14ac:dyDescent="0.35">
      <c r="B14">
        <v>800</v>
      </c>
      <c r="C14">
        <f t="shared" si="0"/>
        <v>1146692.47</v>
      </c>
    </row>
    <row r="15" spans="2:15" x14ac:dyDescent="0.35">
      <c r="B15">
        <v>900</v>
      </c>
      <c r="C15">
        <f t="shared" si="0"/>
        <v>1289845.47</v>
      </c>
    </row>
    <row r="16" spans="2:15" x14ac:dyDescent="0.35">
      <c r="B16">
        <v>1000</v>
      </c>
      <c r="C16">
        <v>1433000</v>
      </c>
    </row>
  </sheetData>
  <hyperlinks>
    <hyperlink ref="O4" r:id="rId1" xr:uid="{4E89A1F9-C863-4FB9-8403-48CDA3BE1EE7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4714-CF79-4851-B05E-240759EAC5C9}">
  <dimension ref="C1:Q18"/>
  <sheetViews>
    <sheetView tabSelected="1" topLeftCell="B1" zoomScale="78" workbookViewId="0">
      <selection activeCell="C25" sqref="C25"/>
    </sheetView>
  </sheetViews>
  <sheetFormatPr defaultRowHeight="14.5" x14ac:dyDescent="0.35"/>
  <cols>
    <col min="3" max="3" width="13.81640625" customWidth="1"/>
    <col min="4" max="4" width="13.453125" customWidth="1"/>
    <col min="5" max="5" width="13" customWidth="1"/>
    <col min="9" max="9" width="10.26953125" customWidth="1"/>
    <col min="10" max="10" width="9.54296875" customWidth="1"/>
    <col min="13" max="13" width="16.26953125" customWidth="1"/>
    <col min="16" max="16" width="18.81640625" customWidth="1"/>
  </cols>
  <sheetData>
    <row r="1" spans="3:17" ht="15" thickBot="1" x14ac:dyDescent="0.4"/>
    <row r="2" spans="3:17" x14ac:dyDescent="0.35">
      <c r="C2" s="4" t="s">
        <v>186</v>
      </c>
      <c r="D2" s="117" t="s">
        <v>187</v>
      </c>
      <c r="E2" s="117" t="s">
        <v>188</v>
      </c>
      <c r="F2" s="117" t="s">
        <v>189</v>
      </c>
      <c r="G2" s="117" t="s">
        <v>190</v>
      </c>
      <c r="H2" s="117" t="s">
        <v>191</v>
      </c>
      <c r="I2" s="117" t="s">
        <v>192</v>
      </c>
      <c r="J2" s="118" t="s">
        <v>193</v>
      </c>
    </row>
    <row r="3" spans="3:17" x14ac:dyDescent="0.35">
      <c r="C3" s="119" t="s">
        <v>194</v>
      </c>
      <c r="D3">
        <v>80</v>
      </c>
      <c r="E3">
        <v>42</v>
      </c>
      <c r="F3">
        <v>80</v>
      </c>
      <c r="G3">
        <v>30</v>
      </c>
      <c r="H3">
        <v>70</v>
      </c>
      <c r="I3">
        <v>48</v>
      </c>
      <c r="J3" s="120">
        <v>32</v>
      </c>
      <c r="M3" t="s">
        <v>195</v>
      </c>
      <c r="N3">
        <f>D4+E4+F4+G4+H4+I4+J4+D13+D14</f>
        <v>324</v>
      </c>
    </row>
    <row r="4" spans="3:17" x14ac:dyDescent="0.35">
      <c r="C4" s="119" t="s">
        <v>196</v>
      </c>
      <c r="D4">
        <v>47</v>
      </c>
      <c r="E4">
        <v>20</v>
      </c>
      <c r="F4">
        <v>18</v>
      </c>
      <c r="G4">
        <v>12</v>
      </c>
      <c r="H4">
        <v>11</v>
      </c>
      <c r="I4">
        <v>7</v>
      </c>
      <c r="J4" s="120">
        <v>7</v>
      </c>
    </row>
    <row r="5" spans="3:17" x14ac:dyDescent="0.35">
      <c r="C5" s="119"/>
      <c r="J5" s="120"/>
      <c r="M5" t="s">
        <v>197</v>
      </c>
      <c r="N5">
        <f>D6+D13</f>
        <v>135</v>
      </c>
    </row>
    <row r="6" spans="3:17" x14ac:dyDescent="0.35">
      <c r="C6" s="119" t="s">
        <v>198</v>
      </c>
      <c r="D6">
        <f>D4+F4+H4</f>
        <v>76</v>
      </c>
      <c r="J6" s="120"/>
      <c r="M6" t="s">
        <v>199</v>
      </c>
      <c r="N6">
        <f>D7+D14</f>
        <v>189</v>
      </c>
    </row>
    <row r="7" spans="3:17" x14ac:dyDescent="0.35">
      <c r="C7" s="119" t="s">
        <v>200</v>
      </c>
      <c r="D7">
        <f>E4+G4+I4+J4</f>
        <v>46</v>
      </c>
      <c r="J7" s="120"/>
    </row>
    <row r="8" spans="3:17" x14ac:dyDescent="0.35">
      <c r="C8" s="119" t="s">
        <v>201</v>
      </c>
      <c r="D8" s="13">
        <f>(D6)/(D6+D7)</f>
        <v>0.62295081967213117</v>
      </c>
      <c r="J8" s="120"/>
      <c r="M8" t="s">
        <v>202</v>
      </c>
      <c r="N8" s="13">
        <f>N5/(N5+N6)</f>
        <v>0.41666666666666669</v>
      </c>
      <c r="P8" t="s">
        <v>203</v>
      </c>
      <c r="Q8">
        <f>247-110</f>
        <v>137</v>
      </c>
    </row>
    <row r="9" spans="3:17" ht="15" thickBot="1" x14ac:dyDescent="0.4">
      <c r="C9" s="121" t="s">
        <v>204</v>
      </c>
      <c r="D9" s="122">
        <f>1-D8</f>
        <v>0.37704918032786883</v>
      </c>
      <c r="E9" s="123"/>
      <c r="F9" s="123"/>
      <c r="G9" s="123"/>
      <c r="H9" s="123"/>
      <c r="I9" s="123"/>
      <c r="J9" s="127">
        <v>2025</v>
      </c>
      <c r="M9" t="s">
        <v>205</v>
      </c>
      <c r="N9" s="13">
        <f>1-N8</f>
        <v>0.58333333333333326</v>
      </c>
      <c r="P9" t="s">
        <v>206</v>
      </c>
      <c r="Q9">
        <f>ROUNDUP(Q8*N16,0)</f>
        <v>86</v>
      </c>
    </row>
    <row r="10" spans="3:17" x14ac:dyDescent="0.35">
      <c r="P10" t="s">
        <v>207</v>
      </c>
      <c r="Q10">
        <f>Q8-Q9</f>
        <v>51</v>
      </c>
    </row>
    <row r="11" spans="3:17" ht="15" thickBot="1" x14ac:dyDescent="0.4"/>
    <row r="12" spans="3:17" x14ac:dyDescent="0.35">
      <c r="C12" s="4" t="s">
        <v>208</v>
      </c>
      <c r="D12" s="126">
        <v>2022</v>
      </c>
      <c r="M12" s="116" t="s">
        <v>209</v>
      </c>
      <c r="N12" s="118">
        <v>500</v>
      </c>
      <c r="P12" t="s">
        <v>203</v>
      </c>
      <c r="Q12">
        <f>247-136</f>
        <v>111</v>
      </c>
    </row>
    <row r="13" spans="3:17" x14ac:dyDescent="0.35">
      <c r="C13" s="119" t="s">
        <v>210</v>
      </c>
      <c r="D13" s="120">
        <v>59</v>
      </c>
      <c r="M13" s="119" t="s">
        <v>211</v>
      </c>
      <c r="N13" s="120">
        <f>N12-N5-N6</f>
        <v>176</v>
      </c>
      <c r="P13" t="s">
        <v>206</v>
      </c>
      <c r="Q13">
        <f>Q12-Q14</f>
        <v>60</v>
      </c>
    </row>
    <row r="14" spans="3:17" x14ac:dyDescent="0.35">
      <c r="C14" s="119" t="s">
        <v>212</v>
      </c>
      <c r="D14" s="120">
        <v>143</v>
      </c>
      <c r="M14" s="119" t="s">
        <v>213</v>
      </c>
      <c r="N14" s="120">
        <f>N13+N5</f>
        <v>311</v>
      </c>
      <c r="P14" t="s">
        <v>207</v>
      </c>
      <c r="Q14">
        <f>Q10</f>
        <v>51</v>
      </c>
    </row>
    <row r="15" spans="3:17" x14ac:dyDescent="0.35">
      <c r="C15" s="119" t="s">
        <v>201</v>
      </c>
      <c r="D15" s="124">
        <f>D13/(D13+D14)</f>
        <v>0.29207920792079206</v>
      </c>
      <c r="J15" t="s">
        <v>214</v>
      </c>
      <c r="M15" s="119" t="s">
        <v>215</v>
      </c>
      <c r="N15" s="120">
        <f>N6</f>
        <v>189</v>
      </c>
    </row>
    <row r="16" spans="3:17" ht="15" thickBot="1" x14ac:dyDescent="0.4">
      <c r="C16" s="121" t="s">
        <v>204</v>
      </c>
      <c r="D16" s="125">
        <f xml:space="preserve"> 1- D15</f>
        <v>0.70792079207920788</v>
      </c>
      <c r="M16" s="119" t="s">
        <v>202</v>
      </c>
      <c r="N16" s="128">
        <f>N14/N12</f>
        <v>0.622</v>
      </c>
      <c r="P16" t="s">
        <v>203</v>
      </c>
      <c r="Q16">
        <f>247-185</f>
        <v>62</v>
      </c>
    </row>
    <row r="17" spans="13:17" ht="15" thickBot="1" x14ac:dyDescent="0.4">
      <c r="M17" s="121" t="s">
        <v>205</v>
      </c>
      <c r="N17" s="129">
        <f>1-N16</f>
        <v>0.378</v>
      </c>
      <c r="P17" t="s">
        <v>206</v>
      </c>
      <c r="Q17">
        <f>Q16-Q18</f>
        <v>11</v>
      </c>
    </row>
    <row r="18" spans="13:17" x14ac:dyDescent="0.35">
      <c r="P18" t="s">
        <v>207</v>
      </c>
      <c r="Q18">
        <f>Q10</f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</vt:lpstr>
      <vt:lpstr>BAULOAD</vt:lpstr>
      <vt:lpstr>BIOGAS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Andrea Mario Gaetani</cp:lastModifiedBy>
  <cp:revision/>
  <dcterms:created xsi:type="dcterms:W3CDTF">2025-04-18T16:26:06Z</dcterms:created>
  <dcterms:modified xsi:type="dcterms:W3CDTF">2025-05-28T08:48:04Z</dcterms:modified>
  <cp:category/>
  <cp:contentStatus/>
</cp:coreProperties>
</file>