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aleft_ug_kth_se/Documents/Phase 2/"/>
    </mc:Choice>
  </mc:AlternateContent>
  <xr:revisionPtr revIDLastSave="1492" documentId="8_{7ABE81BA-44CE-F346-B1AC-ACA1A9479689}" xr6:coauthVersionLast="47" xr6:coauthVersionMax="47" xr10:uidLastSave="{F7E2A60E-70CE-5E42-AF16-4102916D80B2}"/>
  <bookViews>
    <workbookView xWindow="0" yWindow="500" windowWidth="33600" windowHeight="20500" activeTab="1" xr2:uid="{3B2C4AD9-2E3E-9647-BA8E-214F070882A9}"/>
  </bookViews>
  <sheets>
    <sheet name="Biogas" sheetId="1" r:id="rId1"/>
    <sheet name="EVs" sheetId="2" r:id="rId2"/>
    <sheet name="Diesel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G22" i="3"/>
  <c r="G17" i="3"/>
  <c r="G12" i="3"/>
  <c r="D89" i="1"/>
  <c r="L30" i="2"/>
  <c r="L12" i="2"/>
  <c r="G35" i="2"/>
  <c r="B21" i="3"/>
  <c r="G16" i="3" s="1"/>
  <c r="E89" i="1"/>
  <c r="F89" i="1"/>
  <c r="B16" i="3"/>
  <c r="L94" i="1" l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93" i="1"/>
  <c r="K31" i="2"/>
  <c r="K30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11" i="2"/>
  <c r="I9" i="2"/>
  <c r="I8" i="2"/>
  <c r="I7" i="2"/>
  <c r="I6" i="2"/>
  <c r="C109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94" i="1"/>
  <c r="J105" i="1"/>
  <c r="J106" i="1"/>
  <c r="J107" i="1"/>
  <c r="J108" i="1"/>
  <c r="J109" i="1"/>
  <c r="J110" i="1"/>
  <c r="J111" i="1"/>
  <c r="J112" i="1"/>
  <c r="J104" i="1"/>
  <c r="J95" i="1"/>
  <c r="J96" i="1"/>
  <c r="J97" i="1"/>
  <c r="J98" i="1"/>
  <c r="J99" i="1"/>
  <c r="J100" i="1"/>
  <c r="J101" i="1"/>
  <c r="J102" i="1"/>
  <c r="D78" i="1"/>
  <c r="J9" i="3"/>
  <c r="H20" i="3"/>
  <c r="H21" i="3"/>
  <c r="H19" i="3"/>
  <c r="H15" i="3"/>
  <c r="H16" i="3"/>
  <c r="H14" i="3"/>
  <c r="H10" i="3"/>
  <c r="H11" i="3"/>
  <c r="H9" i="3"/>
  <c r="G21" i="3"/>
  <c r="G11" i="3"/>
  <c r="B11" i="3"/>
  <c r="C7" i="3"/>
  <c r="B7" i="3"/>
  <c r="H35" i="2"/>
  <c r="C42" i="1"/>
  <c r="D54" i="1"/>
  <c r="D55" i="1" s="1"/>
  <c r="D56" i="1" s="1"/>
  <c r="D57" i="1" s="1"/>
  <c r="O4" i="2"/>
  <c r="L31" i="2" s="1"/>
  <c r="B3" i="2"/>
  <c r="H6" i="2" s="1"/>
  <c r="H8" i="2" s="1"/>
  <c r="H9" i="2" s="1"/>
  <c r="H10" i="2" s="1"/>
  <c r="I10" i="2" s="1"/>
  <c r="B42" i="1"/>
  <c r="F4" i="1"/>
  <c r="E4" i="1"/>
  <c r="C3" i="1"/>
  <c r="F5" i="1"/>
  <c r="F6" i="1"/>
  <c r="F7" i="1"/>
  <c r="F8" i="1"/>
  <c r="F9" i="1"/>
  <c r="I6" i="1" s="1"/>
  <c r="F10" i="1"/>
  <c r="F11" i="1"/>
  <c r="B3" i="1"/>
  <c r="G3" i="1" s="1"/>
  <c r="F5" i="3" l="1"/>
  <c r="G20" i="3" s="1"/>
  <c r="L28" i="2"/>
  <c r="L20" i="2"/>
  <c r="L19" i="2"/>
  <c r="L24" i="2"/>
  <c r="L16" i="2"/>
  <c r="L27" i="2"/>
  <c r="L26" i="2"/>
  <c r="L18" i="2"/>
  <c r="L25" i="2"/>
  <c r="L17" i="2"/>
  <c r="L23" i="2"/>
  <c r="L15" i="2"/>
  <c r="L22" i="2"/>
  <c r="L14" i="2"/>
  <c r="L29" i="2"/>
  <c r="L21" i="2"/>
  <c r="H37" i="2" s="1"/>
  <c r="L13" i="2"/>
  <c r="D58" i="1"/>
  <c r="H11" i="2"/>
  <c r="G5" i="3"/>
  <c r="G4" i="1"/>
  <c r="J6" i="1"/>
  <c r="C41" i="1"/>
  <c r="C43" i="1" s="1"/>
  <c r="B41" i="1"/>
  <c r="H36" i="2"/>
  <c r="G19" i="3" l="1"/>
  <c r="G9" i="3"/>
  <c r="J5" i="3"/>
  <c r="G10" i="3"/>
  <c r="I10" i="3" s="1"/>
  <c r="J6" i="3"/>
  <c r="H12" i="2"/>
  <c r="J11" i="2"/>
  <c r="J12" i="2" s="1"/>
  <c r="C90" i="1"/>
  <c r="D90" i="1" s="1"/>
  <c r="E90" i="1" s="1"/>
  <c r="F90" i="1" s="1"/>
  <c r="C91" i="1"/>
  <c r="C92" i="1"/>
  <c r="C93" i="1"/>
  <c r="C89" i="1"/>
  <c r="D59" i="1"/>
  <c r="D60" i="1" s="1"/>
  <c r="D61" i="1" s="1"/>
  <c r="D62" i="1" s="1"/>
  <c r="D63" i="1" s="1"/>
  <c r="D64" i="1" s="1"/>
  <c r="D65" i="1" s="1"/>
  <c r="D66" i="1" s="1"/>
  <c r="D67" i="1" s="1"/>
  <c r="D68" i="1" s="1"/>
  <c r="H13" i="2"/>
  <c r="H14" i="2" s="1"/>
  <c r="H15" i="2" s="1"/>
  <c r="H16" i="2" s="1"/>
  <c r="H17" i="2" s="1"/>
  <c r="H18" i="2" s="1"/>
  <c r="H19" i="2" s="1"/>
  <c r="H20" i="2" s="1"/>
  <c r="H21" i="2" s="1"/>
  <c r="G14" i="3"/>
  <c r="G15" i="3"/>
  <c r="D91" i="1"/>
  <c r="E91" i="1" s="1"/>
  <c r="F91" i="1" s="1"/>
  <c r="D92" i="1"/>
  <c r="E92" i="1" s="1"/>
  <c r="F92" i="1" s="1"/>
  <c r="D93" i="1"/>
  <c r="E93" i="1" s="1"/>
  <c r="F93" i="1" s="1"/>
  <c r="B43" i="1"/>
  <c r="D43" i="1" s="1"/>
  <c r="I16" i="3" l="1"/>
  <c r="I20" i="3"/>
  <c r="I11" i="2"/>
  <c r="I12" i="2"/>
  <c r="G36" i="2"/>
  <c r="D69" i="1"/>
  <c r="D70" i="1" s="1"/>
  <c r="D71" i="1" s="1"/>
  <c r="D72" i="1" s="1"/>
  <c r="D73" i="1" s="1"/>
  <c r="D74" i="1" s="1"/>
  <c r="D75" i="1" s="1"/>
  <c r="D76" i="1" s="1"/>
  <c r="D77" i="1" s="1"/>
  <c r="C97" i="1"/>
  <c r="D97" i="1" s="1"/>
  <c r="E97" i="1" s="1"/>
  <c r="F97" i="1" s="1"/>
  <c r="C98" i="1"/>
  <c r="D98" i="1" s="1"/>
  <c r="E98" i="1" s="1"/>
  <c r="F98" i="1" s="1"/>
  <c r="C94" i="1"/>
  <c r="D94" i="1" s="1"/>
  <c r="E94" i="1" s="1"/>
  <c r="F94" i="1" s="1"/>
  <c r="C96" i="1"/>
  <c r="D96" i="1" s="1"/>
  <c r="E96" i="1" s="1"/>
  <c r="F96" i="1" s="1"/>
  <c r="C95" i="1"/>
  <c r="D95" i="1" s="1"/>
  <c r="E95" i="1" s="1"/>
  <c r="F95" i="1" s="1"/>
  <c r="H22" i="2"/>
  <c r="J13" i="2" l="1"/>
  <c r="I13" i="2" s="1"/>
  <c r="J14" i="2"/>
  <c r="I14" i="2" s="1"/>
  <c r="H23" i="2"/>
  <c r="H24" i="2" s="1"/>
  <c r="H25" i="2" s="1"/>
  <c r="H26" i="2" s="1"/>
  <c r="H27" i="2" s="1"/>
  <c r="H28" i="2" s="1"/>
  <c r="H29" i="2" s="1"/>
  <c r="H30" i="2" s="1"/>
  <c r="H31" i="2" s="1"/>
  <c r="J15" i="2" l="1"/>
  <c r="I15" i="2" s="1"/>
  <c r="J16" i="2" l="1"/>
  <c r="I16" i="2" s="1"/>
  <c r="J17" i="2" l="1"/>
  <c r="I17" i="2" s="1"/>
  <c r="J18" i="2" l="1"/>
  <c r="I18" i="2" s="1"/>
  <c r="J19" i="2" l="1"/>
  <c r="I19" i="2" s="1"/>
  <c r="J20" i="2" l="1"/>
  <c r="I20" i="2" s="1"/>
  <c r="J21" i="2" l="1"/>
  <c r="I21" i="2" s="1"/>
  <c r="N21" i="2" l="1"/>
  <c r="G37" i="2"/>
  <c r="J22" i="2"/>
  <c r="I22" i="2" s="1"/>
  <c r="J23" i="2" l="1"/>
  <c r="I23" i="2" s="1"/>
  <c r="J24" i="2" l="1"/>
  <c r="I24" i="2" s="1"/>
  <c r="J25" i="2" l="1"/>
  <c r="I25" i="2" s="1"/>
  <c r="J26" i="2" l="1"/>
  <c r="I26" i="2" s="1"/>
  <c r="J27" i="2" l="1"/>
  <c r="I27" i="2" s="1"/>
  <c r="J28" i="2" l="1"/>
  <c r="I28" i="2" s="1"/>
  <c r="J29" i="2" l="1"/>
  <c r="I29" i="2" s="1"/>
  <c r="J30" i="2" l="1"/>
  <c r="I30" i="2" s="1"/>
  <c r="J31" i="2" l="1"/>
  <c r="I31" i="2" s="1"/>
  <c r="J9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Alexandra Machado</author>
    <author>tc={B9D9B727-C64F-0145-9852-EDC7ED52289D}</author>
    <author>tc={174C1404-1B50-4A23-B950-653B125DC0D8}</author>
  </authors>
  <commentList>
    <comment ref="A2" authorId="0" shapeId="0" xr:uid="{D02C0D50-7DB0-B04D-B42C-386C2344E515}">
      <text>
        <r>
          <rPr>
            <b/>
            <sz val="10"/>
            <color rgb="FF000000"/>
            <rFont val="Tahoma"/>
            <family val="2"/>
          </rPr>
          <t>Alexandra Machado: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u/>
            <sz val="10"/>
            <color rgb="FF000000"/>
            <rFont val="Aptos Narrow"/>
          </rPr>
          <t>https://www.rra.gov.rw/fileadmin/user_upload/Tax_Statistics_2022-2023.pdf</t>
        </r>
        <r>
          <rPr>
            <sz val="10"/>
            <color rgb="FF000000"/>
            <rFont val="Aptos Narrow"/>
          </rPr>
          <t xml:space="preserve"> </t>
        </r>
      </text>
    </comment>
    <comment ref="D2" authorId="0" shapeId="0" xr:uid="{7BD7D8ED-8BA9-6846-BE0B-4EDC8901493A}">
      <text>
        <r>
          <rPr>
            <b/>
            <sz val="10"/>
            <color rgb="FF000000"/>
            <rFont val="Tahoma"/>
            <family val="2"/>
          </rPr>
          <t>Alexandra Machado: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</rPr>
          <t xml:space="preserve"> </t>
        </r>
        <r>
          <rPr>
            <u/>
            <sz val="10"/>
            <color rgb="FF000000"/>
            <rFont val="Aptos Narrow"/>
          </rPr>
          <t>https://www.subnational.finance/projet/rwanda-e-mobility/?utm_source=chatgpt.com</t>
        </r>
        <r>
          <rPr>
            <sz val="10"/>
            <color rgb="FF000000"/>
            <rFont val="Aptos Narrow"/>
          </rPr>
          <t xml:space="preserve"> </t>
        </r>
      </text>
    </comment>
    <comment ref="E2" authorId="0" shapeId="0" xr:uid="{83D7CCED-5ADE-0B44-9436-38D6034B213D}">
      <text>
        <r>
          <rPr>
            <b/>
            <sz val="10"/>
            <color rgb="FF000000"/>
            <rFont val="Tahoma"/>
            <family val="2"/>
          </rPr>
          <t>Alexandra Machado: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u/>
            <sz val="10"/>
            <color rgb="FF000000"/>
            <rFont val="Aptos Narrow"/>
            <scheme val="minor"/>
          </rPr>
          <t>https://www.oecd.org/content/dam/oecd/en/topics/policy-sub-issues/carbon-pricing-and-energy-taxes/carbon-pricing-rwanda.pdf?utm_source=chatgpt.com</t>
        </r>
        <r>
          <rPr>
            <b/>
            <sz val="10"/>
            <color rgb="FF000000"/>
            <rFont val="Aptos Narrow"/>
            <scheme val="minor"/>
          </rPr>
          <t xml:space="preserve"> </t>
        </r>
      </text>
    </comment>
    <comment ref="F2" authorId="0" shapeId="0" xr:uid="{E54FB93A-06A8-EC4E-9CA6-59F28A692105}">
      <text>
        <r>
          <rPr>
            <b/>
            <sz val="10"/>
            <color rgb="FF000000"/>
            <rFont val="Tahoma"/>
            <family val="2"/>
          </rPr>
          <t>Alexandra Machado: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 found the population number from here: </t>
        </r>
        <r>
          <rPr>
            <u/>
            <sz val="10"/>
            <color rgb="FF000000"/>
            <rFont val="Aptos Narrow"/>
          </rPr>
          <t>https://www.lmis.rw/media/lfsresource/2020_Establishment_Census_Final_Report_XWNf8y7.pdf</t>
        </r>
        <r>
          <rPr>
            <sz val="10"/>
            <color rgb="FF000000"/>
            <rFont val="Aptos Narrow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 and then guesstimated this value</t>
        </r>
      </text>
    </comment>
    <comment ref="G3" authorId="1" shapeId="0" xr:uid="{B9D9B727-C64F-0145-9852-EDC7ED5228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Guesstimation
</t>
      </text>
    </comment>
    <comment ref="C41" authorId="2" shapeId="0" xr:uid="{174C1404-1B50-4A23-B950-653B125DC0D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Kigali
Reply:
    We could do 28*0,28 to get the pop.share in the calculations</t>
      </text>
    </comment>
  </commentList>
</comments>
</file>

<file path=xl/sharedStrings.xml><?xml version="1.0" encoding="utf-8"?>
<sst xmlns="http://schemas.openxmlformats.org/spreadsheetml/2006/main" count="170" uniqueCount="131">
  <si>
    <t>Vehicle Type</t>
  </si>
  <si>
    <t>Number of Registered Vehicles in Rwanda</t>
  </si>
  <si>
    <t>Percentage of Total (%)</t>
  </si>
  <si>
    <t>Share of emissions (%)</t>
  </si>
  <si>
    <t>CO2eq emissions (ton per year)</t>
  </si>
  <si>
    <t>Number of Registered Vehicles in Kicukiro</t>
  </si>
  <si>
    <t>CO2eq emissions Kicukiro (ton per year)</t>
  </si>
  <si>
    <t>Population Kicukiro 2022</t>
  </si>
  <si>
    <t>Population Kicukiro 2030</t>
  </si>
  <si>
    <t>Population Kicukiro 2040</t>
  </si>
  <si>
    <t>Total</t>
  </si>
  <si>
    <t>Motorcycles</t>
  </si>
  <si>
    <t>Cars</t>
  </si>
  <si>
    <t>Buses per Capita</t>
  </si>
  <si>
    <t>Bus projection 2030</t>
  </si>
  <si>
    <t>Jeeps</t>
  </si>
  <si>
    <t>Pick-ups</t>
  </si>
  <si>
    <t>Trucks</t>
  </si>
  <si>
    <t>Buses</t>
  </si>
  <si>
    <t>Trailers</t>
  </si>
  <si>
    <t>Other</t>
  </si>
  <si>
    <t>From chat --&gt; motivation found in the other document</t>
  </si>
  <si>
    <t>Fuel-driven Vehicle Energy Demand</t>
  </si>
  <si>
    <t>Number of Vehicles</t>
  </si>
  <si>
    <t>Annual Energy Demand per Vehicle (kWh)</t>
  </si>
  <si>
    <t>Total Annual Energy Demand (GWh)</t>
  </si>
  <si>
    <t>Calculations:</t>
  </si>
  <si>
    <t>Motorcycle Taxi (ICE)</t>
  </si>
  <si>
    <t>1. Estimate how many vehicles are in Kicukiro</t>
  </si>
  <si>
    <t>Taxi Car (ICE)</t>
  </si>
  <si>
    <t>2. Estimate how far each vehicle drives per year</t>
  </si>
  <si>
    <t>Public Bus (ICE)</t>
  </si>
  <si>
    <t>3. Calculate annual fuel use per vehicle</t>
  </si>
  <si>
    <t>Distance ÷ fuel economy</t>
  </si>
  <si>
    <t>4. Convert fuel to energy (kWh)</t>
  </si>
  <si>
    <t>Electric Vehicle Energy Demand</t>
  </si>
  <si>
    <t>Number of Vehicles (hypothetical full transition)</t>
  </si>
  <si>
    <t>Electric Motorcycle</t>
  </si>
  <si>
    <t>1. Assume same number of vehicles as ICE (for full transition)</t>
  </si>
  <si>
    <t>Electric Bus</t>
  </si>
  <si>
    <t>2. Get energy use per km</t>
  </si>
  <si>
    <t>3. Annual energy per vehicle = km/year × kWh/km</t>
  </si>
  <si>
    <t>TO DO:</t>
  </si>
  <si>
    <t>* future prospects</t>
  </si>
  <si>
    <t>* Amount of vehicles</t>
  </si>
  <si>
    <t>* Electricity demand per vehicle (year basis)</t>
  </si>
  <si>
    <t>Sources:</t>
  </si>
  <si>
    <t xml:space="preserve">https://www.ampersand.solar/mediacentre/press-release%3A-ampersand-achieves-major-milestone-with-1%2C000-electric-motorcycles--on-east-african-roads </t>
  </si>
  <si>
    <t>https://www.ampersand.solar/</t>
  </si>
  <si>
    <t>&lt;-- 190 km/day</t>
  </si>
  <si>
    <t>https://www.iea.org/reports/global-ev-outlook-2024/trends-in-electric-vehicle-charging</t>
  </si>
  <si>
    <t>&lt;-- for 3 kWh</t>
  </si>
  <si>
    <t>Boundary (EV:s):</t>
  </si>
  <si>
    <t>Motorcycles and buses, most used in Kicukiro</t>
  </si>
  <si>
    <t>https://www.basi-go.com/r10-rumuri</t>
  </si>
  <si>
    <t>&lt;-- pretty much everything for the calculations</t>
  </si>
  <si>
    <t>https://www.basi-go.com/in-the-news/basigo-announces-28-new-electric-buses-en-route-rwanda-on-a-path-to-100-deliveries-in-2025</t>
  </si>
  <si>
    <t>&lt;-- for the amount</t>
  </si>
  <si>
    <t>EV:s - current situation</t>
  </si>
  <si>
    <t>Amount of vehicles</t>
  </si>
  <si>
    <t>maybe</t>
  </si>
  <si>
    <t>https://www.seforall.org/system/files/2024-05/remi-casestudy-basigo-005.pdf</t>
  </si>
  <si>
    <t>Yearly demand for 1 vechicle [kWh/year]</t>
  </si>
  <si>
    <t>Yearly demand total [MWh/year]</t>
  </si>
  <si>
    <t xml:space="preserve">Year </t>
  </si>
  <si>
    <t xml:space="preserve">% Increase </t>
  </si>
  <si>
    <t xml:space="preserve">Total </t>
  </si>
  <si>
    <t>Number of total buses</t>
  </si>
  <si>
    <t>Biogas use in buses</t>
  </si>
  <si>
    <t>years</t>
  </si>
  <si>
    <t>Total number of buses</t>
  </si>
  <si>
    <t>Total biogas buses</t>
  </si>
  <si>
    <t>Buses added per year</t>
  </si>
  <si>
    <t xml:space="preserve">Total number of diesel buses </t>
  </si>
  <si>
    <t>Share of buses that are fueled by biogas</t>
  </si>
  <si>
    <t>Amount of buses that use biogas</t>
  </si>
  <si>
    <t>Biogas needed (kg/day)</t>
  </si>
  <si>
    <t>Biogas needed (Nm3/day)</t>
  </si>
  <si>
    <t>Biogas needed (Nm3/year)</t>
  </si>
  <si>
    <t>Projections for 2030</t>
  </si>
  <si>
    <t>Projections for 2040</t>
  </si>
  <si>
    <t>Distance (km/day)</t>
  </si>
  <si>
    <t>see the report for vechicles in Rwanda</t>
  </si>
  <si>
    <t>Diesel (US$)</t>
  </si>
  <si>
    <t>Biogas</t>
  </si>
  <si>
    <t>unit bus cost</t>
  </si>
  <si>
    <t xml:space="preserve">Sources: </t>
  </si>
  <si>
    <t>https://sustmob.org/PCFV/pdf/CostBenefitAnalyses_NaMATA.pdf?</t>
  </si>
  <si>
    <t>https://biofuelregion.se/wp-content/uploads/Biogas-buses-PM-Goldmann-121220.pdf</t>
  </si>
  <si>
    <t>kenya source</t>
  </si>
  <si>
    <t>biogas buses are around 300 000SEK more than a diesel bus so around 30977,85 US$</t>
  </si>
  <si>
    <t>Number of buses 2025 Kigali</t>
  </si>
  <si>
    <t>Number of buses 2025 Kicukiro</t>
  </si>
  <si>
    <t>Population</t>
  </si>
  <si>
    <t>Buses Growth expectancy Business as usual</t>
  </si>
  <si>
    <t>Buses Growth expectancy Scenario 3</t>
  </si>
  <si>
    <t>Number of total diesel-buses</t>
  </si>
  <si>
    <t>Number of total EV-buses</t>
  </si>
  <si>
    <t>Number of total diesel buses</t>
  </si>
  <si>
    <t>m=</t>
  </si>
  <si>
    <t>Business as usual</t>
  </si>
  <si>
    <t>Scenario 3</t>
  </si>
  <si>
    <t>Load for 1 E-bus (KWh/year)</t>
  </si>
  <si>
    <t>Total Load (KWh/year). 2030</t>
  </si>
  <si>
    <t>Total Load (KWh/year). 2040</t>
  </si>
  <si>
    <t>Medium buses (7m)</t>
  </si>
  <si>
    <t>Large buses (12m)</t>
  </si>
  <si>
    <t>EV buses</t>
  </si>
  <si>
    <t>Toyota Coaster</t>
  </si>
  <si>
    <t>Benz Citaro</t>
  </si>
  <si>
    <t>Energy consumed per year (kWh/year)</t>
  </si>
  <si>
    <t>Consumption (L/100km)</t>
  </si>
  <si>
    <t>Consumption (L/km)</t>
  </si>
  <si>
    <t>Scenario 1</t>
  </si>
  <si>
    <t>Yearly consumption</t>
  </si>
  <si>
    <t>share %</t>
  </si>
  <si>
    <t># Large buses diesel:</t>
  </si>
  <si>
    <t>Distance per day (km)</t>
  </si>
  <si>
    <t>#Medium buses diesel:</t>
  </si>
  <si>
    <t>Distance per year (km)</t>
  </si>
  <si>
    <t>#Electric buses:</t>
  </si>
  <si>
    <t>Diesel Properties</t>
  </si>
  <si>
    <t>Scenario 2</t>
  </si>
  <si>
    <t>Density (kg/l)</t>
  </si>
  <si>
    <t>LHV (kWh/kg)</t>
  </si>
  <si>
    <t>Energy of diesel (kWh/L)</t>
  </si>
  <si>
    <t>#Biogas buses:</t>
  </si>
  <si>
    <t>Biogas Properties</t>
  </si>
  <si>
    <t>LHV (kWh/m^3)</t>
  </si>
  <si>
    <t>Energy of biogas(kWh/year)</t>
  </si>
  <si>
    <t>C (Consumption for a 12m bus in kg/km CNG)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</si>
</sst>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rgb="FF000000"/>
      <name val="Aptos Narrow"/>
      <scheme val="minor"/>
    </font>
    <font>
      <b/>
      <sz val="10"/>
      <color rgb="FF000000"/>
      <name val="Aptos Narrow"/>
      <scheme val="minor"/>
    </font>
    <font>
      <sz val="12"/>
      <color rgb="FFFF000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9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0"/>
      <color rgb="FF000000"/>
      <name val="Aptos Narrow"/>
    </font>
    <font>
      <sz val="10"/>
      <color rgb="FF000000"/>
      <name val="Aptos Narrow"/>
    </font>
    <font>
      <sz val="8"/>
      <name val="Aptos Narrow"/>
      <family val="2"/>
      <scheme val="minor"/>
    </font>
    <font>
      <sz val="11"/>
      <color rgb="FF000000"/>
      <name val="Arial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6767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D93D9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4999237037263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9" fontId="2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8" fillId="0" borderId="0" xfId="0" applyFont="1"/>
    <xf numFmtId="0" fontId="9" fillId="0" borderId="1" xfId="0" applyFont="1" applyBorder="1"/>
    <xf numFmtId="0" fontId="9" fillId="0" borderId="2" xfId="0" applyFont="1" applyBorder="1"/>
    <xf numFmtId="0" fontId="10" fillId="0" borderId="0" xfId="0" applyFont="1"/>
    <xf numFmtId="0" fontId="0" fillId="3" borderId="0" xfId="0" applyFill="1" applyAlignment="1">
      <alignment wrapText="1"/>
    </xf>
    <xf numFmtId="0" fontId="1" fillId="0" borderId="0" xfId="0" applyFont="1"/>
    <xf numFmtId="0" fontId="11" fillId="0" borderId="0" xfId="0" applyFont="1"/>
    <xf numFmtId="0" fontId="9" fillId="0" borderId="2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4" fillId="0" borderId="0" xfId="1"/>
    <xf numFmtId="0" fontId="1" fillId="4" borderId="3" xfId="0" applyFon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1" fillId="4" borderId="7" xfId="0" applyFont="1" applyFill="1" applyBorder="1"/>
    <xf numFmtId="0" fontId="1" fillId="4" borderId="6" xfId="0" applyFont="1" applyFill="1" applyBorder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7" xfId="0" applyFill="1" applyBorder="1"/>
    <xf numFmtId="0" fontId="1" fillId="4" borderId="8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0" fillId="7" borderId="13" xfId="0" applyFill="1" applyBorder="1" applyAlignment="1">
      <alignment wrapText="1"/>
    </xf>
    <xf numFmtId="0" fontId="0" fillId="0" borderId="14" xfId="0" applyBorder="1" applyAlignment="1">
      <alignment horizontal="right"/>
    </xf>
    <xf numFmtId="0" fontId="0" fillId="7" borderId="17" xfId="0" applyFill="1" applyBorder="1" applyAlignment="1">
      <alignment horizontal="center" vertical="center"/>
    </xf>
    <xf numFmtId="0" fontId="18" fillId="0" borderId="0" xfId="0" applyFont="1" applyAlignment="1">
      <alignment wrapText="1" readingOrder="1"/>
    </xf>
    <xf numFmtId="0" fontId="19" fillId="10" borderId="26" xfId="0" applyFont="1" applyFill="1" applyBorder="1" applyAlignment="1">
      <alignment horizontal="center"/>
    </xf>
    <xf numFmtId="0" fontId="19" fillId="10" borderId="27" xfId="0" applyFont="1" applyFill="1" applyBorder="1" applyAlignment="1">
      <alignment horizontal="center"/>
    </xf>
    <xf numFmtId="0" fontId="19" fillId="10" borderId="17" xfId="0" applyFont="1" applyFill="1" applyBorder="1" applyAlignment="1">
      <alignment horizontal="center" wrapText="1"/>
    </xf>
    <xf numFmtId="0" fontId="19" fillId="0" borderId="1" xfId="0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0" fillId="7" borderId="15" xfId="0" applyFill="1" applyBorder="1"/>
    <xf numFmtId="0" fontId="0" fillId="0" borderId="16" xfId="0" applyBorder="1" applyAlignment="1">
      <alignment horizontal="right"/>
    </xf>
    <xf numFmtId="0" fontId="20" fillId="0" borderId="28" xfId="0" applyFont="1" applyBorder="1" applyAlignment="1">
      <alignment horizontal="center"/>
    </xf>
    <xf numFmtId="0" fontId="19" fillId="12" borderId="1" xfId="0" applyFont="1" applyFill="1" applyBorder="1" applyAlignment="1">
      <alignment horizontal="center"/>
    </xf>
    <xf numFmtId="0" fontId="20" fillId="12" borderId="1" xfId="0" applyFont="1" applyFill="1" applyBorder="1" applyAlignment="1">
      <alignment horizontal="center"/>
    </xf>
    <xf numFmtId="1" fontId="0" fillId="12" borderId="1" xfId="0" applyNumberFormat="1" applyFill="1" applyBorder="1"/>
    <xf numFmtId="3" fontId="20" fillId="12" borderId="1" xfId="0" applyNumberFormat="1" applyFont="1" applyFill="1" applyBorder="1" applyAlignment="1">
      <alignment horizontal="center"/>
    </xf>
    <xf numFmtId="0" fontId="0" fillId="0" borderId="11" xfId="0" applyBorder="1"/>
    <xf numFmtId="4" fontId="0" fillId="0" borderId="12" xfId="0" applyNumberFormat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9" fontId="0" fillId="0" borderId="39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9" fontId="0" fillId="0" borderId="31" xfId="0" applyNumberFormat="1" applyBorder="1" applyAlignment="1">
      <alignment horizontal="center" vertical="center"/>
    </xf>
    <xf numFmtId="9" fontId="0" fillId="0" borderId="34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0" fillId="13" borderId="18" xfId="0" applyFill="1" applyBorder="1" applyAlignment="1">
      <alignment horizontal="center" vertical="center" wrapText="1"/>
    </xf>
    <xf numFmtId="0" fontId="0" fillId="13" borderId="19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/>
    <xf numFmtId="4" fontId="0" fillId="0" borderId="38" xfId="0" applyNumberFormat="1" applyBorder="1"/>
    <xf numFmtId="9" fontId="0" fillId="5" borderId="36" xfId="0" applyNumberFormat="1" applyFill="1" applyBorder="1" applyAlignment="1">
      <alignment horizontal="center" vertical="center"/>
    </xf>
    <xf numFmtId="1" fontId="0" fillId="5" borderId="23" xfId="0" applyNumberFormat="1" applyFill="1" applyBorder="1" applyAlignment="1">
      <alignment horizontal="center" vertical="center"/>
    </xf>
    <xf numFmtId="2" fontId="0" fillId="5" borderId="38" xfId="0" applyNumberFormat="1" applyFill="1" applyBorder="1" applyAlignment="1">
      <alignment horizontal="center" vertical="center"/>
    </xf>
    <xf numFmtId="0" fontId="0" fillId="5" borderId="37" xfId="0" applyFill="1" applyBorder="1"/>
    <xf numFmtId="4" fontId="0" fillId="5" borderId="38" xfId="0" applyNumberFormat="1" applyFill="1" applyBorder="1"/>
    <xf numFmtId="9" fontId="0" fillId="5" borderId="23" xfId="0" applyNumberFormat="1" applyFill="1" applyBorder="1" applyAlignment="1">
      <alignment horizontal="center" vertical="center"/>
    </xf>
    <xf numFmtId="2" fontId="0" fillId="5" borderId="23" xfId="0" applyNumberFormat="1" applyFill="1" applyBorder="1" applyAlignment="1">
      <alignment horizontal="center" vertical="center"/>
    </xf>
    <xf numFmtId="0" fontId="0" fillId="5" borderId="30" xfId="0" applyFill="1" applyBorder="1"/>
    <xf numFmtId="4" fontId="0" fillId="5" borderId="14" xfId="0" applyNumberFormat="1" applyFill="1" applyBorder="1"/>
    <xf numFmtId="0" fontId="0" fillId="0" borderId="1" xfId="0" applyBorder="1" applyAlignment="1">
      <alignment horizontal="center" vertical="center" wrapText="1"/>
    </xf>
    <xf numFmtId="0" fontId="0" fillId="0" borderId="14" xfId="0" applyBorder="1"/>
    <xf numFmtId="0" fontId="0" fillId="11" borderId="1" xfId="0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29" xfId="0" applyNumberFormat="1" applyBorder="1" applyAlignment="1">
      <alignment horizontal="center" vertical="center"/>
    </xf>
    <xf numFmtId="4" fontId="0" fillId="0" borderId="40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41" xfId="0" applyNumberFormat="1" applyBorder="1" applyAlignment="1">
      <alignment horizontal="center" vertical="center"/>
    </xf>
    <xf numFmtId="4" fontId="0" fillId="0" borderId="32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4" fontId="0" fillId="0" borderId="17" xfId="0" applyNumberFormat="1" applyBorder="1" applyAlignment="1">
      <alignment horizontal="center" vertical="center"/>
    </xf>
    <xf numFmtId="4" fontId="0" fillId="0" borderId="39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9" fontId="0" fillId="0" borderId="44" xfId="2" applyFont="1" applyBorder="1" applyAlignment="1">
      <alignment horizontal="center" vertical="center"/>
    </xf>
    <xf numFmtId="9" fontId="0" fillId="0" borderId="22" xfId="2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9" fontId="0" fillId="0" borderId="21" xfId="2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30" xfId="0" applyBorder="1"/>
    <xf numFmtId="4" fontId="0" fillId="0" borderId="23" xfId="0" applyNumberFormat="1" applyBorder="1" applyAlignment="1">
      <alignment horizontal="center" vertical="center"/>
    </xf>
    <xf numFmtId="4" fontId="0" fillId="0" borderId="30" xfId="0" applyNumberFormat="1" applyBorder="1" applyAlignment="1">
      <alignment horizontal="center"/>
    </xf>
    <xf numFmtId="1" fontId="0" fillId="0" borderId="0" xfId="0" applyNumberFormat="1"/>
    <xf numFmtId="0" fontId="0" fillId="0" borderId="15" xfId="0" applyBorder="1"/>
    <xf numFmtId="0" fontId="0" fillId="0" borderId="13" xfId="0" applyBorder="1"/>
    <xf numFmtId="1" fontId="0" fillId="0" borderId="30" xfId="0" applyNumberFormat="1" applyBorder="1"/>
    <xf numFmtId="0" fontId="3" fillId="0" borderId="0" xfId="0" applyFont="1"/>
    <xf numFmtId="4" fontId="0" fillId="0" borderId="0" xfId="0" applyNumberFormat="1"/>
    <xf numFmtId="0" fontId="0" fillId="13" borderId="0" xfId="0" applyFill="1" applyAlignment="1">
      <alignment horizontal="center" vertical="center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1" fontId="0" fillId="0" borderId="47" xfId="0" applyNumberFormat="1" applyBorder="1"/>
    <xf numFmtId="1" fontId="0" fillId="0" borderId="48" xfId="0" applyNumberFormat="1" applyBorder="1"/>
    <xf numFmtId="0" fontId="0" fillId="6" borderId="31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19" fillId="9" borderId="24" xfId="0" applyFont="1" applyFill="1" applyBorder="1" applyAlignment="1">
      <alignment horizontal="center"/>
    </xf>
    <xf numFmtId="0" fontId="19" fillId="9" borderId="25" xfId="0" applyFont="1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D676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yVal>
            <c:numRef>
              <c:f>EVs!$L$11:$L$31</c:f>
              <c:numCache>
                <c:formatCode>0</c:formatCode>
                <c:ptCount val="21"/>
                <c:pt idx="0" formatCode="General">
                  <c:v>34</c:v>
                </c:pt>
                <c:pt idx="1">
                  <c:v>49.099999999998545</c:v>
                </c:pt>
                <c:pt idx="2">
                  <c:v>64.200000000000728</c:v>
                </c:pt>
                <c:pt idx="3">
                  <c:v>79.299999999999272</c:v>
                </c:pt>
                <c:pt idx="4">
                  <c:v>94.399999999997817</c:v>
                </c:pt>
                <c:pt idx="5">
                  <c:v>109.5</c:v>
                </c:pt>
                <c:pt idx="6">
                  <c:v>124.59999999999854</c:v>
                </c:pt>
                <c:pt idx="7">
                  <c:v>139.70000000000073</c:v>
                </c:pt>
                <c:pt idx="8">
                  <c:v>154.79999999999927</c:v>
                </c:pt>
                <c:pt idx="9">
                  <c:v>169.89999999999782</c:v>
                </c:pt>
                <c:pt idx="10">
                  <c:v>185</c:v>
                </c:pt>
                <c:pt idx="11">
                  <c:v>200.09999999999854</c:v>
                </c:pt>
                <c:pt idx="12">
                  <c:v>215.20000000000073</c:v>
                </c:pt>
                <c:pt idx="13">
                  <c:v>230.29999999999927</c:v>
                </c:pt>
                <c:pt idx="14">
                  <c:v>245.39999999999782</c:v>
                </c:pt>
                <c:pt idx="15">
                  <c:v>260.5</c:v>
                </c:pt>
                <c:pt idx="16">
                  <c:v>275.59999999999854</c:v>
                </c:pt>
                <c:pt idx="17">
                  <c:v>290.70000000000073</c:v>
                </c:pt>
                <c:pt idx="18">
                  <c:v>305.79999999999927</c:v>
                </c:pt>
                <c:pt idx="19">
                  <c:v>320.89999999999782</c:v>
                </c:pt>
                <c:pt idx="20">
                  <c:v>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1-B144-95B2-6782C48D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536975"/>
        <c:axId val="2046772384"/>
      </c:scatterChart>
      <c:valAx>
        <c:axId val="196353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46772384"/>
        <c:crosses val="autoZero"/>
        <c:crossBetween val="midCat"/>
      </c:valAx>
      <c:valAx>
        <c:axId val="20467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6353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409575</xdr:colOff>
      <xdr:row>98</xdr:row>
      <xdr:rowOff>133350</xdr:rowOff>
    </xdr:from>
    <xdr:to>
      <xdr:col>3</xdr:col>
      <xdr:colOff>1171575</xdr:colOff>
      <xdr:row>104</xdr:row>
      <xdr:rowOff>31116</xdr:rowOff>
    </xdr:to>
    <xdr:pic>
      <xdr:nvPicPr>
        <xdr:cNvPr id="5" name="Bild 1">
          <a:extLst>
            <a:ext uri="{FF2B5EF4-FFF2-40B4-BE49-F238E27FC236}">
              <a16:creationId xmlns:a16="http://schemas.microsoft.com/office/drawing/2014/main" id="{0FCC2E97-C53F-80F0-36DE-94E720667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8850" y="18640425"/>
          <a:ext cx="3505200" cy="1381125"/>
        </a:xfrm>
        <a:prstGeom prst="rect">
          <a:avLst/>
        </a:prstGeom>
      </xdr:spPr>
    </xdr:pic>
    <xdr:clientData/>
  </xdr:twoCellAnchor>
  <xdr:twoCellAnchor editAs="oneCell">
    <xdr:from>
      <xdr:col>11</xdr:col>
      <xdr:colOff>22478</xdr:colOff>
      <xdr:row>65</xdr:row>
      <xdr:rowOff>157345</xdr:rowOff>
    </xdr:from>
    <xdr:to>
      <xdr:col>12</xdr:col>
      <xdr:colOff>453210</xdr:colOff>
      <xdr:row>75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E7C5FD-7A68-AD7B-6CA5-132F9AA262AD}"/>
            </a:ext>
            <a:ext uri="{147F2762-F138-4A5C-976F-8EAC2B608ADB}">
              <a16:predDERef xmlns:a16="http://schemas.microsoft.com/office/drawing/2014/main" pred="{0FCC2E97-C53F-80F0-36DE-94E720667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30354" y="16656106"/>
          <a:ext cx="2352591" cy="19513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5</xdr:row>
      <xdr:rowOff>120650</xdr:rowOff>
    </xdr:from>
    <xdr:to>
      <xdr:col>20</xdr:col>
      <xdr:colOff>285750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A25CE-7EF0-17E7-E7B3-914ADB832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iolina Stålhös" id="{92BC83B5-0304-0C4B-A6C0-41D973C5C140}" userId="S::stalho@ug.kth.se::cd3766a4-8d88-4334-b120-b42e3451aa94" providerId="AD"/>
  <person displayName="Alexandra Machado" id="{B4834875-B882-8F4B-8B29-2D9F78B043F7}" userId="S::amachado@UG.KTH.SE::e6d43886-1829-4702-8dd6-428d675fa02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" dT="2025-04-21T10:17:30.68" personId="{B4834875-B882-8F4B-8B29-2D9F78B043F7}" id="{B9D9B727-C64F-0145-9852-EDC7ED52289D}">
    <text xml:space="preserve">Guesstimation
</text>
  </threadedComment>
  <threadedComment ref="C41" dT="2025-04-28T23:00:34.87" personId="{92BC83B5-0304-0C4B-A6C0-41D973C5C140}" id="{174C1404-1B50-4A23-B950-653B125DC0D8}">
    <text>For Kigali</text>
  </threadedComment>
  <threadedComment ref="C41" dT="2025-04-28T23:01:12.74" personId="{92BC83B5-0304-0C4B-A6C0-41D973C5C140}" id="{57B52545-0803-4BEA-BBB6-325C9A0BE36C}" parentId="{174C1404-1B50-4A23-B950-653B125DC0D8}">
    <text>We could do 28*0,28 to get the pop.share in the calculations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iofuelregion.se/wp-content/uploads/Biogas-buses-PM-Goldmann-121220.pdf" TargetMode="External"/><Relationship Id="rId3" Type="http://schemas.openxmlformats.org/officeDocument/2006/relationships/hyperlink" Target="https://www.iea.org/reports/global-ev-outlook-2024/trends-in-electric-vehicle-charging" TargetMode="External"/><Relationship Id="rId7" Type="http://schemas.openxmlformats.org/officeDocument/2006/relationships/hyperlink" Target="https://sustmob.org/PCFV/pdf/CostBenefitAnalyses_NaMATA.pdf?" TargetMode="External"/><Relationship Id="rId12" Type="http://schemas.microsoft.com/office/2017/10/relationships/threadedComment" Target="../threadedComments/threadedComment1.xml"/><Relationship Id="rId2" Type="http://schemas.openxmlformats.org/officeDocument/2006/relationships/hyperlink" Target="https://www.ampersand.solar/" TargetMode="External"/><Relationship Id="rId1" Type="http://schemas.openxmlformats.org/officeDocument/2006/relationships/hyperlink" Target="https://www.ampersand.solar/mediacentre/press-release%3A-ampersand-achieves-major-milestone-with-1%2C000-electric-motorcycles--on-east-african-roads" TargetMode="External"/><Relationship Id="rId6" Type="http://schemas.openxmlformats.org/officeDocument/2006/relationships/hyperlink" Target="https://www.basi-go.com/in-the-news/basigo-announces-28-new-electric-buses-en-route-rwanda-on-a-path-to-100-deliveries-in-2025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seforall.org/system/files/2024-05/remi-casestudy-basigo-005.pdf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basi-go.com/r10-rumuri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0329A-AA5B-5E47-A4A6-CC410C55E12E}">
  <dimension ref="A2:T113"/>
  <sheetViews>
    <sheetView topLeftCell="C76" zoomScale="113" zoomScaleNormal="125" workbookViewId="0">
      <selection activeCell="H87" sqref="H87:L113"/>
    </sheetView>
  </sheetViews>
  <sheetFormatPr baseColWidth="10" defaultColWidth="11" defaultRowHeight="16" x14ac:dyDescent="0.2"/>
  <cols>
    <col min="1" max="1" width="36" bestFit="1" customWidth="1"/>
    <col min="2" max="2" width="37.83203125" bestFit="1" customWidth="1"/>
    <col min="3" max="4" width="36" bestFit="1" customWidth="1"/>
    <col min="6" max="6" width="36" bestFit="1" customWidth="1"/>
    <col min="7" max="7" width="20.33203125" bestFit="1" customWidth="1"/>
    <col min="9" max="9" width="18.83203125" bestFit="1" customWidth="1"/>
    <col min="10" max="10" width="16.1640625" bestFit="1" customWidth="1"/>
    <col min="11" max="11" width="18.83203125" bestFit="1" customWidth="1"/>
    <col min="12" max="12" width="25.1640625" bestFit="1" customWidth="1"/>
  </cols>
  <sheetData>
    <row r="2" spans="1:11" ht="68" x14ac:dyDescent="0.2">
      <c r="A2" s="2" t="s">
        <v>0</v>
      </c>
      <c r="B2" s="2" t="s">
        <v>1</v>
      </c>
      <c r="C2" s="2" t="s">
        <v>2</v>
      </c>
      <c r="D2" s="7" t="s">
        <v>3</v>
      </c>
      <c r="E2" s="7" t="s">
        <v>4</v>
      </c>
      <c r="F2" s="2" t="s">
        <v>5</v>
      </c>
      <c r="G2" s="7" t="s">
        <v>6</v>
      </c>
      <c r="I2" s="7" t="s">
        <v>7</v>
      </c>
      <c r="J2" s="7" t="s">
        <v>8</v>
      </c>
      <c r="K2" s="7" t="s">
        <v>9</v>
      </c>
    </row>
    <row r="3" spans="1:11" x14ac:dyDescent="0.2">
      <c r="A3" s="5" t="s">
        <v>10</v>
      </c>
      <c r="B3" s="1">
        <f>SUM(B4:B11)</f>
        <v>307002</v>
      </c>
      <c r="C3" s="6">
        <f>SUM(C4:C11)</f>
        <v>100</v>
      </c>
      <c r="D3" s="8">
        <v>100</v>
      </c>
      <c r="E3" s="8">
        <v>596000</v>
      </c>
      <c r="F3" s="4">
        <v>5833</v>
      </c>
      <c r="G3" s="8">
        <f>F3*E3/B3</f>
        <v>11323.926228493625</v>
      </c>
      <c r="I3" s="8">
        <v>491731</v>
      </c>
      <c r="J3" s="8">
        <v>684506</v>
      </c>
      <c r="K3" s="53">
        <v>985221.42260000005</v>
      </c>
    </row>
    <row r="4" spans="1:11" ht="17" x14ac:dyDescent="0.2">
      <c r="A4" s="2" t="s">
        <v>11</v>
      </c>
      <c r="B4" s="3">
        <v>165155</v>
      </c>
      <c r="C4" s="3">
        <v>53.8</v>
      </c>
      <c r="D4" s="8">
        <v>34.42</v>
      </c>
      <c r="E4" s="8">
        <f>E3*(D4/100)</f>
        <v>205143.2</v>
      </c>
      <c r="F4">
        <f t="shared" ref="F4:F11" si="0">$F$3*(C4/100)</f>
        <v>3138.1539999999995</v>
      </c>
      <c r="G4" s="8">
        <f>F4*E4/B4</f>
        <v>3897.9804041827374</v>
      </c>
      <c r="I4" s="9"/>
    </row>
    <row r="5" spans="1:11" ht="34" x14ac:dyDescent="0.2">
      <c r="A5" s="2" t="s">
        <v>12</v>
      </c>
      <c r="B5" s="3">
        <v>47985</v>
      </c>
      <c r="C5" s="3">
        <v>15.6</v>
      </c>
      <c r="F5">
        <f t="shared" si="0"/>
        <v>909.94799999999998</v>
      </c>
      <c r="I5" t="s">
        <v>13</v>
      </c>
      <c r="J5" s="21" t="s">
        <v>14</v>
      </c>
      <c r="K5" t="s">
        <v>13</v>
      </c>
    </row>
    <row r="6" spans="1:11" ht="17" x14ac:dyDescent="0.2">
      <c r="A6" s="2" t="s">
        <v>15</v>
      </c>
      <c r="B6" s="3">
        <v>38874</v>
      </c>
      <c r="C6" s="3">
        <v>12.7</v>
      </c>
      <c r="F6">
        <f t="shared" si="0"/>
        <v>740.79100000000005</v>
      </c>
      <c r="I6">
        <f>F9/I3</f>
        <v>4.6262489043806472E-4</v>
      </c>
      <c r="J6">
        <f>I6*J3</f>
        <v>316.66951325419791</v>
      </c>
    </row>
    <row r="7" spans="1:11" ht="17" x14ac:dyDescent="0.2">
      <c r="A7" s="2" t="s">
        <v>16</v>
      </c>
      <c r="B7" s="3">
        <v>21196</v>
      </c>
      <c r="C7" s="3">
        <v>6.9</v>
      </c>
      <c r="F7">
        <f t="shared" si="0"/>
        <v>402.47700000000003</v>
      </c>
    </row>
    <row r="8" spans="1:11" ht="17" x14ac:dyDescent="0.2">
      <c r="A8" s="2" t="s">
        <v>17</v>
      </c>
      <c r="B8" s="3">
        <v>18661</v>
      </c>
      <c r="C8" s="3">
        <v>6.1</v>
      </c>
      <c r="F8">
        <f t="shared" si="0"/>
        <v>355.81299999999999</v>
      </c>
    </row>
    <row r="9" spans="1:11" ht="17" x14ac:dyDescent="0.2">
      <c r="A9" s="2" t="s">
        <v>18</v>
      </c>
      <c r="B9" s="3">
        <v>11919</v>
      </c>
      <c r="C9" s="3">
        <v>3.9</v>
      </c>
      <c r="F9">
        <f t="shared" si="0"/>
        <v>227.48699999999999</v>
      </c>
    </row>
    <row r="10" spans="1:11" ht="17" x14ac:dyDescent="0.2">
      <c r="A10" s="2" t="s">
        <v>19</v>
      </c>
      <c r="B10" s="3">
        <v>1993</v>
      </c>
      <c r="C10" s="3">
        <v>0.6</v>
      </c>
      <c r="F10">
        <f t="shared" si="0"/>
        <v>34.997999999999998</v>
      </c>
    </row>
    <row r="11" spans="1:11" ht="17" x14ac:dyDescent="0.2">
      <c r="A11" s="2" t="s">
        <v>20</v>
      </c>
      <c r="B11" s="3">
        <v>1219</v>
      </c>
      <c r="C11" s="3">
        <v>0.4</v>
      </c>
      <c r="F11">
        <f t="shared" si="0"/>
        <v>23.332000000000001</v>
      </c>
    </row>
    <row r="12" spans="1:11" x14ac:dyDescent="0.2">
      <c r="A12" s="3"/>
      <c r="B12" s="3"/>
      <c r="C12" s="3"/>
    </row>
    <row r="14" spans="1:11" ht="34" x14ac:dyDescent="0.2">
      <c r="A14" s="13" t="s">
        <v>21</v>
      </c>
    </row>
    <row r="15" spans="1:11" x14ac:dyDescent="0.2">
      <c r="A15" s="15" t="s">
        <v>22</v>
      </c>
    </row>
    <row r="16" spans="1:11" x14ac:dyDescent="0.2">
      <c r="A16" s="10" t="s">
        <v>0</v>
      </c>
      <c r="B16" s="11" t="s">
        <v>23</v>
      </c>
      <c r="C16" s="11" t="s">
        <v>24</v>
      </c>
      <c r="D16" s="11" t="s">
        <v>25</v>
      </c>
      <c r="E16" s="12"/>
      <c r="F16" s="12" t="s">
        <v>26</v>
      </c>
    </row>
    <row r="17" spans="1:7" x14ac:dyDescent="0.2">
      <c r="A17" s="12" t="s">
        <v>27</v>
      </c>
      <c r="B17" s="12">
        <v>4480</v>
      </c>
      <c r="C17" s="12">
        <v>17368</v>
      </c>
      <c r="D17" s="12">
        <v>77.808639999999997</v>
      </c>
      <c r="E17" s="12"/>
      <c r="F17" s="17" t="s">
        <v>28</v>
      </c>
    </row>
    <row r="18" spans="1:7" ht="32" x14ac:dyDescent="0.2">
      <c r="A18" s="12" t="s">
        <v>29</v>
      </c>
      <c r="B18" s="12">
        <v>310</v>
      </c>
      <c r="C18" s="12">
        <v>58140</v>
      </c>
      <c r="D18" s="12">
        <v>18.023399999999999</v>
      </c>
      <c r="E18" s="12"/>
      <c r="F18" s="17" t="s">
        <v>30</v>
      </c>
    </row>
    <row r="19" spans="1:7" x14ac:dyDescent="0.2">
      <c r="A19" s="12" t="s">
        <v>31</v>
      </c>
      <c r="B19" s="12">
        <v>590</v>
      </c>
      <c r="C19" s="12">
        <v>239400</v>
      </c>
      <c r="D19" s="12">
        <v>141.24600000000001</v>
      </c>
      <c r="E19" s="12"/>
      <c r="F19" s="12" t="s">
        <v>32</v>
      </c>
      <c r="G19" s="19" t="s">
        <v>33</v>
      </c>
    </row>
    <row r="20" spans="1:7" x14ac:dyDescent="0.2">
      <c r="F20" s="19" t="s">
        <v>34</v>
      </c>
    </row>
    <row r="22" spans="1:7" x14ac:dyDescent="0.2">
      <c r="A22" s="14" t="s">
        <v>35</v>
      </c>
      <c r="F22" s="18"/>
    </row>
    <row r="23" spans="1:7" ht="32" x14ac:dyDescent="0.2">
      <c r="A23" s="10" t="s">
        <v>0</v>
      </c>
      <c r="B23" s="16" t="s">
        <v>36</v>
      </c>
      <c r="C23" s="11" t="s">
        <v>24</v>
      </c>
      <c r="D23" s="11" t="s">
        <v>25</v>
      </c>
      <c r="E23" s="12"/>
      <c r="F23" s="12"/>
    </row>
    <row r="24" spans="1:7" ht="32" x14ac:dyDescent="0.2">
      <c r="A24" s="12" t="s">
        <v>37</v>
      </c>
      <c r="B24" s="17">
        <v>4480</v>
      </c>
      <c r="C24" s="12">
        <v>8760</v>
      </c>
      <c r="D24" s="12">
        <v>39.244799999999998</v>
      </c>
      <c r="E24" s="12"/>
      <c r="F24" s="17" t="s">
        <v>38</v>
      </c>
    </row>
    <row r="25" spans="1:7" x14ac:dyDescent="0.2">
      <c r="A25" s="12" t="s">
        <v>39</v>
      </c>
      <c r="B25" s="17">
        <v>590</v>
      </c>
      <c r="C25" s="12">
        <v>40150</v>
      </c>
      <c r="D25" s="12">
        <v>23.688500000000001</v>
      </c>
      <c r="E25" s="12"/>
      <c r="F25" s="12" t="s">
        <v>40</v>
      </c>
    </row>
    <row r="26" spans="1:7" ht="32" x14ac:dyDescent="0.2">
      <c r="F26" s="20" t="s">
        <v>41</v>
      </c>
    </row>
    <row r="29" spans="1:7" x14ac:dyDescent="0.2">
      <c r="B29" t="s">
        <v>42</v>
      </c>
    </row>
    <row r="30" spans="1:7" x14ac:dyDescent="0.2">
      <c r="B30" t="s">
        <v>43</v>
      </c>
    </row>
    <row r="31" spans="1:7" x14ac:dyDescent="0.2">
      <c r="B31" t="s">
        <v>44</v>
      </c>
    </row>
    <row r="32" spans="1:7" x14ac:dyDescent="0.2">
      <c r="B32" t="s">
        <v>45</v>
      </c>
    </row>
    <row r="33" spans="1:20" x14ac:dyDescent="0.2">
      <c r="O33" t="s">
        <v>46</v>
      </c>
      <c r="P33" s="23" t="s">
        <v>47</v>
      </c>
    </row>
    <row r="34" spans="1:20" x14ac:dyDescent="0.2">
      <c r="P34" s="23" t="s">
        <v>48</v>
      </c>
      <c r="Q34" t="s">
        <v>49</v>
      </c>
    </row>
    <row r="35" spans="1:20" x14ac:dyDescent="0.2">
      <c r="P35" s="23" t="s">
        <v>50</v>
      </c>
      <c r="Q35" s="22"/>
      <c r="R35" t="s">
        <v>51</v>
      </c>
    </row>
    <row r="36" spans="1:20" x14ac:dyDescent="0.2">
      <c r="A36" s="14" t="s">
        <v>52</v>
      </c>
    </row>
    <row r="37" spans="1:20" ht="102" x14ac:dyDescent="0.2">
      <c r="A37" s="21" t="s">
        <v>53</v>
      </c>
      <c r="P37" s="23" t="s">
        <v>54</v>
      </c>
      <c r="Q37" s="21" t="s">
        <v>55</v>
      </c>
    </row>
    <row r="38" spans="1:20" ht="17" thickBot="1" x14ac:dyDescent="0.25">
      <c r="P38" s="23" t="s">
        <v>56</v>
      </c>
      <c r="T38" t="s">
        <v>57</v>
      </c>
    </row>
    <row r="39" spans="1:20" x14ac:dyDescent="0.2">
      <c r="A39" s="24" t="s">
        <v>58</v>
      </c>
      <c r="B39" s="25"/>
      <c r="C39" s="25"/>
      <c r="D39" s="26"/>
    </row>
    <row r="40" spans="1:20" ht="17" x14ac:dyDescent="0.2">
      <c r="A40" s="27"/>
      <c r="B40" s="28" t="s">
        <v>11</v>
      </c>
      <c r="C40" s="29" t="s">
        <v>18</v>
      </c>
      <c r="D40" s="30" t="s">
        <v>10</v>
      </c>
    </row>
    <row r="41" spans="1:20" x14ac:dyDescent="0.2">
      <c r="A41" s="31" t="s">
        <v>59</v>
      </c>
      <c r="B41" s="32">
        <f>F4*0.28*0.3</f>
        <v>263.60493599999995</v>
      </c>
      <c r="C41" s="33">
        <f>F9*0.05*0.28</f>
        <v>3.1848180000000004</v>
      </c>
      <c r="D41" s="34"/>
      <c r="O41" t="s">
        <v>60</v>
      </c>
      <c r="P41" s="23" t="s">
        <v>61</v>
      </c>
    </row>
    <row r="42" spans="1:20" x14ac:dyDescent="0.2">
      <c r="A42" s="31" t="s">
        <v>62</v>
      </c>
      <c r="B42" s="32">
        <f>190*(3/65)*365</f>
        <v>3200.7692307692309</v>
      </c>
      <c r="C42" s="32">
        <f>164*(280/300)*365</f>
        <v>55869.333333333328</v>
      </c>
      <c r="D42" s="34"/>
    </row>
    <row r="43" spans="1:20" ht="17" thickBot="1" x14ac:dyDescent="0.25">
      <c r="A43" s="35" t="s">
        <v>63</v>
      </c>
      <c r="B43" s="36">
        <f>B42*B41/1000</f>
        <v>843.73856822769221</v>
      </c>
      <c r="C43" s="36">
        <f>C42*C41/1000</f>
        <v>177.93365844799999</v>
      </c>
      <c r="D43" s="37">
        <f>B43+C43</f>
        <v>1021.6722266756922</v>
      </c>
    </row>
    <row r="50" spans="1:4" x14ac:dyDescent="0.2">
      <c r="A50" s="45" t="s">
        <v>64</v>
      </c>
      <c r="B50" s="45" t="s">
        <v>65</v>
      </c>
      <c r="C50" s="46" t="s">
        <v>66</v>
      </c>
      <c r="D50" s="47" t="s">
        <v>67</v>
      </c>
    </row>
    <row r="51" spans="1:4" x14ac:dyDescent="0.2">
      <c r="A51" s="48">
        <v>2023</v>
      </c>
      <c r="B51" s="48">
        <v>4.4895283000000001E-2</v>
      </c>
      <c r="C51" s="49">
        <v>510900</v>
      </c>
      <c r="D51" s="39"/>
    </row>
    <row r="52" spans="1:4" x14ac:dyDescent="0.2">
      <c r="A52" s="48">
        <v>2024</v>
      </c>
      <c r="B52" s="48">
        <v>4.4088363999999998E-2</v>
      </c>
      <c r="C52" s="49">
        <v>533837</v>
      </c>
      <c r="D52" s="39"/>
    </row>
    <row r="53" spans="1:4" x14ac:dyDescent="0.2">
      <c r="A53" s="48">
        <v>2025</v>
      </c>
      <c r="B53" s="48">
        <v>4.3224195999999999E-2</v>
      </c>
      <c r="C53" s="49">
        <v>557373</v>
      </c>
      <c r="D53" s="39">
        <v>140</v>
      </c>
    </row>
    <row r="54" spans="1:4" x14ac:dyDescent="0.2">
      <c r="A54" s="48">
        <v>2026</v>
      </c>
      <c r="B54" s="48">
        <v>4.3224195999999999E-2</v>
      </c>
      <c r="C54" s="49">
        <v>581465</v>
      </c>
      <c r="D54" s="40">
        <f>D53*(1+B54)</f>
        <v>146.05138743999998</v>
      </c>
    </row>
    <row r="55" spans="1:4" x14ac:dyDescent="0.2">
      <c r="A55" s="48">
        <v>2027</v>
      </c>
      <c r="B55" s="48">
        <v>4.2527065000000003E-2</v>
      </c>
      <c r="C55" s="49">
        <v>606193</v>
      </c>
      <c r="D55" s="40">
        <f>D54*(1+B55)</f>
        <v>152.26252428700104</v>
      </c>
    </row>
    <row r="56" spans="1:4" x14ac:dyDescent="0.2">
      <c r="A56" s="48">
        <v>2028</v>
      </c>
      <c r="B56" s="48">
        <v>4.2021269999999999E-2</v>
      </c>
      <c r="C56" s="49">
        <v>631666</v>
      </c>
      <c r="D56" s="40">
        <f t="shared" ref="D56:D77" si="1">D55*(1+B56)</f>
        <v>158.66078893094667</v>
      </c>
    </row>
    <row r="57" spans="1:4" x14ac:dyDescent="0.2">
      <c r="A57" s="48">
        <v>2029</v>
      </c>
      <c r="B57" s="48">
        <v>4.1403210000000003E-2</v>
      </c>
      <c r="C57" s="49">
        <v>657819</v>
      </c>
      <c r="D57" s="40">
        <f t="shared" si="1"/>
        <v>165.22985489382032</v>
      </c>
    </row>
    <row r="58" spans="1:4" x14ac:dyDescent="0.2">
      <c r="A58" s="54">
        <v>2030</v>
      </c>
      <c r="B58" s="54">
        <v>4.056891E-2</v>
      </c>
      <c r="C58" s="57">
        <v>684506</v>
      </c>
      <c r="D58" s="56">
        <f>D57*(1+B58)</f>
        <v>171.93305000632077</v>
      </c>
    </row>
    <row r="59" spans="1:4" x14ac:dyDescent="0.2">
      <c r="A59" s="48">
        <v>2031</v>
      </c>
      <c r="B59" s="48">
        <v>3.9732302999999997E-2</v>
      </c>
      <c r="C59" s="49">
        <v>711703</v>
      </c>
      <c r="D59" s="40">
        <f t="shared" si="1"/>
        <v>178.76434604488608</v>
      </c>
    </row>
    <row r="60" spans="1:4" x14ac:dyDescent="0.2">
      <c r="A60" s="48">
        <v>2032</v>
      </c>
      <c r="B60" s="48">
        <v>3.9082314E-2</v>
      </c>
      <c r="C60" s="49">
        <v>739518</v>
      </c>
      <c r="D60" s="40">
        <f t="shared" si="1"/>
        <v>185.75087034901699</v>
      </c>
    </row>
    <row r="61" spans="1:4" x14ac:dyDescent="0.2">
      <c r="A61" s="48">
        <v>2033</v>
      </c>
      <c r="B61" s="48">
        <v>3.8674899999999998E-2</v>
      </c>
      <c r="C61" s="50">
        <v>768118.78489999997</v>
      </c>
      <c r="D61" s="40">
        <f t="shared" si="1"/>
        <v>192.93476668467818</v>
      </c>
    </row>
    <row r="62" spans="1:4" x14ac:dyDescent="0.2">
      <c r="A62" s="48">
        <v>2034</v>
      </c>
      <c r="B62" s="48">
        <v>3.8056389000000003E-2</v>
      </c>
      <c r="C62" s="50">
        <v>797350.61230000004</v>
      </c>
      <c r="D62" s="40">
        <f t="shared" si="1"/>
        <v>200.27716721725454</v>
      </c>
    </row>
    <row r="63" spans="1:4" x14ac:dyDescent="0.2">
      <c r="A63" s="48">
        <v>2035</v>
      </c>
      <c r="B63" s="48">
        <v>3.7437878000000001E-2</v>
      </c>
      <c r="C63" s="50">
        <v>827201.72719999996</v>
      </c>
      <c r="D63" s="40">
        <f t="shared" si="1"/>
        <v>207.7751193697197</v>
      </c>
    </row>
    <row r="64" spans="1:4" x14ac:dyDescent="0.2">
      <c r="A64" s="48">
        <v>2036</v>
      </c>
      <c r="B64" s="48">
        <v>3.6819366999999999E-2</v>
      </c>
      <c r="C64" s="50">
        <v>857658.77119999996</v>
      </c>
      <c r="D64" s="40">
        <f t="shared" si="1"/>
        <v>215.42526774326225</v>
      </c>
    </row>
    <row r="65" spans="1:4" x14ac:dyDescent="0.2">
      <c r="A65" s="48">
        <v>2037</v>
      </c>
      <c r="B65" s="48">
        <v>3.6200855999999997E-2</v>
      </c>
      <c r="C65" s="50">
        <v>888706.75269999995</v>
      </c>
      <c r="D65" s="40">
        <f t="shared" si="1"/>
        <v>223.22384683959754</v>
      </c>
    </row>
    <row r="66" spans="1:4" x14ac:dyDescent="0.2">
      <c r="A66" s="48">
        <v>2038</v>
      </c>
      <c r="B66" s="48">
        <v>3.5582345000000001E-2</v>
      </c>
      <c r="C66" s="50">
        <v>920329.02280000004</v>
      </c>
      <c r="D66" s="40">
        <f t="shared" si="1"/>
        <v>231.16667477007124</v>
      </c>
    </row>
    <row r="67" spans="1:4" x14ac:dyDescent="0.2">
      <c r="A67" s="48">
        <v>2039</v>
      </c>
      <c r="B67" s="48">
        <v>3.4963833999999999E-2</v>
      </c>
      <c r="C67" s="50">
        <v>952507.2537</v>
      </c>
      <c r="D67" s="40">
        <f t="shared" si="1"/>
        <v>239.249148013064</v>
      </c>
    </row>
    <row r="68" spans="1:4" x14ac:dyDescent="0.2">
      <c r="A68" s="54">
        <v>2040</v>
      </c>
      <c r="B68" s="54">
        <v>3.4345322999999997E-2</v>
      </c>
      <c r="C68" s="55">
        <v>985221.42260000005</v>
      </c>
      <c r="D68" s="56">
        <f t="shared" si="1"/>
        <v>247.46623727904748</v>
      </c>
    </row>
    <row r="69" spans="1:4" x14ac:dyDescent="0.2">
      <c r="A69" s="48">
        <v>2041</v>
      </c>
      <c r="B69" s="48">
        <v>3.3726811000000002E-2</v>
      </c>
      <c r="C69" s="50">
        <v>1018449.8</v>
      </c>
      <c r="D69" s="40">
        <f t="shared" si="1"/>
        <v>255.81248429263906</v>
      </c>
    </row>
    <row r="70" spans="1:4" x14ac:dyDescent="0.2">
      <c r="A70" s="48">
        <v>2042</v>
      </c>
      <c r="B70" s="48">
        <v>3.31083E-2</v>
      </c>
      <c r="C70" s="50">
        <v>1052168.942</v>
      </c>
      <c r="D70" s="40">
        <f t="shared" si="1"/>
        <v>264.28200076634505</v>
      </c>
    </row>
    <row r="71" spans="1:4" x14ac:dyDescent="0.2">
      <c r="A71" s="48">
        <v>2043</v>
      </c>
      <c r="B71" s="48">
        <v>3.2489788999999998E-2</v>
      </c>
      <c r="C71" s="50">
        <v>1086353.689</v>
      </c>
      <c r="D71" s="40">
        <f t="shared" si="1"/>
        <v>272.86846720774145</v>
      </c>
    </row>
    <row r="72" spans="1:4" x14ac:dyDescent="0.2">
      <c r="A72" s="48">
        <v>2044</v>
      </c>
      <c r="B72" s="48">
        <v>3.1871278000000003E-2</v>
      </c>
      <c r="C72" s="50">
        <v>1120977.169</v>
      </c>
      <c r="D72" s="40">
        <f t="shared" si="1"/>
        <v>281.56513398355327</v>
      </c>
    </row>
    <row r="73" spans="1:4" x14ac:dyDescent="0.2">
      <c r="A73" s="48">
        <v>2045</v>
      </c>
      <c r="B73" s="48">
        <v>3.1252767000000001E-2</v>
      </c>
      <c r="C73" s="50">
        <v>1156010.808</v>
      </c>
      <c r="D73" s="40">
        <f t="shared" si="1"/>
        <v>290.36482351126506</v>
      </c>
    </row>
    <row r="74" spans="1:4" x14ac:dyDescent="0.2">
      <c r="A74" s="48">
        <v>2046</v>
      </c>
      <c r="B74" s="48">
        <v>3.0634255999999999E-2</v>
      </c>
      <c r="C74" s="50">
        <v>1191424.3389999999</v>
      </c>
      <c r="D74" s="40">
        <f t="shared" si="1"/>
        <v>299.25993384810397</v>
      </c>
    </row>
    <row r="75" spans="1:4" x14ac:dyDescent="0.2">
      <c r="A75" s="48">
        <v>2047</v>
      </c>
      <c r="B75" s="48">
        <v>3.0015745E-2</v>
      </c>
      <c r="C75" s="50">
        <v>1227185.828</v>
      </c>
      <c r="D75" s="40">
        <f t="shared" si="1"/>
        <v>308.24244371120551</v>
      </c>
    </row>
    <row r="76" spans="1:4" x14ac:dyDescent="0.2">
      <c r="A76" s="48">
        <v>2048</v>
      </c>
      <c r="B76" s="48">
        <v>2.9397234000000001E-2</v>
      </c>
      <c r="C76" s="50">
        <v>1263261.6969999999</v>
      </c>
      <c r="D76" s="40">
        <f t="shared" si="1"/>
        <v>317.30391895771561</v>
      </c>
    </row>
    <row r="77" spans="1:4" x14ac:dyDescent="0.2">
      <c r="A77" s="48">
        <v>2049</v>
      </c>
      <c r="B77" s="48">
        <v>2.8778722999999999E-2</v>
      </c>
      <c r="C77" s="50">
        <v>1299616.7549999999</v>
      </c>
      <c r="D77" s="40">
        <f t="shared" si="1"/>
        <v>326.43552054821419</v>
      </c>
    </row>
    <row r="78" spans="1:4" x14ac:dyDescent="0.2">
      <c r="A78" s="48">
        <v>2050</v>
      </c>
      <c r="B78" s="48">
        <v>2.8160212E-2</v>
      </c>
      <c r="C78" s="50">
        <v>1336214.237</v>
      </c>
      <c r="D78" s="40">
        <f>D77*(1+B78)</f>
        <v>335.62801401118224</v>
      </c>
    </row>
    <row r="86" spans="1:12" ht="17" thickBot="1" x14ac:dyDescent="0.25"/>
    <row r="87" spans="1:12" x14ac:dyDescent="0.2">
      <c r="A87" s="134" t="s">
        <v>68</v>
      </c>
      <c r="B87" s="135"/>
      <c r="C87" s="135"/>
      <c r="D87" s="135"/>
      <c r="E87" s="135"/>
      <c r="F87" s="136"/>
      <c r="H87" s="118" t="s">
        <v>69</v>
      </c>
      <c r="I87" s="39" t="s">
        <v>70</v>
      </c>
      <c r="J87" s="39" t="s">
        <v>71</v>
      </c>
      <c r="K87" s="124" t="s">
        <v>72</v>
      </c>
      <c r="L87" s="125" t="s">
        <v>73</v>
      </c>
    </row>
    <row r="88" spans="1:12" ht="51" x14ac:dyDescent="0.2">
      <c r="A88" s="58"/>
      <c r="B88" s="60" t="s">
        <v>74</v>
      </c>
      <c r="C88" s="43" t="s">
        <v>75</v>
      </c>
      <c r="D88" s="61" t="s">
        <v>76</v>
      </c>
      <c r="E88" s="61" t="s">
        <v>77</v>
      </c>
      <c r="F88" s="61" t="s">
        <v>78</v>
      </c>
      <c r="H88" s="58">
        <v>2025</v>
      </c>
      <c r="I88" s="117">
        <v>140</v>
      </c>
      <c r="J88">
        <v>0</v>
      </c>
      <c r="L88" s="126"/>
    </row>
    <row r="89" spans="1:12" x14ac:dyDescent="0.2">
      <c r="A89" s="129" t="s">
        <v>79</v>
      </c>
      <c r="B89" s="66">
        <v>0.1</v>
      </c>
      <c r="C89" s="63">
        <f>$D$58*B89</f>
        <v>17.193305000632076</v>
      </c>
      <c r="D89" s="68">
        <f>(C89*$B$100*$B$101)</f>
        <v>1409.8510100518301</v>
      </c>
      <c r="E89">
        <f>1.21428571*D89</f>
        <v>1711.9619347350038</v>
      </c>
      <c r="F89" s="76">
        <f>E89*365</f>
        <v>624866.10617827636</v>
      </c>
      <c r="H89" s="58">
        <v>2026</v>
      </c>
      <c r="I89" s="117">
        <v>146.05138743999998</v>
      </c>
      <c r="L89" s="126"/>
    </row>
    <row r="90" spans="1:12" x14ac:dyDescent="0.2">
      <c r="A90" s="130"/>
      <c r="B90" s="67">
        <v>0.15</v>
      </c>
      <c r="C90" s="64">
        <f t="shared" ref="C90:C93" si="2">$D$58*B90</f>
        <v>25.789957500948116</v>
      </c>
      <c r="D90" s="69">
        <f t="shared" ref="D90:D98" si="3">(C90*$B$100*$B$101)</f>
        <v>2114.7765150777454</v>
      </c>
      <c r="E90">
        <f>1.21428571*D90</f>
        <v>2567.9429021025057</v>
      </c>
      <c r="F90" s="76">
        <f>E90*365</f>
        <v>937299.15926741459</v>
      </c>
      <c r="H90" s="58">
        <v>2027</v>
      </c>
      <c r="I90" s="117">
        <v>152.26252428700104</v>
      </c>
      <c r="L90" s="126"/>
    </row>
    <row r="91" spans="1:12" x14ac:dyDescent="0.2">
      <c r="A91" s="130"/>
      <c r="B91" s="67">
        <v>0.2</v>
      </c>
      <c r="C91" s="64">
        <f t="shared" si="2"/>
        <v>34.386610001264152</v>
      </c>
      <c r="D91" s="69">
        <f t="shared" si="3"/>
        <v>2819.7020201036603</v>
      </c>
      <c r="E91">
        <f>1.21428571*D91</f>
        <v>3423.9238694700075</v>
      </c>
      <c r="F91" s="76">
        <f t="shared" ref="F91:F92" si="4">E91*365</f>
        <v>1249732.2123565527</v>
      </c>
      <c r="H91" s="58">
        <v>2028</v>
      </c>
      <c r="I91" s="117">
        <v>158.66078893094667</v>
      </c>
      <c r="L91" s="126"/>
    </row>
    <row r="92" spans="1:12" x14ac:dyDescent="0.2">
      <c r="A92" s="130"/>
      <c r="B92" s="67">
        <v>0.25</v>
      </c>
      <c r="C92" s="64">
        <f t="shared" si="2"/>
        <v>42.983262501580192</v>
      </c>
      <c r="D92" s="69">
        <f t="shared" si="3"/>
        <v>3524.6275251295756</v>
      </c>
      <c r="E92">
        <f t="shared" ref="E92" si="5">1.21428571*D92</f>
        <v>4279.9048368375097</v>
      </c>
      <c r="F92" s="76">
        <f t="shared" si="4"/>
        <v>1562165.2654456911</v>
      </c>
      <c r="H92" s="58">
        <v>2029</v>
      </c>
      <c r="I92" s="117">
        <v>165.22985489382032</v>
      </c>
      <c r="L92" s="126"/>
    </row>
    <row r="93" spans="1:12" x14ac:dyDescent="0.2">
      <c r="A93" s="131"/>
      <c r="B93" s="77">
        <v>0.55000000000000004</v>
      </c>
      <c r="C93" s="78">
        <f t="shared" si="2"/>
        <v>94.563177503476425</v>
      </c>
      <c r="D93" s="79">
        <f t="shared" si="3"/>
        <v>7754.1805552850665</v>
      </c>
      <c r="E93" s="80">
        <f>1.21428571*D93</f>
        <v>9415.7906410425203</v>
      </c>
      <c r="F93" s="81">
        <f>E93*365</f>
        <v>3436763.5839805198</v>
      </c>
      <c r="H93" s="58">
        <v>2030</v>
      </c>
      <c r="I93" s="117">
        <v>171.93305000632077</v>
      </c>
      <c r="J93">
        <v>95</v>
      </c>
      <c r="L93" s="127">
        <f>I93-J93</f>
        <v>76.933050006320769</v>
      </c>
    </row>
    <row r="94" spans="1:12" x14ac:dyDescent="0.2">
      <c r="A94" s="132" t="s">
        <v>80</v>
      </c>
      <c r="B94" s="62">
        <v>0.35</v>
      </c>
      <c r="C94" s="64">
        <f>$D$68*B94</f>
        <v>86.61318304766661</v>
      </c>
      <c r="D94" s="65">
        <f t="shared" si="3"/>
        <v>7102.2810099086619</v>
      </c>
      <c r="E94">
        <f>1.21428571*D94</f>
        <v>8624.1983387364562</v>
      </c>
      <c r="F94" s="59">
        <f>365*E94</f>
        <v>3147832.3936388064</v>
      </c>
      <c r="H94" s="58">
        <v>2031</v>
      </c>
      <c r="I94" s="117">
        <v>178.76434604488608</v>
      </c>
      <c r="J94" s="117">
        <f t="shared" ref="J94:J102" si="6">$J$93+(H94-$H$93)*(($J$103-$J$93)/($H$103-$H$93))</f>
        <v>99.1</v>
      </c>
      <c r="K94" s="117">
        <f>J94-J93</f>
        <v>4.0999999999999943</v>
      </c>
      <c r="L94" s="127">
        <f>I94-J94</f>
        <v>79.664346044886088</v>
      </c>
    </row>
    <row r="95" spans="1:12" x14ac:dyDescent="0.2">
      <c r="A95" s="132"/>
      <c r="B95" s="62">
        <v>0.4</v>
      </c>
      <c r="C95" s="64">
        <f>$D$68*B95</f>
        <v>98.98649491161899</v>
      </c>
      <c r="D95" s="65">
        <f t="shared" si="3"/>
        <v>8116.8925827527573</v>
      </c>
      <c r="E95">
        <f>1.21428571*D95</f>
        <v>9856.2266728416653</v>
      </c>
      <c r="F95" s="59">
        <f t="shared" ref="F95:F97" si="7">365*E95</f>
        <v>3597522.7355872076</v>
      </c>
      <c r="H95" s="58">
        <v>2032</v>
      </c>
      <c r="I95" s="117">
        <v>185.75087034901699</v>
      </c>
      <c r="J95" s="117">
        <f t="shared" si="6"/>
        <v>103.2</v>
      </c>
      <c r="K95" s="117">
        <f>J95-J94</f>
        <v>4.1000000000000085</v>
      </c>
      <c r="L95" s="127">
        <f t="shared" ref="L95:L113" si="8">I95-J95</f>
        <v>82.550870349016989</v>
      </c>
    </row>
    <row r="96" spans="1:12" x14ac:dyDescent="0.2">
      <c r="A96" s="132"/>
      <c r="B96" s="62">
        <v>0.45</v>
      </c>
      <c r="C96" s="64">
        <f>$D$68*B96</f>
        <v>111.35980677557137</v>
      </c>
      <c r="D96" s="65">
        <f t="shared" si="3"/>
        <v>9131.5041555968528</v>
      </c>
      <c r="E96">
        <f t="shared" ref="E96:E98" si="9">1.21428571*D96</f>
        <v>11088.255006946874</v>
      </c>
      <c r="F96" s="59">
        <f t="shared" si="7"/>
        <v>4047213.0775356092</v>
      </c>
      <c r="H96" s="58">
        <v>2033</v>
      </c>
      <c r="I96" s="117">
        <v>192.93476668467818</v>
      </c>
      <c r="J96" s="117">
        <f t="shared" si="6"/>
        <v>107.3</v>
      </c>
      <c r="K96" s="117">
        <f t="shared" ref="K96:K113" si="10">J96-J95</f>
        <v>4.0999999999999943</v>
      </c>
      <c r="L96" s="127">
        <f t="shared" si="8"/>
        <v>85.634766684678183</v>
      </c>
    </row>
    <row r="97" spans="1:12" x14ac:dyDescent="0.2">
      <c r="A97" s="132"/>
      <c r="B97" s="62">
        <v>0.5</v>
      </c>
      <c r="C97" s="64">
        <f>$D$68*B97</f>
        <v>123.73311863952374</v>
      </c>
      <c r="D97" s="65">
        <f t="shared" si="3"/>
        <v>10146.115728440947</v>
      </c>
      <c r="E97">
        <f t="shared" si="9"/>
        <v>12320.283341052083</v>
      </c>
      <c r="F97" s="59">
        <f t="shared" si="7"/>
        <v>4496903.4194840109</v>
      </c>
      <c r="H97" s="58">
        <v>2034</v>
      </c>
      <c r="I97" s="117">
        <v>200.27716721725454</v>
      </c>
      <c r="J97" s="117">
        <f t="shared" si="6"/>
        <v>111.4</v>
      </c>
      <c r="K97" s="117">
        <f t="shared" si="10"/>
        <v>4.1000000000000085</v>
      </c>
      <c r="L97" s="127">
        <f t="shared" si="8"/>
        <v>88.877167217254538</v>
      </c>
    </row>
    <row r="98" spans="1:12" ht="17" thickBot="1" x14ac:dyDescent="0.25">
      <c r="A98" s="133"/>
      <c r="B98" s="82">
        <v>0.55000000000000004</v>
      </c>
      <c r="C98" s="78">
        <f>$D$68*B98</f>
        <v>136.10643050347613</v>
      </c>
      <c r="D98" s="83">
        <f t="shared" si="3"/>
        <v>11160.727301285044</v>
      </c>
      <c r="E98" s="84">
        <f t="shared" si="9"/>
        <v>13552.311675157292</v>
      </c>
      <c r="F98" s="85">
        <f>365*E98</f>
        <v>4946593.7614324121</v>
      </c>
      <c r="H98" s="58">
        <v>2035</v>
      </c>
      <c r="I98" s="117">
        <v>207.7751193697197</v>
      </c>
      <c r="J98" s="117">
        <f t="shared" si="6"/>
        <v>115.5</v>
      </c>
      <c r="K98" s="117">
        <f t="shared" si="10"/>
        <v>4.0999999999999943</v>
      </c>
      <c r="L98" s="127">
        <f t="shared" si="8"/>
        <v>92.275119369719704</v>
      </c>
    </row>
    <row r="99" spans="1:12" ht="17" thickBot="1" x14ac:dyDescent="0.25">
      <c r="H99" s="58">
        <v>2036</v>
      </c>
      <c r="I99" s="117">
        <v>215.42526774326225</v>
      </c>
      <c r="J99" s="117">
        <f t="shared" si="6"/>
        <v>119.6</v>
      </c>
      <c r="K99" s="117">
        <f t="shared" si="10"/>
        <v>4.0999999999999943</v>
      </c>
      <c r="L99" s="127">
        <f t="shared" si="8"/>
        <v>95.825267743262259</v>
      </c>
    </row>
    <row r="100" spans="1:12" x14ac:dyDescent="0.2">
      <c r="A100" s="51" t="s">
        <v>81</v>
      </c>
      <c r="B100" s="52">
        <v>164</v>
      </c>
      <c r="D100" s="44"/>
      <c r="H100" s="58">
        <v>2037</v>
      </c>
      <c r="I100" s="117">
        <v>223.22384683959754</v>
      </c>
      <c r="J100" s="117">
        <f t="shared" si="6"/>
        <v>123.69999999999999</v>
      </c>
      <c r="K100" s="117">
        <f t="shared" si="10"/>
        <v>4.0999999999999943</v>
      </c>
      <c r="L100" s="127">
        <f t="shared" si="8"/>
        <v>99.523846839597553</v>
      </c>
    </row>
    <row r="101" spans="1:12" ht="35" thickBot="1" x14ac:dyDescent="0.25">
      <c r="A101" s="41" t="s">
        <v>130</v>
      </c>
      <c r="B101" s="42">
        <v>0.5</v>
      </c>
      <c r="D101" s="21"/>
      <c r="H101" s="58">
        <v>2038</v>
      </c>
      <c r="I101" s="117">
        <v>231.16667477007124</v>
      </c>
      <c r="J101" s="117">
        <f t="shared" si="6"/>
        <v>127.8</v>
      </c>
      <c r="K101" s="117">
        <f t="shared" si="10"/>
        <v>4.1000000000000085</v>
      </c>
      <c r="L101" s="127">
        <f t="shared" si="8"/>
        <v>103.36667477007124</v>
      </c>
    </row>
    <row r="102" spans="1:12" x14ac:dyDescent="0.2">
      <c r="H102" s="58">
        <v>2039</v>
      </c>
      <c r="I102" s="117">
        <v>239.249148013064</v>
      </c>
      <c r="J102" s="117">
        <f t="shared" si="6"/>
        <v>131.9</v>
      </c>
      <c r="K102" s="117">
        <f t="shared" si="10"/>
        <v>4.1000000000000085</v>
      </c>
      <c r="L102" s="127">
        <f t="shared" si="8"/>
        <v>107.349148013064</v>
      </c>
    </row>
    <row r="103" spans="1:12" x14ac:dyDescent="0.2">
      <c r="A103" s="14" t="s">
        <v>46</v>
      </c>
      <c r="B103" t="s">
        <v>82</v>
      </c>
      <c r="H103" s="58">
        <v>2040</v>
      </c>
      <c r="I103" s="117">
        <v>247.46623727904748</v>
      </c>
      <c r="J103">
        <v>136</v>
      </c>
      <c r="K103" s="117">
        <f t="shared" si="10"/>
        <v>4.0999999999999943</v>
      </c>
      <c r="L103" s="127">
        <f t="shared" si="8"/>
        <v>111.46623727904748</v>
      </c>
    </row>
    <row r="104" spans="1:12" x14ac:dyDescent="0.2">
      <c r="H104" s="58">
        <v>2041</v>
      </c>
      <c r="I104" s="117">
        <v>255.81248429263906</v>
      </c>
      <c r="J104" s="117">
        <f t="shared" ref="J104:J112" si="11">$J$103+(H104-$H$103)*(($J$113-$J$103)/($H$113-$H$103))</f>
        <v>156</v>
      </c>
      <c r="K104" s="117">
        <f t="shared" si="10"/>
        <v>20</v>
      </c>
      <c r="L104" s="127">
        <f t="shared" si="8"/>
        <v>99.812484292639056</v>
      </c>
    </row>
    <row r="105" spans="1:12" x14ac:dyDescent="0.2">
      <c r="H105" s="58">
        <v>2042</v>
      </c>
      <c r="I105" s="117">
        <v>264.28200076634505</v>
      </c>
      <c r="J105" s="117">
        <f t="shared" si="11"/>
        <v>176</v>
      </c>
      <c r="K105" s="117">
        <f t="shared" si="10"/>
        <v>20</v>
      </c>
      <c r="L105" s="127">
        <f t="shared" si="8"/>
        <v>88.28200076634505</v>
      </c>
    </row>
    <row r="106" spans="1:12" x14ac:dyDescent="0.2">
      <c r="H106" s="58">
        <v>2043</v>
      </c>
      <c r="I106" s="117">
        <v>272.86846720774145</v>
      </c>
      <c r="J106" s="117">
        <f t="shared" si="11"/>
        <v>196</v>
      </c>
      <c r="K106" s="117">
        <f t="shared" si="10"/>
        <v>20</v>
      </c>
      <c r="L106" s="127">
        <f t="shared" si="8"/>
        <v>76.868467207741446</v>
      </c>
    </row>
    <row r="107" spans="1:12" x14ac:dyDescent="0.2">
      <c r="H107" s="58">
        <v>2044</v>
      </c>
      <c r="I107" s="117">
        <v>281.56513398355327</v>
      </c>
      <c r="J107" s="117">
        <f t="shared" si="11"/>
        <v>216</v>
      </c>
      <c r="K107" s="117">
        <f t="shared" si="10"/>
        <v>20</v>
      </c>
      <c r="L107" s="127">
        <f t="shared" si="8"/>
        <v>65.565133983553267</v>
      </c>
    </row>
    <row r="108" spans="1:12" x14ac:dyDescent="0.2">
      <c r="B108" t="s">
        <v>83</v>
      </c>
      <c r="C108" t="s">
        <v>84</v>
      </c>
      <c r="H108" s="58">
        <v>2045</v>
      </c>
      <c r="I108" s="117">
        <v>290.36482351126506</v>
      </c>
      <c r="J108" s="117">
        <f t="shared" si="11"/>
        <v>236</v>
      </c>
      <c r="K108" s="117">
        <f t="shared" si="10"/>
        <v>20</v>
      </c>
      <c r="L108" s="127">
        <f t="shared" si="8"/>
        <v>54.364823511265058</v>
      </c>
    </row>
    <row r="109" spans="1:12" x14ac:dyDescent="0.2">
      <c r="A109" t="s">
        <v>85</v>
      </c>
      <c r="B109">
        <v>288000</v>
      </c>
      <c r="C109" s="122">
        <f>B109+30977.85</f>
        <v>318977.84999999998</v>
      </c>
      <c r="H109" s="58">
        <v>2046</v>
      </c>
      <c r="I109" s="117">
        <v>299.25993384810397</v>
      </c>
      <c r="J109" s="117">
        <f t="shared" si="11"/>
        <v>256</v>
      </c>
      <c r="K109" s="117">
        <f t="shared" si="10"/>
        <v>20</v>
      </c>
      <c r="L109" s="127">
        <f t="shared" si="8"/>
        <v>43.259933848103969</v>
      </c>
    </row>
    <row r="110" spans="1:12" x14ac:dyDescent="0.2">
      <c r="A110" s="121" t="s">
        <v>86</v>
      </c>
      <c r="B110" s="23" t="s">
        <v>87</v>
      </c>
      <c r="C110" s="23" t="s">
        <v>88</v>
      </c>
      <c r="H110" s="58">
        <v>2047</v>
      </c>
      <c r="I110" s="117">
        <v>308.24244371120551</v>
      </c>
      <c r="J110" s="117">
        <f t="shared" si="11"/>
        <v>276</v>
      </c>
      <c r="K110" s="117">
        <f t="shared" si="10"/>
        <v>20</v>
      </c>
      <c r="L110" s="127">
        <f t="shared" si="8"/>
        <v>32.24244371120551</v>
      </c>
    </row>
    <row r="111" spans="1:12" x14ac:dyDescent="0.2">
      <c r="B111" t="s">
        <v>89</v>
      </c>
      <c r="C111" t="s">
        <v>90</v>
      </c>
      <c r="H111" s="58">
        <v>2048</v>
      </c>
      <c r="I111" s="117">
        <v>317.30391895771561</v>
      </c>
      <c r="J111" s="117">
        <f t="shared" si="11"/>
        <v>296</v>
      </c>
      <c r="K111" s="117">
        <f t="shared" si="10"/>
        <v>20</v>
      </c>
      <c r="L111" s="127">
        <f t="shared" si="8"/>
        <v>21.303918957715609</v>
      </c>
    </row>
    <row r="112" spans="1:12" x14ac:dyDescent="0.2">
      <c r="H112" s="58">
        <v>2049</v>
      </c>
      <c r="I112" s="117">
        <v>326.43552054821419</v>
      </c>
      <c r="J112" s="117">
        <f t="shared" si="11"/>
        <v>316</v>
      </c>
      <c r="K112" s="117">
        <f t="shared" si="10"/>
        <v>20</v>
      </c>
      <c r="L112" s="127">
        <f t="shared" si="8"/>
        <v>10.435520548214186</v>
      </c>
    </row>
    <row r="113" spans="8:12" ht="17" thickBot="1" x14ac:dyDescent="0.25">
      <c r="H113" s="119">
        <v>2050</v>
      </c>
      <c r="I113" s="120">
        <v>335.62801401118224</v>
      </c>
      <c r="J113" s="114">
        <v>336</v>
      </c>
      <c r="K113" s="120">
        <f t="shared" si="10"/>
        <v>20</v>
      </c>
      <c r="L113" s="128">
        <f t="shared" si="8"/>
        <v>-0.37198598881775524</v>
      </c>
    </row>
  </sheetData>
  <mergeCells count="3">
    <mergeCell ref="A89:A93"/>
    <mergeCell ref="A94:A98"/>
    <mergeCell ref="A87:F87"/>
  </mergeCells>
  <phoneticPr fontId="17" type="noConversion"/>
  <hyperlinks>
    <hyperlink ref="P33" r:id="rId1" xr:uid="{F653EAB4-74F5-419E-9B57-AD0B9357B996}"/>
    <hyperlink ref="P34" r:id="rId2" xr:uid="{BE27A80C-000A-4534-AE96-AC0B5B695228}"/>
    <hyperlink ref="P35" r:id="rId3" xr:uid="{EECEE714-2242-465E-B64C-2BD4D3729F3A}"/>
    <hyperlink ref="P37" r:id="rId4" xr:uid="{9AF1EAAA-3890-4A68-ADE0-CE980E4C3571}"/>
    <hyperlink ref="P41" r:id="rId5" xr:uid="{E30FEC23-03DD-47AD-B6CD-E7F785DBCFA1}"/>
    <hyperlink ref="P38" r:id="rId6" xr:uid="{78A34D11-F16E-4B83-AD91-3677848DE75E}"/>
    <hyperlink ref="B110" r:id="rId7" xr:uid="{C5BC3FC9-CA82-7247-89FD-E006EB77EEF2}"/>
    <hyperlink ref="C110" r:id="rId8" xr:uid="{CFB97556-0541-8E41-9DA5-ABCCEB628052}"/>
  </hyperlinks>
  <pageMargins left="0.7" right="0.7" top="0.75" bottom="0.75" header="0.3" footer="0.3"/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2E4B-42A0-CF46-A6AC-FEF683E024F1}">
  <dimension ref="A2:O37"/>
  <sheetViews>
    <sheetView tabSelected="1" topLeftCell="B1" zoomScale="132" workbookViewId="0">
      <selection activeCell="H7" sqref="H7"/>
    </sheetView>
  </sheetViews>
  <sheetFormatPr baseColWidth="10" defaultColWidth="11" defaultRowHeight="16" x14ac:dyDescent="0.2"/>
  <sheetData>
    <row r="2" spans="1:15" ht="51" x14ac:dyDescent="0.2">
      <c r="A2" s="21" t="s">
        <v>91</v>
      </c>
      <c r="B2" s="21" t="s">
        <v>92</v>
      </c>
      <c r="E2" s="137" t="s">
        <v>93</v>
      </c>
      <c r="F2" s="138"/>
      <c r="G2" s="138"/>
      <c r="H2" s="139" t="s">
        <v>94</v>
      </c>
      <c r="I2" s="139"/>
      <c r="J2" s="139"/>
      <c r="K2" s="139" t="s">
        <v>95</v>
      </c>
      <c r="L2" s="139"/>
    </row>
    <row r="3" spans="1:15" ht="48" x14ac:dyDescent="0.2">
      <c r="A3">
        <v>500</v>
      </c>
      <c r="B3">
        <f>0.28*A3</f>
        <v>140</v>
      </c>
      <c r="E3" s="45" t="s">
        <v>64</v>
      </c>
      <c r="F3" s="45" t="s">
        <v>65</v>
      </c>
      <c r="G3" s="46" t="s">
        <v>66</v>
      </c>
      <c r="H3" s="47" t="s">
        <v>67</v>
      </c>
      <c r="I3" s="47" t="s">
        <v>96</v>
      </c>
      <c r="J3" s="47" t="s">
        <v>97</v>
      </c>
      <c r="K3" s="47" t="s">
        <v>98</v>
      </c>
      <c r="L3" s="47" t="s">
        <v>97</v>
      </c>
    </row>
    <row r="4" spans="1:15" x14ac:dyDescent="0.2">
      <c r="E4" s="48">
        <v>2023</v>
      </c>
      <c r="F4" s="48">
        <v>4.4895283000000001E-2</v>
      </c>
      <c r="G4" s="49">
        <v>510900</v>
      </c>
      <c r="H4" s="39"/>
      <c r="I4" s="39"/>
      <c r="J4" s="39"/>
      <c r="K4" s="39"/>
      <c r="L4" s="39"/>
      <c r="N4" t="s">
        <v>99</v>
      </c>
      <c r="O4">
        <f>((336-34)/20)</f>
        <v>15.1</v>
      </c>
    </row>
    <row r="5" spans="1:15" x14ac:dyDescent="0.2">
      <c r="E5" s="48">
        <v>2024</v>
      </c>
      <c r="F5" s="48">
        <v>4.4088363999999998E-2</v>
      </c>
      <c r="G5" s="49">
        <v>533837</v>
      </c>
      <c r="H5" s="39"/>
      <c r="I5" s="39"/>
      <c r="J5" s="39"/>
      <c r="K5" s="39"/>
      <c r="L5" s="39"/>
    </row>
    <row r="6" spans="1:15" x14ac:dyDescent="0.2">
      <c r="E6" s="48">
        <v>2025</v>
      </c>
      <c r="F6" s="48">
        <v>4.3224195999999999E-2</v>
      </c>
      <c r="G6" s="49">
        <v>557373</v>
      </c>
      <c r="H6" s="39">
        <f>B3</f>
        <v>140</v>
      </c>
      <c r="I6" s="39">
        <f>H6</f>
        <v>140</v>
      </c>
      <c r="J6" s="39"/>
      <c r="K6" s="39"/>
      <c r="L6" s="39"/>
    </row>
    <row r="7" spans="1:15" x14ac:dyDescent="0.2">
      <c r="E7" s="48">
        <v>2026</v>
      </c>
      <c r="F7" s="48">
        <v>4.3224195999999999E-2</v>
      </c>
      <c r="G7" s="49">
        <v>581465</v>
      </c>
      <c r="H7" s="40">
        <f>H6*(1+F7)</f>
        <v>146.05138743999998</v>
      </c>
      <c r="I7" s="39">
        <f t="shared" ref="I7:I10" si="0">H7</f>
        <v>146.05138743999998</v>
      </c>
      <c r="J7" s="39"/>
      <c r="K7" s="40"/>
      <c r="L7" s="39"/>
    </row>
    <row r="8" spans="1:15" x14ac:dyDescent="0.2">
      <c r="E8" s="48">
        <v>2027</v>
      </c>
      <c r="F8" s="48">
        <v>4.2527065000000003E-2</v>
      </c>
      <c r="G8" s="49">
        <v>606193</v>
      </c>
      <c r="H8" s="40">
        <f>H7*(1+F8)</f>
        <v>152.26252428700104</v>
      </c>
      <c r="I8" s="39">
        <f t="shared" si="0"/>
        <v>152.26252428700104</v>
      </c>
      <c r="J8" s="39"/>
      <c r="K8" s="40"/>
      <c r="L8" s="39"/>
    </row>
    <row r="9" spans="1:15" x14ac:dyDescent="0.2">
      <c r="E9" s="48">
        <v>2028</v>
      </c>
      <c r="F9" s="48">
        <v>4.2021269999999999E-2</v>
      </c>
      <c r="G9" s="49">
        <v>631666</v>
      </c>
      <c r="H9" s="40">
        <f t="shared" ref="H9:H21" si="1">H8*(1+F9)</f>
        <v>158.66078893094667</v>
      </c>
      <c r="I9" s="39">
        <f t="shared" si="0"/>
        <v>158.66078893094667</v>
      </c>
      <c r="J9" s="39"/>
      <c r="K9" s="40"/>
      <c r="L9" s="39"/>
    </row>
    <row r="10" spans="1:15" x14ac:dyDescent="0.2">
      <c r="E10" s="48">
        <v>2029</v>
      </c>
      <c r="F10" s="48">
        <v>4.1403210000000003E-2</v>
      </c>
      <c r="G10" s="49">
        <v>657819</v>
      </c>
      <c r="H10" s="40">
        <f t="shared" si="1"/>
        <v>165.22985489382032</v>
      </c>
      <c r="I10" s="39">
        <f t="shared" si="0"/>
        <v>165.22985489382032</v>
      </c>
      <c r="J10" s="39"/>
      <c r="K10" s="40"/>
      <c r="L10" s="39"/>
    </row>
    <row r="11" spans="1:15" x14ac:dyDescent="0.2">
      <c r="E11" s="54">
        <v>2030</v>
      </c>
      <c r="F11" s="54">
        <v>4.056891E-2</v>
      </c>
      <c r="G11" s="57">
        <v>684506</v>
      </c>
      <c r="H11" s="56">
        <f>H10*(1+F11)</f>
        <v>171.93305000632077</v>
      </c>
      <c r="I11" s="56">
        <f t="shared" ref="I11:I31" si="2">H11-J11</f>
        <v>137.54644000505661</v>
      </c>
      <c r="J11" s="56">
        <f>$H$11*0.2</f>
        <v>34.386610001264152</v>
      </c>
      <c r="K11" s="56">
        <f>H11-L11</f>
        <v>137.93305000632077</v>
      </c>
      <c r="L11" s="75">
        <v>34</v>
      </c>
    </row>
    <row r="12" spans="1:15" x14ac:dyDescent="0.2">
      <c r="E12" s="48">
        <v>2031</v>
      </c>
      <c r="F12" s="48">
        <v>3.9732302999999997E-2</v>
      </c>
      <c r="G12" s="49">
        <v>711703</v>
      </c>
      <c r="H12" s="40">
        <f t="shared" si="1"/>
        <v>178.76434604488608</v>
      </c>
      <c r="I12" s="40">
        <f t="shared" si="2"/>
        <v>137.54644000505661</v>
      </c>
      <c r="J12" s="40">
        <f t="shared" ref="J12:J31" si="3">J11+(H12-H11)</f>
        <v>41.217906039829465</v>
      </c>
      <c r="K12" s="40">
        <f t="shared" ref="K12:K29" si="4">H12-L12</f>
        <v>129.66434604488754</v>
      </c>
      <c r="L12" s="40">
        <f t="shared" ref="L12:L31" si="5">$O$4*$E12+(34-2030*$O$4)</f>
        <v>49.099999999998545</v>
      </c>
    </row>
    <row r="13" spans="1:15" x14ac:dyDescent="0.2">
      <c r="E13" s="48">
        <v>2032</v>
      </c>
      <c r="F13" s="48">
        <v>3.9082314E-2</v>
      </c>
      <c r="G13" s="49">
        <v>739518</v>
      </c>
      <c r="H13" s="40">
        <f t="shared" si="1"/>
        <v>185.75087034901699</v>
      </c>
      <c r="I13" s="40">
        <f t="shared" si="2"/>
        <v>137.54644000505661</v>
      </c>
      <c r="J13" s="40">
        <f t="shared" si="3"/>
        <v>48.204430343960375</v>
      </c>
      <c r="K13" s="40">
        <f t="shared" si="4"/>
        <v>121.55087034901626</v>
      </c>
      <c r="L13" s="40">
        <f t="shared" si="5"/>
        <v>64.200000000000728</v>
      </c>
    </row>
    <row r="14" spans="1:15" x14ac:dyDescent="0.2">
      <c r="E14" s="48">
        <v>2033</v>
      </c>
      <c r="F14" s="48">
        <v>3.8674899999999998E-2</v>
      </c>
      <c r="G14" s="50">
        <v>768118.78489999997</v>
      </c>
      <c r="H14" s="40">
        <f t="shared" si="1"/>
        <v>192.93476668467818</v>
      </c>
      <c r="I14" s="40">
        <f t="shared" si="2"/>
        <v>137.54644000505661</v>
      </c>
      <c r="J14" s="40">
        <f t="shared" si="3"/>
        <v>55.388326679621564</v>
      </c>
      <c r="K14" s="40">
        <f t="shared" si="4"/>
        <v>113.63476668467891</v>
      </c>
      <c r="L14" s="40">
        <f t="shared" si="5"/>
        <v>79.299999999999272</v>
      </c>
    </row>
    <row r="15" spans="1:15" x14ac:dyDescent="0.2">
      <c r="E15" s="48">
        <v>2034</v>
      </c>
      <c r="F15" s="48">
        <v>3.8056389000000003E-2</v>
      </c>
      <c r="G15" s="50">
        <v>797350.61230000004</v>
      </c>
      <c r="H15" s="40">
        <f t="shared" si="1"/>
        <v>200.27716721725454</v>
      </c>
      <c r="I15" s="40">
        <f t="shared" si="2"/>
        <v>137.54644000505661</v>
      </c>
      <c r="J15" s="40">
        <f t="shared" si="3"/>
        <v>62.730727212197927</v>
      </c>
      <c r="K15" s="40">
        <f t="shared" si="4"/>
        <v>105.87716721725673</v>
      </c>
      <c r="L15" s="40">
        <f t="shared" si="5"/>
        <v>94.399999999997817</v>
      </c>
    </row>
    <row r="16" spans="1:15" x14ac:dyDescent="0.2">
      <c r="E16" s="48">
        <v>2035</v>
      </c>
      <c r="F16" s="48">
        <v>3.7437878000000001E-2</v>
      </c>
      <c r="G16" s="50">
        <v>827201.72719999996</v>
      </c>
      <c r="H16" s="40">
        <f t="shared" si="1"/>
        <v>207.7751193697197</v>
      </c>
      <c r="I16" s="40">
        <f t="shared" si="2"/>
        <v>137.54644000505661</v>
      </c>
      <c r="J16" s="40">
        <f t="shared" si="3"/>
        <v>70.228679364663094</v>
      </c>
      <c r="K16" s="40">
        <f t="shared" si="4"/>
        <v>98.275119369719704</v>
      </c>
      <c r="L16" s="40">
        <f t="shared" si="5"/>
        <v>109.5</v>
      </c>
    </row>
    <row r="17" spans="5:14" x14ac:dyDescent="0.2">
      <c r="E17" s="48">
        <v>2036</v>
      </c>
      <c r="F17" s="48">
        <v>3.6819366999999999E-2</v>
      </c>
      <c r="G17" s="50">
        <v>857658.77119999996</v>
      </c>
      <c r="H17" s="40">
        <f t="shared" si="1"/>
        <v>215.42526774326225</v>
      </c>
      <c r="I17" s="40">
        <f t="shared" si="2"/>
        <v>137.54644000505661</v>
      </c>
      <c r="J17" s="40">
        <f t="shared" si="3"/>
        <v>77.878827738205644</v>
      </c>
      <c r="K17" s="40">
        <f t="shared" si="4"/>
        <v>90.825267743263709</v>
      </c>
      <c r="L17" s="40">
        <f t="shared" si="5"/>
        <v>124.59999999999854</v>
      </c>
    </row>
    <row r="18" spans="5:14" x14ac:dyDescent="0.2">
      <c r="E18" s="48">
        <v>2037</v>
      </c>
      <c r="F18" s="48">
        <v>3.6200855999999997E-2</v>
      </c>
      <c r="G18" s="50">
        <v>888706.75269999995</v>
      </c>
      <c r="H18" s="40">
        <f t="shared" si="1"/>
        <v>223.22384683959754</v>
      </c>
      <c r="I18" s="40">
        <f t="shared" si="2"/>
        <v>137.54644000505661</v>
      </c>
      <c r="J18" s="40">
        <f t="shared" si="3"/>
        <v>85.677406834540932</v>
      </c>
      <c r="K18" s="40">
        <f t="shared" si="4"/>
        <v>83.523846839596814</v>
      </c>
      <c r="L18" s="40">
        <f t="shared" si="5"/>
        <v>139.70000000000073</v>
      </c>
    </row>
    <row r="19" spans="5:14" x14ac:dyDescent="0.2">
      <c r="E19" s="48">
        <v>2038</v>
      </c>
      <c r="F19" s="48">
        <v>3.5582345000000001E-2</v>
      </c>
      <c r="G19" s="50">
        <v>920329.02280000004</v>
      </c>
      <c r="H19" s="40">
        <f t="shared" si="1"/>
        <v>231.16667477007124</v>
      </c>
      <c r="I19" s="40">
        <f t="shared" si="2"/>
        <v>137.54644000505661</v>
      </c>
      <c r="J19" s="40">
        <f t="shared" si="3"/>
        <v>93.620234765014629</v>
      </c>
      <c r="K19" s="40">
        <f t="shared" si="4"/>
        <v>76.366674770071967</v>
      </c>
      <c r="L19" s="40">
        <f t="shared" si="5"/>
        <v>154.79999999999927</v>
      </c>
    </row>
    <row r="20" spans="5:14" x14ac:dyDescent="0.2">
      <c r="E20" s="48">
        <v>2039</v>
      </c>
      <c r="F20" s="48">
        <v>3.4963833999999999E-2</v>
      </c>
      <c r="G20" s="50">
        <v>952507.2537</v>
      </c>
      <c r="H20" s="40">
        <f t="shared" si="1"/>
        <v>239.249148013064</v>
      </c>
      <c r="I20" s="40">
        <f t="shared" si="2"/>
        <v>137.54644000505661</v>
      </c>
      <c r="J20" s="40">
        <f t="shared" si="3"/>
        <v>101.70270800800739</v>
      </c>
      <c r="K20" s="40">
        <f t="shared" si="4"/>
        <v>69.349148013066184</v>
      </c>
      <c r="L20" s="40">
        <f t="shared" si="5"/>
        <v>169.89999999999782</v>
      </c>
    </row>
    <row r="21" spans="5:14" x14ac:dyDescent="0.2">
      <c r="E21" s="54">
        <v>2040</v>
      </c>
      <c r="F21" s="54">
        <v>3.4345322999999997E-2</v>
      </c>
      <c r="G21" s="55">
        <v>985221.42260000005</v>
      </c>
      <c r="H21" s="56">
        <f t="shared" si="1"/>
        <v>247.46623727904748</v>
      </c>
      <c r="I21" s="56">
        <f t="shared" si="2"/>
        <v>137.54644000505661</v>
      </c>
      <c r="J21" s="56">
        <f t="shared" si="3"/>
        <v>109.91979727399087</v>
      </c>
      <c r="K21" s="56">
        <f t="shared" si="4"/>
        <v>62.466237279047476</v>
      </c>
      <c r="L21" s="56">
        <f t="shared" si="5"/>
        <v>185</v>
      </c>
      <c r="N21" s="117">
        <f>H21-J21</f>
        <v>137.54644000505661</v>
      </c>
    </row>
    <row r="22" spans="5:14" x14ac:dyDescent="0.2">
      <c r="E22" s="48">
        <v>2041</v>
      </c>
      <c r="F22" s="48">
        <v>3.3726811000000002E-2</v>
      </c>
      <c r="G22" s="50">
        <v>1018449.8</v>
      </c>
      <c r="H22" s="40">
        <f t="shared" ref="H22:H31" si="6">H21*(1+F22)</f>
        <v>255.81248429263906</v>
      </c>
      <c r="I22" s="40">
        <f t="shared" si="2"/>
        <v>137.54644000505661</v>
      </c>
      <c r="J22" s="40">
        <f t="shared" si="3"/>
        <v>118.26604428758245</v>
      </c>
      <c r="K22" s="40">
        <f t="shared" si="4"/>
        <v>55.712484292640511</v>
      </c>
      <c r="L22" s="40">
        <f t="shared" si="5"/>
        <v>200.09999999999854</v>
      </c>
    </row>
    <row r="23" spans="5:14" x14ac:dyDescent="0.2">
      <c r="E23" s="48">
        <v>2042</v>
      </c>
      <c r="F23" s="48">
        <v>3.31083E-2</v>
      </c>
      <c r="G23" s="50">
        <v>1052168.942</v>
      </c>
      <c r="H23" s="40">
        <f t="shared" si="6"/>
        <v>264.28200076634505</v>
      </c>
      <c r="I23" s="40">
        <f t="shared" si="2"/>
        <v>137.54644000505661</v>
      </c>
      <c r="J23" s="40">
        <f t="shared" si="3"/>
        <v>126.73556076128844</v>
      </c>
      <c r="K23" s="40">
        <f t="shared" si="4"/>
        <v>49.082000766344322</v>
      </c>
      <c r="L23" s="40">
        <f t="shared" si="5"/>
        <v>215.20000000000073</v>
      </c>
    </row>
    <row r="24" spans="5:14" x14ac:dyDescent="0.2">
      <c r="E24" s="48">
        <v>2043</v>
      </c>
      <c r="F24" s="48">
        <v>3.2489788999999998E-2</v>
      </c>
      <c r="G24" s="50">
        <v>1086353.689</v>
      </c>
      <c r="H24" s="40">
        <f t="shared" si="6"/>
        <v>272.86846720774145</v>
      </c>
      <c r="I24" s="40">
        <f t="shared" si="2"/>
        <v>137.54644000505661</v>
      </c>
      <c r="J24" s="40">
        <f t="shared" si="3"/>
        <v>135.32202720268484</v>
      </c>
      <c r="K24" s="40">
        <f t="shared" si="4"/>
        <v>42.568467207742174</v>
      </c>
      <c r="L24" s="40">
        <f t="shared" si="5"/>
        <v>230.29999999999927</v>
      </c>
    </row>
    <row r="25" spans="5:14" x14ac:dyDescent="0.2">
      <c r="E25" s="48">
        <v>2044</v>
      </c>
      <c r="F25" s="48">
        <v>3.1871278000000003E-2</v>
      </c>
      <c r="G25" s="50">
        <v>1120977.169</v>
      </c>
      <c r="H25" s="40">
        <f t="shared" si="6"/>
        <v>281.56513398355327</v>
      </c>
      <c r="I25" s="40">
        <f t="shared" si="2"/>
        <v>137.54644000505661</v>
      </c>
      <c r="J25" s="40">
        <f t="shared" si="3"/>
        <v>144.01869397849666</v>
      </c>
      <c r="K25" s="40">
        <f t="shared" si="4"/>
        <v>36.16513398355545</v>
      </c>
      <c r="L25" s="40">
        <f t="shared" si="5"/>
        <v>245.39999999999782</v>
      </c>
    </row>
    <row r="26" spans="5:14" x14ac:dyDescent="0.2">
      <c r="E26" s="48">
        <v>2045</v>
      </c>
      <c r="F26" s="48">
        <v>3.1252767000000001E-2</v>
      </c>
      <c r="G26" s="50">
        <v>1156010.808</v>
      </c>
      <c r="H26" s="40">
        <f t="shared" si="6"/>
        <v>290.36482351126506</v>
      </c>
      <c r="I26" s="40">
        <f t="shared" si="2"/>
        <v>137.54644000505661</v>
      </c>
      <c r="J26" s="40">
        <f t="shared" si="3"/>
        <v>152.81838350620845</v>
      </c>
      <c r="K26" s="40">
        <f t="shared" si="4"/>
        <v>29.864823511265058</v>
      </c>
      <c r="L26" s="40">
        <f t="shared" si="5"/>
        <v>260.5</v>
      </c>
    </row>
    <row r="27" spans="5:14" x14ac:dyDescent="0.2">
      <c r="E27" s="48">
        <v>2046</v>
      </c>
      <c r="F27" s="48">
        <v>3.0634255999999999E-2</v>
      </c>
      <c r="G27" s="50">
        <v>1191424.3389999999</v>
      </c>
      <c r="H27" s="40">
        <f t="shared" si="6"/>
        <v>299.25993384810397</v>
      </c>
      <c r="I27" s="40">
        <f t="shared" si="2"/>
        <v>137.54644000505661</v>
      </c>
      <c r="J27" s="40">
        <f t="shared" si="3"/>
        <v>161.71349384304736</v>
      </c>
      <c r="K27" s="40">
        <f t="shared" si="4"/>
        <v>23.659933848105425</v>
      </c>
      <c r="L27" s="40">
        <f t="shared" si="5"/>
        <v>275.59999999999854</v>
      </c>
    </row>
    <row r="28" spans="5:14" x14ac:dyDescent="0.2">
      <c r="E28" s="48">
        <v>2047</v>
      </c>
      <c r="F28" s="48">
        <v>3.0015745E-2</v>
      </c>
      <c r="G28" s="50">
        <v>1227185.828</v>
      </c>
      <c r="H28" s="40">
        <f t="shared" si="6"/>
        <v>308.24244371120551</v>
      </c>
      <c r="I28" s="40">
        <f t="shared" si="2"/>
        <v>137.54644000505661</v>
      </c>
      <c r="J28" s="40">
        <f t="shared" si="3"/>
        <v>170.6960037061489</v>
      </c>
      <c r="K28" s="40">
        <f t="shared" si="4"/>
        <v>17.542443711204783</v>
      </c>
      <c r="L28" s="40">
        <f t="shared" si="5"/>
        <v>290.70000000000073</v>
      </c>
    </row>
    <row r="29" spans="5:14" x14ac:dyDescent="0.2">
      <c r="E29" s="48">
        <v>2048</v>
      </c>
      <c r="F29" s="48">
        <v>2.9397234000000001E-2</v>
      </c>
      <c r="G29" s="50">
        <v>1263261.6969999999</v>
      </c>
      <c r="H29" s="40">
        <f t="shared" si="6"/>
        <v>317.30391895771561</v>
      </c>
      <c r="I29" s="40">
        <f t="shared" si="2"/>
        <v>137.54644000505661</v>
      </c>
      <c r="J29" s="40">
        <f t="shared" si="3"/>
        <v>179.757478952659</v>
      </c>
      <c r="K29" s="40">
        <f t="shared" si="4"/>
        <v>11.503918957716337</v>
      </c>
      <c r="L29" s="40">
        <f t="shared" si="5"/>
        <v>305.79999999999927</v>
      </c>
    </row>
    <row r="30" spans="5:14" x14ac:dyDescent="0.2">
      <c r="E30" s="48">
        <v>2049</v>
      </c>
      <c r="F30" s="48">
        <v>2.8778722999999999E-2</v>
      </c>
      <c r="G30" s="50">
        <v>1299616.7549999999</v>
      </c>
      <c r="H30" s="40">
        <f t="shared" si="6"/>
        <v>326.43552054821419</v>
      </c>
      <c r="I30" s="40">
        <f t="shared" si="2"/>
        <v>137.54644000505661</v>
      </c>
      <c r="J30" s="40">
        <f t="shared" si="3"/>
        <v>188.88908054315758</v>
      </c>
      <c r="K30" s="40">
        <f>H30-L30</f>
        <v>5.5355205482163683</v>
      </c>
      <c r="L30" s="40">
        <f t="shared" si="5"/>
        <v>320.89999999999782</v>
      </c>
    </row>
    <row r="31" spans="5:14" x14ac:dyDescent="0.2">
      <c r="E31" s="48">
        <v>2050</v>
      </c>
      <c r="F31" s="48">
        <v>2.8160212E-2</v>
      </c>
      <c r="G31" s="50">
        <v>1336214.237</v>
      </c>
      <c r="H31" s="40">
        <f t="shared" si="6"/>
        <v>335.62801401118224</v>
      </c>
      <c r="I31" s="40">
        <f t="shared" si="2"/>
        <v>137.54644000505661</v>
      </c>
      <c r="J31" s="40">
        <f t="shared" si="3"/>
        <v>198.08157400612563</v>
      </c>
      <c r="K31" s="40">
        <f>H31-L31</f>
        <v>-0.37198598881775524</v>
      </c>
      <c r="L31" s="40">
        <f t="shared" si="5"/>
        <v>336</v>
      </c>
    </row>
    <row r="34" spans="6:9" ht="35" thickBot="1" x14ac:dyDescent="0.25">
      <c r="F34" s="1"/>
      <c r="G34" s="73" t="s">
        <v>100</v>
      </c>
      <c r="H34" s="74" t="s">
        <v>101</v>
      </c>
      <c r="I34" s="123"/>
    </row>
    <row r="35" spans="6:9" ht="51" x14ac:dyDescent="0.2">
      <c r="F35" s="70" t="s">
        <v>102</v>
      </c>
      <c r="G35" s="39">
        <f>164*(280/300)*365</f>
        <v>55869.333333333328</v>
      </c>
      <c r="H35" s="39">
        <f>164*(280/300)*365</f>
        <v>55869.333333333328</v>
      </c>
    </row>
    <row r="36" spans="6:9" ht="51" x14ac:dyDescent="0.2">
      <c r="F36" s="71" t="s">
        <v>103</v>
      </c>
      <c r="G36" s="38">
        <f>G35*J11</f>
        <v>1921156.9763639604</v>
      </c>
      <c r="H36" s="38">
        <f>H35*L11</f>
        <v>1899557.3333333333</v>
      </c>
      <c r="I36" s="1"/>
    </row>
    <row r="37" spans="6:9" ht="52" thickBot="1" x14ac:dyDescent="0.25">
      <c r="F37" s="72" t="s">
        <v>104</v>
      </c>
      <c r="G37" s="38">
        <f>J21*G35</f>
        <v>6141145.7938330201</v>
      </c>
      <c r="H37" s="38">
        <f>L21*H35</f>
        <v>10335826.666666666</v>
      </c>
      <c r="I37" s="1"/>
    </row>
  </sheetData>
  <mergeCells count="3">
    <mergeCell ref="E2:G2"/>
    <mergeCell ref="H2:J2"/>
    <mergeCell ref="K2:L2"/>
  </mergeCells>
  <phoneticPr fontId="1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01EC-89A2-934E-9487-92D81DCE2830}">
  <dimension ref="A3:J37"/>
  <sheetViews>
    <sheetView zoomScale="116" workbookViewId="0">
      <selection activeCell="F24" sqref="F24"/>
    </sheetView>
  </sheetViews>
  <sheetFormatPr baseColWidth="10" defaultColWidth="11" defaultRowHeight="16" x14ac:dyDescent="0.2"/>
  <cols>
    <col min="1" max="1" width="23.1640625" bestFit="1" customWidth="1"/>
    <col min="2" max="2" width="14.1640625" customWidth="1"/>
    <col min="3" max="3" width="16" customWidth="1"/>
    <col min="5" max="5" width="19.5" customWidth="1"/>
    <col min="7" max="7" width="17.1640625" bestFit="1" customWidth="1"/>
    <col min="9" max="9" width="12.1640625" bestFit="1" customWidth="1"/>
  </cols>
  <sheetData>
    <row r="3" spans="1:10" x14ac:dyDescent="0.2">
      <c r="A3" s="1"/>
      <c r="B3" s="1"/>
      <c r="C3" s="1"/>
      <c r="D3" s="1"/>
      <c r="E3" s="1"/>
      <c r="F3" s="1"/>
      <c r="G3" s="1"/>
      <c r="H3" s="1"/>
    </row>
    <row r="4" spans="1:10" ht="34" x14ac:dyDescent="0.2">
      <c r="A4" s="3"/>
      <c r="B4" s="88" t="s">
        <v>105</v>
      </c>
      <c r="C4" s="88" t="s">
        <v>106</v>
      </c>
      <c r="D4" s="3"/>
      <c r="E4" s="1"/>
      <c r="F4" s="86" t="s">
        <v>105</v>
      </c>
      <c r="G4" s="86" t="s">
        <v>106</v>
      </c>
      <c r="H4" s="38" t="s">
        <v>107</v>
      </c>
    </row>
    <row r="5" spans="1:10" ht="34" x14ac:dyDescent="0.2">
      <c r="A5" s="3"/>
      <c r="B5" s="73" t="s">
        <v>108</v>
      </c>
      <c r="C5" s="73" t="s">
        <v>109</v>
      </c>
      <c r="D5" s="3"/>
      <c r="E5" s="86" t="s">
        <v>110</v>
      </c>
      <c r="F5" s="89">
        <f>B7*B11*B16</f>
        <v>74886.206850000002</v>
      </c>
      <c r="G5" s="89">
        <f>C7*B11*B16</f>
        <v>276180.33086280001</v>
      </c>
      <c r="H5" s="38">
        <v>55869.35</v>
      </c>
      <c r="J5">
        <f>G5/365</f>
        <v>756.65844072000004</v>
      </c>
    </row>
    <row r="6" spans="1:10" ht="17" x14ac:dyDescent="0.2">
      <c r="A6" s="73" t="s">
        <v>111</v>
      </c>
      <c r="B6" s="86">
        <v>12.5</v>
      </c>
      <c r="C6" s="86">
        <v>46.1</v>
      </c>
      <c r="D6" s="3"/>
      <c r="E6" s="1"/>
      <c r="F6" s="1"/>
      <c r="G6" s="1"/>
      <c r="H6" s="1"/>
      <c r="J6">
        <f>F5/365</f>
        <v>205.16768999999999</v>
      </c>
    </row>
    <row r="7" spans="1:10" ht="18" thickBot="1" x14ac:dyDescent="0.25">
      <c r="A7" s="73" t="s">
        <v>112</v>
      </c>
      <c r="B7" s="38">
        <f>B6/100</f>
        <v>0.125</v>
      </c>
      <c r="C7" s="38">
        <f>C6/100</f>
        <v>0.46100000000000002</v>
      </c>
      <c r="D7" s="1"/>
      <c r="E7" s="1"/>
      <c r="F7" s="1"/>
      <c r="G7" s="1"/>
      <c r="H7" s="1"/>
    </row>
    <row r="8" spans="1:10" x14ac:dyDescent="0.2">
      <c r="A8" s="1"/>
      <c r="B8" s="1"/>
      <c r="C8" s="1"/>
      <c r="D8" s="1"/>
      <c r="E8" s="90" t="s">
        <v>113</v>
      </c>
      <c r="F8" s="101">
        <v>2040</v>
      </c>
      <c r="G8" s="94" t="s">
        <v>114</v>
      </c>
      <c r="H8" s="107" t="s">
        <v>115</v>
      </c>
    </row>
    <row r="9" spans="1:10" x14ac:dyDescent="0.2">
      <c r="A9" s="141"/>
      <c r="B9" s="141"/>
      <c r="C9" s="1"/>
      <c r="D9" s="1"/>
      <c r="E9" s="91" t="s">
        <v>116</v>
      </c>
      <c r="F9" s="102">
        <v>86</v>
      </c>
      <c r="G9" s="93">
        <f>F9*G5</f>
        <v>23751508.454200801</v>
      </c>
      <c r="H9" s="108">
        <f>F9/(SUM($F$9:$F$11))</f>
        <v>0.34817813765182187</v>
      </c>
      <c r="J9">
        <f>138*0.4167</f>
        <v>57.504600000000003</v>
      </c>
    </row>
    <row r="10" spans="1:10" x14ac:dyDescent="0.2">
      <c r="A10" s="74" t="s">
        <v>117</v>
      </c>
      <c r="B10" s="38">
        <v>164</v>
      </c>
      <c r="C10" s="1"/>
      <c r="D10" s="1"/>
      <c r="E10" s="91" t="s">
        <v>118</v>
      </c>
      <c r="F10" s="102">
        <v>51</v>
      </c>
      <c r="G10" s="93">
        <f>F10*F5</f>
        <v>3819196.54935</v>
      </c>
      <c r="H10" s="108">
        <f t="shared" ref="H10:H11" si="0">F10/(SUM($F$9:$F$11))</f>
        <v>0.20647773279352227</v>
      </c>
      <c r="I10" s="122">
        <f>G10+G9</f>
        <v>27570705.003550801</v>
      </c>
    </row>
    <row r="11" spans="1:10" x14ac:dyDescent="0.2">
      <c r="A11" s="74" t="s">
        <v>119</v>
      </c>
      <c r="B11" s="38">
        <f>365*B10</f>
        <v>59860</v>
      </c>
      <c r="C11" s="1"/>
      <c r="D11" s="1"/>
      <c r="E11" s="95" t="s">
        <v>120</v>
      </c>
      <c r="F11" s="103">
        <v>110</v>
      </c>
      <c r="G11" s="96">
        <f>H5*F11</f>
        <v>6145628.5</v>
      </c>
      <c r="H11" s="109">
        <f t="shared" si="0"/>
        <v>0.44534412955465585</v>
      </c>
    </row>
    <row r="12" spans="1:10" x14ac:dyDescent="0.2">
      <c r="A12" s="1"/>
      <c r="B12" s="1"/>
      <c r="C12" s="1"/>
      <c r="D12" s="1"/>
      <c r="E12" s="92" t="s">
        <v>10</v>
      </c>
      <c r="F12" s="102"/>
      <c r="G12" s="93">
        <f>SUM(G9+G10)</f>
        <v>27570705.003550801</v>
      </c>
      <c r="H12" s="110"/>
    </row>
    <row r="13" spans="1:10" ht="17" x14ac:dyDescent="0.2">
      <c r="A13" s="140" t="s">
        <v>121</v>
      </c>
      <c r="B13" s="140"/>
      <c r="C13" s="1"/>
      <c r="D13" s="1"/>
      <c r="E13" s="99" t="s">
        <v>122</v>
      </c>
      <c r="F13" s="104"/>
      <c r="G13" s="100"/>
      <c r="H13" s="111"/>
    </row>
    <row r="14" spans="1:10" x14ac:dyDescent="0.2">
      <c r="A14" s="74" t="s">
        <v>123</v>
      </c>
      <c r="B14" s="38">
        <v>0.84599999999999997</v>
      </c>
      <c r="C14" s="1"/>
      <c r="D14" s="1"/>
      <c r="E14" s="91" t="s">
        <v>116</v>
      </c>
      <c r="F14" s="102">
        <v>60</v>
      </c>
      <c r="G14" s="93">
        <f>F14*G5</f>
        <v>16570819.851768</v>
      </c>
      <c r="H14" s="108">
        <f>F14/SUM($F$14:$F$16)</f>
        <v>0.24291497975708501</v>
      </c>
    </row>
    <row r="15" spans="1:10" x14ac:dyDescent="0.2">
      <c r="A15" s="74" t="s">
        <v>124</v>
      </c>
      <c r="B15" s="38">
        <v>11.83</v>
      </c>
      <c r="C15" s="1"/>
      <c r="D15" s="1"/>
      <c r="E15" s="91" t="s">
        <v>118</v>
      </c>
      <c r="F15" s="102">
        <v>51</v>
      </c>
      <c r="G15" s="93">
        <f>F15*F5</f>
        <v>3819196.54935</v>
      </c>
      <c r="H15" s="108">
        <f t="shared" ref="H15:H16" si="1">F15/SUM($F$14:$F$16)</f>
        <v>0.20647773279352227</v>
      </c>
    </row>
    <row r="16" spans="1:10" x14ac:dyDescent="0.2">
      <c r="A16" s="74" t="s">
        <v>125</v>
      </c>
      <c r="B16" s="38">
        <f>B15*B14</f>
        <v>10.008179999999999</v>
      </c>
      <c r="C16" s="1"/>
      <c r="D16" s="1"/>
      <c r="E16" s="95" t="s">
        <v>126</v>
      </c>
      <c r="F16" s="103">
        <v>136</v>
      </c>
      <c r="G16" s="96">
        <f>B21</f>
        <v>29679562.568594471</v>
      </c>
      <c r="H16" s="109">
        <f t="shared" si="1"/>
        <v>0.55060728744939269</v>
      </c>
      <c r="I16" s="122">
        <f>G15+G14</f>
        <v>20390016.401117999</v>
      </c>
    </row>
    <row r="17" spans="1:9" x14ac:dyDescent="0.2">
      <c r="A17" s="1"/>
      <c r="B17" s="1"/>
      <c r="C17" s="1"/>
      <c r="D17" s="1"/>
      <c r="E17" s="92" t="s">
        <v>10</v>
      </c>
      <c r="F17" s="102"/>
      <c r="G17" s="93">
        <f>SUM(G14:G16)</f>
        <v>50069578.969712466</v>
      </c>
      <c r="H17" s="108"/>
    </row>
    <row r="18" spans="1:9" x14ac:dyDescent="0.2">
      <c r="A18" s="1"/>
      <c r="B18" s="1"/>
      <c r="C18" s="1"/>
      <c r="D18" s="1"/>
      <c r="E18" s="97" t="s">
        <v>101</v>
      </c>
      <c r="F18" s="105"/>
      <c r="G18" s="98"/>
      <c r="H18" s="112"/>
    </row>
    <row r="19" spans="1:9" x14ac:dyDescent="0.2">
      <c r="A19" s="140" t="s">
        <v>127</v>
      </c>
      <c r="B19" s="140"/>
      <c r="C19" s="1"/>
      <c r="D19" s="1"/>
      <c r="E19" s="91" t="s">
        <v>116</v>
      </c>
      <c r="F19" s="106">
        <v>11</v>
      </c>
      <c r="G19" s="93">
        <f>F19*G5</f>
        <v>3037983.6394908</v>
      </c>
      <c r="H19" s="108">
        <f>F19/SUM($F$19:$F$21)</f>
        <v>4.4534412955465584E-2</v>
      </c>
    </row>
    <row r="20" spans="1:9" x14ac:dyDescent="0.2">
      <c r="A20" s="74" t="s">
        <v>128</v>
      </c>
      <c r="B20" s="38">
        <v>6</v>
      </c>
      <c r="C20" s="1"/>
      <c r="D20" s="1"/>
      <c r="E20" s="91" t="s">
        <v>118</v>
      </c>
      <c r="F20" s="106">
        <v>51</v>
      </c>
      <c r="G20" s="93">
        <f>F20*F5</f>
        <v>3819196.54935</v>
      </c>
      <c r="H20" s="108">
        <f t="shared" ref="H20:H21" si="2">F20/SUM($F$19:$F$21)</f>
        <v>0.20647773279352227</v>
      </c>
      <c r="I20" s="122">
        <f>G20+G19</f>
        <v>6857180.1888408</v>
      </c>
    </row>
    <row r="21" spans="1:9" x14ac:dyDescent="0.2">
      <c r="A21" s="74" t="s">
        <v>129</v>
      </c>
      <c r="B21" s="89">
        <f>Biogas!F98*B20</f>
        <v>29679562.568594471</v>
      </c>
      <c r="E21" s="95" t="s">
        <v>120</v>
      </c>
      <c r="F21" s="115">
        <v>185</v>
      </c>
      <c r="G21" s="96">
        <f>H5*Diesel!F21</f>
        <v>10335829.75</v>
      </c>
      <c r="H21" s="109">
        <f t="shared" si="2"/>
        <v>0.74898785425101211</v>
      </c>
    </row>
    <row r="22" spans="1:9" ht="17" thickBot="1" x14ac:dyDescent="0.25">
      <c r="E22" s="113" t="s">
        <v>10</v>
      </c>
      <c r="F22" s="114"/>
      <c r="G22" s="116">
        <f>SUM(G19:G21)</f>
        <v>17193009.938840799</v>
      </c>
      <c r="H22" s="87"/>
    </row>
    <row r="26" spans="1:9" x14ac:dyDescent="0.2">
      <c r="E26" t="s">
        <v>113</v>
      </c>
      <c r="F26">
        <v>2040</v>
      </c>
      <c r="G26" t="s">
        <v>114</v>
      </c>
      <c r="H26" t="s">
        <v>115</v>
      </c>
    </row>
    <row r="27" spans="1:9" x14ac:dyDescent="0.2">
      <c r="E27" t="s">
        <v>116</v>
      </c>
      <c r="F27">
        <v>86</v>
      </c>
      <c r="G27">
        <v>23751508.454200801</v>
      </c>
      <c r="H27">
        <v>0.34817813765182187</v>
      </c>
    </row>
    <row r="28" spans="1:9" x14ac:dyDescent="0.2">
      <c r="E28" t="s">
        <v>118</v>
      </c>
      <c r="F28">
        <v>51</v>
      </c>
      <c r="G28">
        <v>3819196.54935</v>
      </c>
      <c r="H28">
        <v>0.20647773279352227</v>
      </c>
    </row>
    <row r="29" spans="1:9" x14ac:dyDescent="0.2">
      <c r="E29" t="s">
        <v>10</v>
      </c>
      <c r="G29">
        <v>27570705.003550801</v>
      </c>
    </row>
    <row r="30" spans="1:9" x14ac:dyDescent="0.2">
      <c r="E30" t="s">
        <v>122</v>
      </c>
    </row>
    <row r="31" spans="1:9" x14ac:dyDescent="0.2">
      <c r="E31" t="s">
        <v>116</v>
      </c>
      <c r="F31">
        <v>60</v>
      </c>
      <c r="G31">
        <v>16570819.851768</v>
      </c>
      <c r="H31">
        <v>0.24291497975708501</v>
      </c>
    </row>
    <row r="32" spans="1:9" x14ac:dyDescent="0.2">
      <c r="E32" t="s">
        <v>118</v>
      </c>
      <c r="F32">
        <v>51</v>
      </c>
      <c r="G32">
        <v>3819196.54935</v>
      </c>
      <c r="H32">
        <v>0.20647773279352227</v>
      </c>
    </row>
    <row r="33" spans="5:8" x14ac:dyDescent="0.2">
      <c r="E33" t="s">
        <v>10</v>
      </c>
      <c r="G33" s="122">
        <v>20390016.401117999</v>
      </c>
    </row>
    <row r="34" spans="5:8" x14ac:dyDescent="0.2">
      <c r="E34" t="s">
        <v>101</v>
      </c>
    </row>
    <row r="35" spans="5:8" x14ac:dyDescent="0.2">
      <c r="E35" t="s">
        <v>116</v>
      </c>
      <c r="F35">
        <v>11</v>
      </c>
      <c r="G35">
        <v>3037983.6394908</v>
      </c>
      <c r="H35">
        <v>4.4534412955465584E-2</v>
      </c>
    </row>
    <row r="36" spans="5:8" x14ac:dyDescent="0.2">
      <c r="E36" t="s">
        <v>118</v>
      </c>
      <c r="F36">
        <v>51</v>
      </c>
      <c r="G36">
        <v>3819196.54935</v>
      </c>
      <c r="H36">
        <v>0.20647773279352227</v>
      </c>
    </row>
    <row r="37" spans="5:8" x14ac:dyDescent="0.2">
      <c r="E37" t="s">
        <v>10</v>
      </c>
      <c r="G37">
        <v>6857180.1888408</v>
      </c>
    </row>
  </sheetData>
  <mergeCells count="3">
    <mergeCell ref="A13:B13"/>
    <mergeCell ref="A9:B9"/>
    <mergeCell ref="A19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Biogas</vt:lpstr>
      <vt:lpstr>EVs</vt:lpstr>
      <vt:lpstr>Diesel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Machado</dc:creator>
  <cp:keywords/>
  <dc:description/>
  <cp:lastModifiedBy>Alexandra Machado</cp:lastModifiedBy>
  <cp:revision/>
  <dcterms:created xsi:type="dcterms:W3CDTF">2025-04-19T11:00:05Z</dcterms:created>
  <dcterms:modified xsi:type="dcterms:W3CDTF">2025-06-02T07:21:36Z</dcterms:modified>
  <cp:category/>
  <cp:contentStatus/>
</cp:coreProperties>
</file>