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lexa\YandexDisk\Книги\"/>
    </mc:Choice>
  </mc:AlternateContent>
  <xr:revisionPtr revIDLastSave="0" documentId="8_{AD38833B-0ED4-4A3B-86B7-00859795675A}" xr6:coauthVersionLast="47" xr6:coauthVersionMax="47" xr10:uidLastSave="{00000000-0000-0000-0000-000000000000}"/>
  <bookViews>
    <workbookView xWindow="-28920" yWindow="-120" windowWidth="29040" windowHeight="15720" xr2:uid="{00000000-000D-0000-FFFF-FFFF00000000}"/>
  </bookViews>
  <sheets>
    <sheet name="Каталог" sheetId="1" r:id="rId1"/>
  </sheets>
  <definedNames>
    <definedName name="_xlnm._FilterDatabase" localSheetId="0" hidden="1">Каталог!$A$1:$O$3181</definedName>
  </definedNames>
  <calcPr calcId="181029"/>
  <fileRecoveryPr repairLoad="1"/>
</workbook>
</file>

<file path=xl/calcChain.xml><?xml version="1.0" encoding="utf-8"?>
<calcChain xmlns="http://schemas.openxmlformats.org/spreadsheetml/2006/main">
  <c r="N3181" i="1" l="1"/>
  <c r="N3180" i="1"/>
  <c r="N3179" i="1"/>
  <c r="N3178" i="1"/>
  <c r="N3177" i="1"/>
  <c r="N3176" i="1"/>
  <c r="N3175" i="1"/>
  <c r="N3174" i="1"/>
  <c r="N3173" i="1"/>
  <c r="N3172" i="1"/>
  <c r="N3171" i="1"/>
  <c r="N3170" i="1"/>
  <c r="N3169" i="1"/>
  <c r="N3168" i="1"/>
  <c r="N3167" i="1"/>
  <c r="N3166" i="1"/>
  <c r="N3165" i="1"/>
  <c r="N3164" i="1"/>
  <c r="N3163" i="1"/>
  <c r="N3162" i="1"/>
  <c r="N3161" i="1"/>
  <c r="N3160" i="1"/>
  <c r="N3159" i="1"/>
  <c r="N3158" i="1"/>
  <c r="N3157" i="1"/>
  <c r="N3156" i="1"/>
  <c r="N3155" i="1"/>
  <c r="N3154" i="1"/>
  <c r="N3153" i="1"/>
  <c r="N3152" i="1"/>
  <c r="N3151" i="1"/>
  <c r="N3150" i="1"/>
  <c r="N3149" i="1"/>
  <c r="N3148" i="1"/>
  <c r="N3147" i="1"/>
  <c r="N3146" i="1"/>
  <c r="N3145" i="1"/>
  <c r="N3144" i="1"/>
  <c r="N3143" i="1"/>
  <c r="N3142" i="1"/>
  <c r="N3141" i="1"/>
  <c r="N3140" i="1"/>
  <c r="N3139" i="1"/>
  <c r="N3138" i="1"/>
  <c r="N3137" i="1"/>
  <c r="N3136" i="1"/>
  <c r="N3135" i="1"/>
  <c r="N3134" i="1"/>
  <c r="N3133" i="1"/>
  <c r="N3132" i="1"/>
  <c r="N3131" i="1"/>
  <c r="N3130" i="1"/>
  <c r="N3129" i="1"/>
  <c r="N3128" i="1"/>
  <c r="N3127" i="1"/>
  <c r="N3126" i="1"/>
  <c r="N3125" i="1"/>
  <c r="N3124" i="1"/>
  <c r="N3123" i="1"/>
  <c r="N3122" i="1"/>
  <c r="N3121" i="1"/>
  <c r="N3120" i="1"/>
  <c r="N3119" i="1"/>
  <c r="N3118" i="1"/>
  <c r="N3117" i="1"/>
  <c r="N3116" i="1"/>
  <c r="N3115" i="1"/>
  <c r="N3114" i="1"/>
  <c r="N3113" i="1"/>
  <c r="N3112" i="1"/>
  <c r="N3111" i="1"/>
  <c r="N3110" i="1"/>
  <c r="N3109" i="1"/>
  <c r="N3108" i="1"/>
  <c r="N3107" i="1"/>
  <c r="N3106" i="1"/>
  <c r="N3105" i="1"/>
  <c r="N3104" i="1"/>
  <c r="N3103" i="1"/>
  <c r="N3102" i="1"/>
  <c r="N3101" i="1"/>
  <c r="N3100" i="1"/>
  <c r="N3099" i="1"/>
  <c r="N3098" i="1"/>
  <c r="N3097" i="1"/>
  <c r="N3096" i="1"/>
  <c r="N3095" i="1"/>
  <c r="N3094" i="1"/>
  <c r="N3093" i="1"/>
  <c r="N3092" i="1"/>
  <c r="N3091" i="1"/>
  <c r="N3090" i="1"/>
  <c r="N3089" i="1"/>
  <c r="N3088" i="1"/>
  <c r="N3087" i="1"/>
  <c r="N3086" i="1"/>
  <c r="N3085" i="1"/>
  <c r="N3084" i="1"/>
  <c r="N3083" i="1"/>
  <c r="N3082" i="1"/>
  <c r="N3081" i="1"/>
  <c r="N3080" i="1"/>
  <c r="N3079" i="1"/>
  <c r="N3078" i="1"/>
  <c r="N3077" i="1"/>
  <c r="N3076" i="1"/>
  <c r="N3075" i="1"/>
  <c r="N3074" i="1"/>
  <c r="N3073" i="1"/>
  <c r="N3072" i="1"/>
  <c r="N3071" i="1"/>
  <c r="N3070" i="1"/>
  <c r="N3069" i="1"/>
  <c r="N3068" i="1"/>
  <c r="N3067" i="1"/>
  <c r="N3066" i="1"/>
  <c r="N3065" i="1"/>
  <c r="N3064" i="1"/>
  <c r="N3063" i="1"/>
  <c r="N3062" i="1"/>
  <c r="N3061" i="1"/>
  <c r="N3060" i="1"/>
  <c r="N3059" i="1"/>
  <c r="N3058" i="1"/>
  <c r="N3057" i="1"/>
  <c r="N3056" i="1"/>
  <c r="N3055" i="1"/>
  <c r="N3054" i="1"/>
  <c r="N3053" i="1"/>
  <c r="N3052" i="1"/>
  <c r="N3051" i="1"/>
  <c r="N3050" i="1"/>
  <c r="N3049" i="1"/>
  <c r="N3048" i="1"/>
  <c r="N3047" i="1"/>
  <c r="N3046" i="1"/>
  <c r="N3045" i="1"/>
  <c r="N3044" i="1"/>
  <c r="N3043" i="1"/>
  <c r="N3042" i="1"/>
  <c r="N3041" i="1"/>
  <c r="N3040" i="1"/>
  <c r="N3039" i="1"/>
  <c r="N3038" i="1"/>
  <c r="N3037" i="1"/>
  <c r="N3036" i="1"/>
  <c r="N3035" i="1"/>
  <c r="N3034" i="1"/>
  <c r="N3033" i="1"/>
  <c r="N3032" i="1"/>
  <c r="N3031" i="1"/>
  <c r="N3030" i="1"/>
  <c r="N3029" i="1"/>
  <c r="N3028" i="1"/>
  <c r="N3027" i="1"/>
  <c r="N3026" i="1"/>
  <c r="N3025" i="1"/>
  <c r="N3024" i="1"/>
  <c r="N3023" i="1"/>
  <c r="N3022" i="1"/>
  <c r="N3021" i="1"/>
  <c r="N3020" i="1"/>
  <c r="N3019" i="1"/>
  <c r="N3018" i="1"/>
  <c r="N3017" i="1"/>
  <c r="N3016" i="1"/>
  <c r="N3015" i="1"/>
  <c r="N3014" i="1"/>
  <c r="N3013" i="1"/>
  <c r="N3012" i="1"/>
  <c r="N3011" i="1"/>
  <c r="N3010" i="1"/>
  <c r="N3009" i="1"/>
  <c r="N3008" i="1"/>
  <c r="N3007" i="1"/>
  <c r="N3006" i="1"/>
  <c r="N3005" i="1"/>
  <c r="N3004" i="1"/>
  <c r="N3003" i="1"/>
  <c r="N3002" i="1"/>
  <c r="N3001" i="1"/>
  <c r="N3000" i="1"/>
  <c r="N2999" i="1"/>
  <c r="N2998" i="1"/>
  <c r="N2997" i="1"/>
  <c r="N2996" i="1"/>
  <c r="N2995" i="1"/>
  <c r="N2994" i="1"/>
  <c r="N2993" i="1"/>
  <c r="N2992" i="1"/>
  <c r="N2991" i="1"/>
  <c r="N2990" i="1"/>
  <c r="N2989" i="1"/>
  <c r="N2988" i="1"/>
  <c r="N2987" i="1"/>
  <c r="N2986" i="1"/>
  <c r="N2985" i="1"/>
  <c r="N2984" i="1"/>
  <c r="N2983" i="1"/>
  <c r="N2982" i="1"/>
  <c r="N2981" i="1"/>
  <c r="N2980" i="1"/>
  <c r="N2979" i="1"/>
  <c r="N2978" i="1"/>
  <c r="N2977" i="1"/>
  <c r="N2976" i="1"/>
  <c r="N2975" i="1"/>
  <c r="N2974" i="1"/>
  <c r="N2973" i="1"/>
  <c r="N2972" i="1"/>
  <c r="N2971" i="1"/>
  <c r="N2970" i="1"/>
  <c r="N2969" i="1"/>
  <c r="N2968" i="1"/>
  <c r="N2967" i="1"/>
  <c r="N2966" i="1"/>
  <c r="N2965" i="1"/>
  <c r="N2964" i="1"/>
  <c r="N2963" i="1"/>
  <c r="N2962" i="1"/>
  <c r="N2961" i="1"/>
  <c r="N2960" i="1"/>
  <c r="N2959" i="1"/>
  <c r="N2958" i="1"/>
  <c r="N2957" i="1"/>
  <c r="N2956" i="1"/>
  <c r="N2955" i="1"/>
  <c r="N2954" i="1"/>
  <c r="N2953" i="1"/>
  <c r="N2952" i="1"/>
  <c r="N2951" i="1"/>
  <c r="N2950" i="1"/>
  <c r="N2949" i="1"/>
  <c r="N2948" i="1"/>
  <c r="N2947" i="1"/>
  <c r="N2946" i="1"/>
  <c r="N2945" i="1"/>
  <c r="N2944" i="1"/>
  <c r="N2943" i="1"/>
  <c r="N2942" i="1"/>
  <c r="N2941" i="1"/>
  <c r="N2940" i="1"/>
  <c r="N2939" i="1"/>
  <c r="N2938" i="1"/>
  <c r="N2937" i="1"/>
  <c r="N2936" i="1"/>
  <c r="N2935" i="1"/>
  <c r="N2934" i="1"/>
  <c r="N2933" i="1"/>
  <c r="N2932" i="1"/>
  <c r="N2931" i="1"/>
  <c r="N2930" i="1"/>
  <c r="N2929" i="1"/>
  <c r="N2928" i="1"/>
  <c r="N2927" i="1"/>
  <c r="N2926" i="1"/>
  <c r="N2925" i="1"/>
  <c r="N2924" i="1"/>
  <c r="N2923" i="1"/>
  <c r="N2922" i="1"/>
  <c r="N2921" i="1"/>
  <c r="N2920" i="1"/>
  <c r="N2919" i="1"/>
  <c r="N2918" i="1"/>
  <c r="N2917" i="1"/>
  <c r="N2916" i="1"/>
  <c r="N2915" i="1"/>
  <c r="N2914" i="1"/>
  <c r="N2913" i="1"/>
  <c r="N2912" i="1"/>
  <c r="N2911" i="1"/>
  <c r="N2910" i="1"/>
  <c r="N2909" i="1"/>
  <c r="N2908" i="1"/>
  <c r="N2907" i="1"/>
  <c r="N2906" i="1"/>
  <c r="N2905" i="1"/>
  <c r="N2904" i="1"/>
  <c r="N2903" i="1"/>
  <c r="N2902" i="1"/>
  <c r="N2901" i="1"/>
  <c r="N2900" i="1"/>
  <c r="N2899" i="1"/>
  <c r="N2898" i="1"/>
  <c r="N2897" i="1"/>
  <c r="N2896" i="1"/>
  <c r="N2895" i="1"/>
  <c r="N2894" i="1"/>
  <c r="N2893" i="1"/>
  <c r="N2892" i="1"/>
  <c r="N2891" i="1"/>
  <c r="N2890" i="1"/>
  <c r="N2889" i="1"/>
  <c r="N2888" i="1"/>
  <c r="N2887" i="1"/>
  <c r="N2886" i="1"/>
  <c r="N2885" i="1"/>
  <c r="N2884" i="1"/>
  <c r="N2883" i="1"/>
  <c r="N2882" i="1"/>
  <c r="N2881" i="1"/>
  <c r="N2880" i="1"/>
  <c r="N2879" i="1"/>
  <c r="N2878" i="1"/>
  <c r="N2877" i="1"/>
  <c r="N2876" i="1"/>
  <c r="N2875" i="1"/>
  <c r="N2874" i="1"/>
  <c r="N2873" i="1"/>
  <c r="N2872" i="1"/>
  <c r="N2871" i="1"/>
  <c r="N2870" i="1"/>
  <c r="N2869" i="1"/>
  <c r="N2868" i="1"/>
  <c r="N2867" i="1"/>
  <c r="N2866" i="1"/>
  <c r="N2865" i="1"/>
  <c r="N2864" i="1"/>
  <c r="N2863" i="1"/>
  <c r="N2862" i="1"/>
  <c r="N2861" i="1"/>
  <c r="N2860" i="1"/>
  <c r="N2859" i="1"/>
  <c r="N2858" i="1"/>
  <c r="N2857" i="1"/>
  <c r="N2856" i="1"/>
  <c r="N2855" i="1"/>
  <c r="N2854" i="1"/>
  <c r="N2853" i="1"/>
  <c r="N2852" i="1"/>
  <c r="N2851" i="1"/>
  <c r="N2850" i="1"/>
  <c r="N2849" i="1"/>
  <c r="N2848" i="1"/>
  <c r="N2847" i="1"/>
  <c r="N2846" i="1"/>
  <c r="N2845" i="1"/>
  <c r="N2844" i="1"/>
  <c r="N2843" i="1"/>
  <c r="N2842" i="1"/>
  <c r="N2841" i="1"/>
  <c r="N2840" i="1"/>
  <c r="N2839" i="1"/>
  <c r="N2838" i="1"/>
  <c r="N2837" i="1"/>
  <c r="N2836" i="1"/>
  <c r="N2835" i="1"/>
  <c r="N2834" i="1"/>
  <c r="N2833" i="1"/>
  <c r="N2832" i="1"/>
  <c r="N2831" i="1"/>
  <c r="N2830" i="1"/>
  <c r="N2829" i="1"/>
  <c r="N2828" i="1"/>
  <c r="N2827" i="1"/>
  <c r="N2826" i="1"/>
  <c r="N2825" i="1"/>
  <c r="N2824" i="1"/>
  <c r="N2823" i="1"/>
  <c r="N2822" i="1"/>
  <c r="N2821" i="1"/>
  <c r="N2820" i="1"/>
  <c r="N2819" i="1"/>
  <c r="N2818" i="1"/>
  <c r="N2817" i="1"/>
  <c r="N2816" i="1"/>
  <c r="N2815" i="1"/>
  <c r="N2814" i="1"/>
  <c r="N2813" i="1"/>
  <c r="N2812" i="1"/>
  <c r="N2811" i="1"/>
  <c r="N2810" i="1"/>
  <c r="N2809" i="1"/>
  <c r="N2808" i="1"/>
  <c r="N2807" i="1"/>
  <c r="N2806" i="1"/>
  <c r="N2805" i="1"/>
  <c r="N2804" i="1"/>
  <c r="N2803" i="1"/>
  <c r="N2802" i="1"/>
  <c r="N2801" i="1"/>
  <c r="N2800" i="1"/>
  <c r="N2799" i="1"/>
  <c r="N2798" i="1"/>
  <c r="N2797" i="1"/>
  <c r="N2796" i="1"/>
  <c r="N2795" i="1"/>
  <c r="N2794" i="1"/>
  <c r="N2793" i="1"/>
  <c r="N2792" i="1"/>
  <c r="N2791" i="1"/>
  <c r="N2790" i="1"/>
  <c r="N2789" i="1"/>
  <c r="N2788" i="1"/>
  <c r="N2787" i="1"/>
  <c r="N2786" i="1"/>
  <c r="N2785" i="1"/>
  <c r="N2784" i="1"/>
  <c r="N2783" i="1"/>
  <c r="N2782" i="1"/>
  <c r="N2781" i="1"/>
  <c r="N2780" i="1"/>
  <c r="N2779" i="1"/>
  <c r="N2778" i="1"/>
  <c r="N2777" i="1"/>
  <c r="N2776" i="1"/>
  <c r="N2775" i="1"/>
  <c r="N2774" i="1"/>
  <c r="N2773" i="1"/>
  <c r="N2772" i="1"/>
  <c r="N2771" i="1"/>
  <c r="N2770" i="1"/>
  <c r="N2769" i="1"/>
  <c r="N2768" i="1"/>
  <c r="N2767" i="1"/>
  <c r="N2766" i="1"/>
  <c r="N2765" i="1"/>
  <c r="N2764" i="1"/>
  <c r="N2763" i="1"/>
  <c r="N2762" i="1"/>
  <c r="N2761" i="1"/>
  <c r="N2760" i="1"/>
  <c r="N2759" i="1"/>
  <c r="N2758" i="1"/>
  <c r="N2757" i="1"/>
  <c r="N2756" i="1"/>
  <c r="N2755" i="1"/>
  <c r="N2754" i="1"/>
  <c r="N2753" i="1"/>
  <c r="N2752" i="1"/>
  <c r="N2751" i="1"/>
  <c r="N2750" i="1"/>
  <c r="N2749" i="1"/>
  <c r="N2748" i="1"/>
  <c r="N2747" i="1"/>
  <c r="N2746" i="1"/>
  <c r="N2745" i="1"/>
  <c r="N2744" i="1"/>
  <c r="N2743" i="1"/>
  <c r="N2742" i="1"/>
  <c r="N2741" i="1"/>
  <c r="N2740" i="1"/>
  <c r="N2739" i="1"/>
  <c r="N2738" i="1"/>
  <c r="N2737" i="1"/>
  <c r="N2736" i="1"/>
  <c r="N2735" i="1"/>
  <c r="N2734" i="1"/>
  <c r="N2733" i="1"/>
  <c r="N2732" i="1"/>
  <c r="N2731" i="1"/>
  <c r="N2730" i="1"/>
  <c r="N2729" i="1"/>
  <c r="N2728" i="1"/>
  <c r="N2727" i="1"/>
  <c r="N2726" i="1"/>
  <c r="N2725" i="1"/>
  <c r="N2724" i="1"/>
  <c r="N2723" i="1"/>
  <c r="N2722" i="1"/>
  <c r="N2721" i="1"/>
  <c r="N2720" i="1"/>
  <c r="N2719" i="1"/>
  <c r="N2718" i="1"/>
  <c r="N2717" i="1"/>
  <c r="N2716" i="1"/>
  <c r="N2715" i="1"/>
  <c r="N2714" i="1"/>
  <c r="N2713" i="1"/>
  <c r="N2712" i="1"/>
  <c r="N2711" i="1"/>
  <c r="N2710" i="1"/>
  <c r="N2709" i="1"/>
  <c r="N2708" i="1"/>
  <c r="N2707" i="1"/>
  <c r="N2706" i="1"/>
  <c r="N2705" i="1"/>
  <c r="N2704" i="1"/>
  <c r="N2703" i="1"/>
  <c r="N2702" i="1"/>
  <c r="N2701" i="1"/>
  <c r="N2700" i="1"/>
  <c r="N2699" i="1"/>
  <c r="N2698" i="1"/>
  <c r="N2697" i="1"/>
  <c r="N2696" i="1"/>
  <c r="N2695" i="1"/>
  <c r="N2694" i="1"/>
  <c r="N2693" i="1"/>
  <c r="N2692" i="1"/>
  <c r="N2691" i="1"/>
  <c r="N2690" i="1"/>
  <c r="N2689" i="1"/>
  <c r="N2688" i="1"/>
  <c r="N2687" i="1"/>
  <c r="N2686" i="1"/>
  <c r="N2685" i="1"/>
  <c r="N2684" i="1"/>
  <c r="N2683" i="1"/>
  <c r="N2682" i="1"/>
  <c r="N2681" i="1"/>
  <c r="N2680" i="1"/>
  <c r="N2679" i="1"/>
  <c r="N2678" i="1"/>
  <c r="N2677" i="1"/>
  <c r="N2676" i="1"/>
  <c r="N2675" i="1"/>
  <c r="N2674" i="1"/>
  <c r="N2673" i="1"/>
  <c r="N2672" i="1"/>
  <c r="N2671" i="1"/>
  <c r="N2670" i="1"/>
  <c r="N2669" i="1"/>
  <c r="N2668" i="1"/>
  <c r="N2667" i="1"/>
  <c r="N2666" i="1"/>
  <c r="N2665" i="1"/>
  <c r="N2664" i="1"/>
  <c r="N2663" i="1"/>
  <c r="N2662" i="1"/>
  <c r="N2661" i="1"/>
  <c r="N2660" i="1"/>
  <c r="N2659" i="1"/>
  <c r="N2658" i="1"/>
  <c r="N2657" i="1"/>
  <c r="N2656" i="1"/>
  <c r="N2655" i="1"/>
  <c r="N2654" i="1"/>
  <c r="N2653" i="1"/>
  <c r="N2652" i="1"/>
  <c r="N2651" i="1"/>
  <c r="N2650" i="1"/>
  <c r="N2649" i="1"/>
  <c r="N2648" i="1"/>
  <c r="N2647" i="1"/>
  <c r="N2646" i="1"/>
  <c r="N2645" i="1"/>
  <c r="N2644" i="1"/>
  <c r="N2643" i="1"/>
  <c r="N2642" i="1"/>
  <c r="N2641" i="1"/>
  <c r="N2640" i="1"/>
  <c r="N2639" i="1"/>
  <c r="N2638" i="1"/>
  <c r="N2637" i="1"/>
  <c r="N2636" i="1"/>
  <c r="N2635" i="1"/>
  <c r="N2634" i="1"/>
  <c r="N2633" i="1"/>
  <c r="N2632" i="1"/>
  <c r="N2631" i="1"/>
  <c r="N2630" i="1"/>
  <c r="N2629" i="1"/>
  <c r="N2628" i="1"/>
  <c r="N2627" i="1"/>
  <c r="N2626" i="1"/>
  <c r="N2625" i="1"/>
  <c r="N2624" i="1"/>
  <c r="N2623" i="1"/>
  <c r="N2622" i="1"/>
  <c r="N2621" i="1"/>
  <c r="N2620" i="1"/>
  <c r="N2619" i="1"/>
  <c r="N2618" i="1"/>
  <c r="N2617" i="1"/>
  <c r="N2616" i="1"/>
  <c r="N2615" i="1"/>
  <c r="N2614" i="1"/>
  <c r="N2613" i="1"/>
  <c r="N2612" i="1"/>
  <c r="N2611" i="1"/>
  <c r="N2610" i="1"/>
  <c r="N2609" i="1"/>
  <c r="N2608" i="1"/>
  <c r="N2607" i="1"/>
  <c r="N2606" i="1"/>
  <c r="N2605" i="1"/>
  <c r="N2604" i="1"/>
  <c r="N2603" i="1"/>
  <c r="N2602" i="1"/>
  <c r="N2601" i="1"/>
  <c r="N2600" i="1"/>
  <c r="N2599" i="1"/>
  <c r="N2598" i="1"/>
  <c r="N2597" i="1"/>
  <c r="N2596" i="1"/>
  <c r="N2595" i="1"/>
  <c r="N2594" i="1"/>
  <c r="N2593" i="1"/>
  <c r="N2592" i="1"/>
  <c r="N2591" i="1"/>
  <c r="N2590" i="1"/>
  <c r="N2589" i="1"/>
  <c r="N2588" i="1"/>
  <c r="N2587" i="1"/>
  <c r="N2586" i="1"/>
  <c r="N2585" i="1"/>
  <c r="N2584" i="1"/>
  <c r="N2583" i="1"/>
  <c r="N2582" i="1"/>
  <c r="N2581" i="1"/>
  <c r="N2580" i="1"/>
  <c r="N2579" i="1"/>
  <c r="N2578" i="1"/>
  <c r="N2577" i="1"/>
  <c r="N2576" i="1"/>
  <c r="N2575" i="1"/>
  <c r="N2574" i="1"/>
  <c r="N2573" i="1"/>
  <c r="N2572" i="1"/>
  <c r="N2571" i="1"/>
  <c r="N2570" i="1"/>
  <c r="N2569" i="1"/>
  <c r="N2568" i="1"/>
  <c r="N2567" i="1"/>
  <c r="N2566" i="1"/>
  <c r="N2565" i="1"/>
  <c r="N2564" i="1"/>
  <c r="N2563" i="1"/>
  <c r="N2562" i="1"/>
  <c r="N2561" i="1"/>
  <c r="N2560" i="1"/>
  <c r="N2559" i="1"/>
  <c r="N2558" i="1"/>
  <c r="N2557" i="1"/>
  <c r="N2556" i="1"/>
  <c r="N2555" i="1"/>
  <c r="N2554" i="1"/>
  <c r="N2553" i="1"/>
  <c r="N2552" i="1"/>
  <c r="N2551" i="1"/>
  <c r="N2550" i="1"/>
  <c r="N2549" i="1"/>
  <c r="N2548" i="1"/>
  <c r="N2547" i="1"/>
  <c r="N2546" i="1"/>
  <c r="N2545" i="1"/>
  <c r="N2544" i="1"/>
  <c r="N2543" i="1"/>
  <c r="N2542" i="1"/>
  <c r="N2541" i="1"/>
  <c r="N2540" i="1"/>
  <c r="N2539" i="1"/>
  <c r="N2538" i="1"/>
  <c r="N2537" i="1"/>
  <c r="N2536" i="1"/>
  <c r="N2535" i="1"/>
  <c r="N2534" i="1"/>
  <c r="N2533" i="1"/>
  <c r="N2532" i="1"/>
  <c r="N2531" i="1"/>
  <c r="N2530" i="1"/>
  <c r="N2529" i="1"/>
  <c r="N2528" i="1"/>
  <c r="N2527" i="1"/>
  <c r="N2526" i="1"/>
  <c r="N2525" i="1"/>
  <c r="N2524" i="1"/>
  <c r="N2523" i="1"/>
  <c r="N2522" i="1"/>
  <c r="N2521" i="1"/>
  <c r="N2520" i="1"/>
  <c r="N2519" i="1"/>
  <c r="N2518" i="1"/>
  <c r="N2517" i="1"/>
  <c r="N2516" i="1"/>
  <c r="N2515" i="1"/>
  <c r="N2514" i="1"/>
  <c r="N2513" i="1"/>
  <c r="N2512" i="1"/>
  <c r="N2511" i="1"/>
  <c r="N2510" i="1"/>
  <c r="N2509" i="1"/>
  <c r="N2508" i="1"/>
  <c r="N2507" i="1"/>
  <c r="N2506" i="1"/>
  <c r="N2505" i="1"/>
  <c r="N2504" i="1"/>
  <c r="N2503" i="1"/>
  <c r="N2502" i="1"/>
  <c r="N2501" i="1"/>
  <c r="N2500" i="1"/>
  <c r="N2499" i="1"/>
  <c r="N2498" i="1"/>
  <c r="N2497" i="1"/>
  <c r="N2496" i="1"/>
  <c r="N2495" i="1"/>
  <c r="N2494" i="1"/>
  <c r="N2493" i="1"/>
  <c r="N2492" i="1"/>
  <c r="N2491" i="1"/>
  <c r="N2490" i="1"/>
  <c r="N2489" i="1"/>
  <c r="N2488" i="1"/>
  <c r="N2487" i="1"/>
  <c r="N2486" i="1"/>
  <c r="N2485" i="1"/>
  <c r="N2484" i="1"/>
  <c r="N2483" i="1"/>
  <c r="N2482" i="1"/>
  <c r="N2481" i="1"/>
  <c r="N2480" i="1"/>
  <c r="N2479" i="1"/>
  <c r="N2478" i="1"/>
  <c r="N2477" i="1"/>
  <c r="N2476" i="1"/>
  <c r="N2475" i="1"/>
  <c r="N2474" i="1"/>
  <c r="N2473" i="1"/>
  <c r="N2472" i="1"/>
  <c r="N2471" i="1"/>
  <c r="N2470" i="1"/>
  <c r="N2469" i="1"/>
  <c r="N2468" i="1"/>
  <c r="N2467" i="1"/>
  <c r="N2466" i="1"/>
  <c r="N2465" i="1"/>
  <c r="N2464" i="1"/>
  <c r="N2463" i="1"/>
  <c r="N2462" i="1"/>
  <c r="N2461" i="1"/>
  <c r="N2460" i="1"/>
  <c r="N2459" i="1"/>
  <c r="N2458" i="1"/>
  <c r="N2457" i="1"/>
  <c r="N2456" i="1"/>
  <c r="N2455" i="1"/>
  <c r="N2454" i="1"/>
  <c r="N2453" i="1"/>
  <c r="N2452" i="1"/>
  <c r="N2451" i="1"/>
  <c r="N2450" i="1"/>
  <c r="N2449" i="1"/>
  <c r="N2448" i="1"/>
  <c r="N2447" i="1"/>
  <c r="N2446" i="1"/>
  <c r="N2445" i="1"/>
  <c r="N2444" i="1"/>
  <c r="N2443" i="1"/>
  <c r="N2442" i="1"/>
  <c r="N2441" i="1"/>
  <c r="N2440" i="1"/>
  <c r="N2439" i="1"/>
  <c r="N2438" i="1"/>
  <c r="N2437" i="1"/>
  <c r="N2436" i="1"/>
  <c r="N2435" i="1"/>
  <c r="N2434" i="1"/>
  <c r="N2433" i="1"/>
  <c r="N2432" i="1"/>
  <c r="N2431" i="1"/>
  <c r="N2430" i="1"/>
  <c r="N2429" i="1"/>
  <c r="N2428" i="1"/>
  <c r="N2427" i="1"/>
  <c r="N2426" i="1"/>
  <c r="N2425" i="1"/>
  <c r="N2424" i="1"/>
  <c r="N2423" i="1"/>
  <c r="N2422" i="1"/>
  <c r="N2421" i="1"/>
  <c r="N2420" i="1"/>
  <c r="N2419" i="1"/>
  <c r="N2418" i="1"/>
  <c r="N2417" i="1"/>
  <c r="N2416" i="1"/>
  <c r="N2415" i="1"/>
  <c r="N2414" i="1"/>
  <c r="N2413" i="1"/>
  <c r="N2412" i="1"/>
  <c r="N2411" i="1"/>
  <c r="N2410" i="1"/>
  <c r="N2409" i="1"/>
  <c r="N2408" i="1"/>
  <c r="N2407" i="1"/>
  <c r="N2406" i="1"/>
  <c r="N2405" i="1"/>
  <c r="N2404" i="1"/>
  <c r="N2403" i="1"/>
  <c r="N2402" i="1"/>
  <c r="N2401" i="1"/>
  <c r="N2400" i="1"/>
  <c r="N2399" i="1"/>
  <c r="N2398" i="1"/>
  <c r="N2397" i="1"/>
  <c r="N2396" i="1"/>
  <c r="N2395" i="1"/>
  <c r="N2394" i="1"/>
  <c r="N2393" i="1"/>
  <c r="N2392" i="1"/>
  <c r="N2391" i="1"/>
  <c r="N2390" i="1"/>
  <c r="N2389" i="1"/>
  <c r="N2388" i="1"/>
  <c r="N2387" i="1"/>
  <c r="N2386" i="1"/>
  <c r="N2385" i="1"/>
  <c r="N2384" i="1"/>
  <c r="N2383" i="1"/>
  <c r="N2382" i="1"/>
  <c r="N2381" i="1"/>
  <c r="N2380" i="1"/>
  <c r="N2379" i="1"/>
  <c r="N2378" i="1"/>
  <c r="N2377" i="1"/>
  <c r="N2376" i="1"/>
  <c r="N2375" i="1"/>
  <c r="N2374" i="1"/>
  <c r="N2373" i="1"/>
  <c r="N2372" i="1"/>
  <c r="N2371" i="1"/>
  <c r="N2370" i="1"/>
  <c r="N2369" i="1"/>
  <c r="N2368" i="1"/>
  <c r="N2367" i="1"/>
  <c r="N2366" i="1"/>
  <c r="N2365" i="1"/>
  <c r="N2364" i="1"/>
  <c r="N2363" i="1"/>
  <c r="N2362" i="1"/>
  <c r="N2361" i="1"/>
  <c r="N2360" i="1"/>
  <c r="N2359" i="1"/>
  <c r="N2358" i="1"/>
  <c r="N2357" i="1"/>
  <c r="N2356" i="1"/>
  <c r="N2355" i="1"/>
  <c r="N2354" i="1"/>
  <c r="N2353" i="1"/>
  <c r="N2352" i="1"/>
  <c r="N2351" i="1"/>
  <c r="N2350" i="1"/>
  <c r="N2349" i="1"/>
  <c r="N2348" i="1"/>
  <c r="N2347" i="1"/>
  <c r="N2346" i="1"/>
  <c r="N2345" i="1"/>
  <c r="N2344" i="1"/>
  <c r="N2343" i="1"/>
  <c r="N2342" i="1"/>
  <c r="N2341" i="1"/>
  <c r="N2340" i="1"/>
  <c r="N2339" i="1"/>
  <c r="N2338" i="1"/>
  <c r="N2337" i="1"/>
  <c r="N2336" i="1"/>
  <c r="N2335" i="1"/>
  <c r="N2334" i="1"/>
  <c r="N2333" i="1"/>
  <c r="N2332" i="1"/>
  <c r="N2331" i="1"/>
  <c r="N2330" i="1"/>
  <c r="N2329" i="1"/>
  <c r="N2328" i="1"/>
  <c r="N2327" i="1"/>
  <c r="N2326" i="1"/>
  <c r="N2325" i="1"/>
  <c r="N2324" i="1"/>
  <c r="N2323" i="1"/>
  <c r="N2322" i="1"/>
  <c r="N2321" i="1"/>
  <c r="N2320" i="1"/>
  <c r="N2319" i="1"/>
  <c r="N2318" i="1"/>
  <c r="N2317" i="1"/>
  <c r="N2316" i="1"/>
  <c r="N2315" i="1"/>
  <c r="N2314" i="1"/>
  <c r="N2313" i="1"/>
  <c r="N2312" i="1"/>
  <c r="N2311" i="1"/>
  <c r="N2310" i="1"/>
  <c r="N2309" i="1"/>
  <c r="N2308" i="1"/>
  <c r="N2307" i="1"/>
  <c r="N2306" i="1"/>
  <c r="N2305" i="1"/>
  <c r="N2304" i="1"/>
  <c r="N2303" i="1"/>
  <c r="N2302" i="1"/>
  <c r="N2301" i="1"/>
  <c r="N2300" i="1"/>
  <c r="N2299" i="1"/>
  <c r="N2298" i="1"/>
  <c r="N2297" i="1"/>
  <c r="N2296" i="1"/>
  <c r="N2295" i="1"/>
  <c r="N2294" i="1"/>
  <c r="N2293" i="1"/>
  <c r="N2292" i="1"/>
  <c r="N2291" i="1"/>
  <c r="N2290" i="1"/>
  <c r="N2289" i="1"/>
  <c r="N2288" i="1"/>
  <c r="N2287" i="1"/>
  <c r="N2286" i="1"/>
  <c r="N2285" i="1"/>
  <c r="N2284" i="1"/>
  <c r="N2283" i="1"/>
  <c r="N2282" i="1"/>
  <c r="N2281" i="1"/>
  <c r="N2280" i="1"/>
  <c r="N2279" i="1"/>
  <c r="N2278" i="1"/>
  <c r="N2277" i="1"/>
  <c r="N2276" i="1"/>
  <c r="N2275" i="1"/>
  <c r="N2274" i="1"/>
  <c r="N2273" i="1"/>
  <c r="N2272" i="1"/>
  <c r="N2271" i="1"/>
  <c r="N2270" i="1"/>
  <c r="N2269" i="1"/>
  <c r="N2268" i="1"/>
  <c r="N2267" i="1"/>
  <c r="N2266" i="1"/>
  <c r="N2265" i="1"/>
  <c r="N2264" i="1"/>
  <c r="N2263" i="1"/>
  <c r="N2262" i="1"/>
  <c r="N2261" i="1"/>
  <c r="N2260" i="1"/>
  <c r="N2259" i="1"/>
  <c r="N2258" i="1"/>
  <c r="N2257" i="1"/>
  <c r="N2256" i="1"/>
  <c r="N2255" i="1"/>
  <c r="N2254" i="1"/>
  <c r="N2253" i="1"/>
  <c r="N2252" i="1"/>
  <c r="N2251" i="1"/>
  <c r="N2250" i="1"/>
  <c r="N2249" i="1"/>
  <c r="N2248" i="1"/>
  <c r="N2247" i="1"/>
  <c r="N2246" i="1"/>
  <c r="N2245" i="1"/>
  <c r="N2244" i="1"/>
  <c r="N2243" i="1"/>
  <c r="N2242" i="1"/>
  <c r="N2241" i="1"/>
  <c r="N2240" i="1"/>
  <c r="N2239" i="1"/>
  <c r="N2238" i="1"/>
  <c r="N2237" i="1"/>
  <c r="N2236" i="1"/>
  <c r="N2235" i="1"/>
  <c r="N2234" i="1"/>
  <c r="N2233" i="1"/>
  <c r="N2232" i="1"/>
  <c r="N2231" i="1"/>
  <c r="N2230" i="1"/>
  <c r="N2229" i="1"/>
  <c r="N2228" i="1"/>
  <c r="N2227" i="1"/>
  <c r="N2226" i="1"/>
  <c r="N2225" i="1"/>
  <c r="N2224" i="1"/>
  <c r="N2223" i="1"/>
  <c r="N2222" i="1"/>
  <c r="N2221" i="1"/>
  <c r="N2220" i="1"/>
  <c r="N2219" i="1"/>
  <c r="N2218" i="1"/>
  <c r="N2217" i="1"/>
  <c r="N2216" i="1"/>
  <c r="N2215" i="1"/>
  <c r="N2214" i="1"/>
  <c r="N2213" i="1"/>
  <c r="N2212" i="1"/>
  <c r="N2211" i="1"/>
  <c r="N2210" i="1"/>
  <c r="N2209" i="1"/>
  <c r="N2208" i="1"/>
  <c r="N2207" i="1"/>
  <c r="N2206" i="1"/>
  <c r="N2205" i="1"/>
  <c r="N2204" i="1"/>
  <c r="N2203" i="1"/>
  <c r="N2202" i="1"/>
  <c r="N2201" i="1"/>
  <c r="N2200" i="1"/>
  <c r="N2199" i="1"/>
  <c r="N2198" i="1"/>
  <c r="N2197" i="1"/>
  <c r="N2196" i="1"/>
  <c r="N2195" i="1"/>
  <c r="N2194" i="1"/>
  <c r="N2193" i="1"/>
  <c r="N2192" i="1"/>
  <c r="N2191" i="1"/>
  <c r="N2190" i="1"/>
  <c r="N2189" i="1"/>
  <c r="N2188" i="1"/>
  <c r="N2187" i="1"/>
  <c r="N2186" i="1"/>
  <c r="N2185" i="1"/>
  <c r="N2184" i="1"/>
  <c r="N2183" i="1"/>
  <c r="N2182" i="1"/>
  <c r="N2181" i="1"/>
  <c r="N2180" i="1"/>
  <c r="N2179" i="1"/>
  <c r="N2178" i="1"/>
  <c r="N2177" i="1"/>
  <c r="N2176" i="1"/>
  <c r="N2175" i="1"/>
  <c r="N2174" i="1"/>
  <c r="N2173" i="1"/>
  <c r="N2172" i="1"/>
  <c r="N2171" i="1"/>
  <c r="N2170" i="1"/>
  <c r="N2169" i="1"/>
  <c r="N2168" i="1"/>
  <c r="N2167" i="1"/>
  <c r="N2166" i="1"/>
  <c r="N2165" i="1"/>
  <c r="N2164" i="1"/>
  <c r="N2163" i="1"/>
  <c r="N2162" i="1"/>
  <c r="N2161" i="1"/>
  <c r="N2160" i="1"/>
  <c r="N2159" i="1"/>
  <c r="N2158" i="1"/>
  <c r="N2157" i="1"/>
  <c r="N2156" i="1"/>
  <c r="N2155" i="1"/>
  <c r="N2154" i="1"/>
  <c r="N2153" i="1"/>
  <c r="N2152" i="1"/>
  <c r="N2151" i="1"/>
  <c r="N2150" i="1"/>
  <c r="N2149" i="1"/>
  <c r="N2148" i="1"/>
  <c r="N2147" i="1"/>
  <c r="N2146" i="1"/>
  <c r="N2145" i="1"/>
  <c r="N2144" i="1"/>
  <c r="N2143" i="1"/>
  <c r="N2142" i="1"/>
  <c r="N2141" i="1"/>
  <c r="N2140" i="1"/>
  <c r="N2139" i="1"/>
  <c r="N2138" i="1"/>
  <c r="N2137" i="1"/>
  <c r="N2136" i="1"/>
  <c r="N2135" i="1"/>
  <c r="N2134" i="1"/>
  <c r="N2133" i="1"/>
  <c r="N2132" i="1"/>
  <c r="N2131" i="1"/>
  <c r="N2130" i="1"/>
  <c r="N2129" i="1"/>
  <c r="N2128" i="1"/>
  <c r="N2127" i="1"/>
  <c r="N2126" i="1"/>
  <c r="N2125" i="1"/>
  <c r="N2124" i="1"/>
  <c r="N2123" i="1"/>
  <c r="N2122" i="1"/>
  <c r="N2121" i="1"/>
  <c r="N2120" i="1"/>
  <c r="N2119" i="1"/>
  <c r="N2118" i="1"/>
  <c r="N2117" i="1"/>
  <c r="N2116" i="1"/>
  <c r="N2115" i="1"/>
  <c r="N2114" i="1"/>
  <c r="N2113" i="1"/>
  <c r="N2112" i="1"/>
  <c r="N2111" i="1"/>
  <c r="N2110" i="1"/>
  <c r="N2109" i="1"/>
  <c r="N2108" i="1"/>
  <c r="N2107" i="1"/>
  <c r="N2106" i="1"/>
  <c r="N2105" i="1"/>
  <c r="N2104" i="1"/>
  <c r="N2103" i="1"/>
  <c r="N2102" i="1"/>
  <c r="N2101" i="1"/>
  <c r="N2100" i="1"/>
  <c r="N2099" i="1"/>
  <c r="N2098" i="1"/>
  <c r="N2097" i="1"/>
  <c r="N2096" i="1"/>
  <c r="N2095" i="1"/>
  <c r="N2094" i="1"/>
  <c r="N2093" i="1"/>
  <c r="N2092" i="1"/>
  <c r="N2091" i="1"/>
  <c r="N2090" i="1"/>
  <c r="N2089" i="1"/>
  <c r="N2088" i="1"/>
  <c r="N2087" i="1"/>
  <c r="N2086" i="1"/>
  <c r="N2085" i="1"/>
  <c r="N2084" i="1"/>
  <c r="N2083" i="1"/>
  <c r="N2082" i="1"/>
  <c r="N2081" i="1"/>
  <c r="N2080" i="1"/>
  <c r="N2079" i="1"/>
  <c r="N2078" i="1"/>
  <c r="N2077" i="1"/>
  <c r="N2076" i="1"/>
  <c r="N2075" i="1"/>
  <c r="N2074" i="1"/>
  <c r="N2073" i="1"/>
  <c r="N2072" i="1"/>
  <c r="N2071" i="1"/>
  <c r="N2070" i="1"/>
  <c r="N2069" i="1"/>
  <c r="N2068" i="1"/>
  <c r="N2067" i="1"/>
  <c r="N2066" i="1"/>
  <c r="N2065" i="1"/>
  <c r="N2064" i="1"/>
  <c r="N2063" i="1"/>
  <c r="N2062" i="1"/>
  <c r="N2061" i="1"/>
  <c r="N2060" i="1"/>
  <c r="N2059" i="1"/>
  <c r="N2058" i="1"/>
  <c r="N2057" i="1"/>
  <c r="N2056" i="1"/>
  <c r="N2055" i="1"/>
  <c r="N2054" i="1"/>
  <c r="N2053" i="1"/>
  <c r="N2052" i="1"/>
  <c r="N2051" i="1"/>
  <c r="N2050" i="1"/>
  <c r="N2049" i="1"/>
  <c r="N2048" i="1"/>
  <c r="N2047" i="1"/>
  <c r="N2046" i="1"/>
  <c r="N2045" i="1"/>
  <c r="N2044" i="1"/>
  <c r="N2043" i="1"/>
  <c r="N2042" i="1"/>
  <c r="N2041" i="1"/>
  <c r="N2040" i="1"/>
  <c r="N2039" i="1"/>
  <c r="N2038" i="1"/>
  <c r="N2037" i="1"/>
  <c r="N2036" i="1"/>
  <c r="N2035" i="1"/>
  <c r="N2034" i="1"/>
  <c r="N2033" i="1"/>
  <c r="N2032" i="1"/>
  <c r="N2031" i="1"/>
  <c r="N2030" i="1"/>
  <c r="N2029" i="1"/>
  <c r="N2028" i="1"/>
  <c r="N2027" i="1"/>
  <c r="N2026" i="1"/>
  <c r="N2025" i="1"/>
  <c r="N2024" i="1"/>
  <c r="N2023" i="1"/>
  <c r="N2022" i="1"/>
  <c r="N2021" i="1"/>
  <c r="N2020" i="1"/>
  <c r="N2019" i="1"/>
  <c r="N2018" i="1"/>
  <c r="N2017" i="1"/>
  <c r="N2016" i="1"/>
  <c r="N2015" i="1"/>
  <c r="N2014" i="1"/>
  <c r="N2013" i="1"/>
  <c r="N2012" i="1"/>
  <c r="N2011" i="1"/>
  <c r="N2010" i="1"/>
  <c r="N2009" i="1"/>
  <c r="N2008" i="1"/>
  <c r="N2007" i="1"/>
  <c r="N2006" i="1"/>
  <c r="N2005" i="1"/>
  <c r="N2004" i="1"/>
  <c r="N2003" i="1"/>
  <c r="N2002" i="1"/>
  <c r="N2001" i="1"/>
  <c r="N2000" i="1"/>
  <c r="N1999" i="1"/>
  <c r="N1998" i="1"/>
  <c r="N1997" i="1"/>
  <c r="N1996" i="1"/>
  <c r="N1995" i="1"/>
  <c r="N1994" i="1"/>
  <c r="N1993" i="1"/>
  <c r="N1992" i="1"/>
  <c r="N1991" i="1"/>
  <c r="N1990" i="1"/>
  <c r="N1989" i="1"/>
  <c r="N1988" i="1"/>
  <c r="N1987" i="1"/>
  <c r="N1986" i="1"/>
  <c r="N1985" i="1"/>
  <c r="N1984" i="1"/>
  <c r="N1983" i="1"/>
  <c r="N1982" i="1"/>
  <c r="N1981" i="1"/>
  <c r="N1980" i="1"/>
  <c r="N1979" i="1"/>
  <c r="N1978" i="1"/>
  <c r="N1977" i="1"/>
  <c r="N1976" i="1"/>
  <c r="N1975" i="1"/>
  <c r="N1974" i="1"/>
  <c r="N1973" i="1"/>
  <c r="N1972" i="1"/>
  <c r="N1971" i="1"/>
  <c r="N1970" i="1"/>
  <c r="N1969" i="1"/>
  <c r="N1968" i="1"/>
  <c r="N1967" i="1"/>
  <c r="N1966" i="1"/>
  <c r="N1965" i="1"/>
  <c r="N1964" i="1"/>
  <c r="N1963" i="1"/>
  <c r="N1962" i="1"/>
  <c r="N1961" i="1"/>
  <c r="N1960" i="1"/>
  <c r="N1959" i="1"/>
  <c r="N1958" i="1"/>
  <c r="N1957" i="1"/>
  <c r="N1956" i="1"/>
  <c r="N1955" i="1"/>
  <c r="N1954" i="1"/>
  <c r="N1953" i="1"/>
  <c r="N1952" i="1"/>
  <c r="N1951" i="1"/>
  <c r="N1950" i="1"/>
  <c r="N1949" i="1"/>
  <c r="N1948" i="1"/>
  <c r="N1947" i="1"/>
  <c r="N1946" i="1"/>
  <c r="N1945" i="1"/>
  <c r="N1944" i="1"/>
  <c r="N1943" i="1"/>
  <c r="N1942" i="1"/>
  <c r="N1941" i="1"/>
  <c r="N1940" i="1"/>
  <c r="N1939" i="1"/>
  <c r="N1938" i="1"/>
  <c r="N1937" i="1"/>
  <c r="N1936" i="1"/>
  <c r="N1935" i="1"/>
  <c r="N1934" i="1"/>
  <c r="N1933" i="1"/>
  <c r="N1932" i="1"/>
  <c r="N1931" i="1"/>
  <c r="N1930" i="1"/>
  <c r="N1929" i="1"/>
  <c r="N1928" i="1"/>
  <c r="N1927" i="1"/>
  <c r="N1926" i="1"/>
  <c r="N1925" i="1"/>
  <c r="N1924" i="1"/>
  <c r="N1923" i="1"/>
  <c r="N1922" i="1"/>
  <c r="N1921" i="1"/>
  <c r="N1920" i="1"/>
  <c r="N1919" i="1"/>
  <c r="N1918" i="1"/>
  <c r="N1917" i="1"/>
  <c r="N1916" i="1"/>
  <c r="N1915" i="1"/>
  <c r="N1914" i="1"/>
  <c r="N1913" i="1"/>
  <c r="N1912" i="1"/>
  <c r="N1911" i="1"/>
  <c r="N1910" i="1"/>
  <c r="N1909" i="1"/>
  <c r="N1908" i="1"/>
  <c r="N1907" i="1"/>
  <c r="N1906" i="1"/>
  <c r="N1905" i="1"/>
  <c r="N1904" i="1"/>
  <c r="N1903" i="1"/>
  <c r="N1902" i="1"/>
  <c r="N1901" i="1"/>
  <c r="N1900" i="1"/>
  <c r="N1899" i="1"/>
  <c r="N1898" i="1"/>
  <c r="N1897" i="1"/>
  <c r="N1896" i="1"/>
  <c r="N1895" i="1"/>
  <c r="N1894" i="1"/>
  <c r="N1893" i="1"/>
  <c r="N1892" i="1"/>
  <c r="N1891" i="1"/>
  <c r="N1890" i="1"/>
  <c r="N1889" i="1"/>
  <c r="N1888" i="1"/>
  <c r="N1887" i="1"/>
  <c r="N1886" i="1"/>
  <c r="N1885" i="1"/>
  <c r="N1884" i="1"/>
  <c r="N1883" i="1"/>
  <c r="N1882" i="1"/>
  <c r="N1881" i="1"/>
  <c r="N1880" i="1"/>
  <c r="N1879" i="1"/>
  <c r="N1878" i="1"/>
  <c r="N1877" i="1"/>
  <c r="N1876" i="1"/>
  <c r="N1875" i="1"/>
  <c r="N1874" i="1"/>
  <c r="N1873" i="1"/>
  <c r="N1872" i="1"/>
  <c r="N1871" i="1"/>
  <c r="N1870" i="1"/>
  <c r="N1869" i="1"/>
  <c r="N1868" i="1"/>
  <c r="N1867" i="1"/>
  <c r="N1866" i="1"/>
  <c r="N1865" i="1"/>
  <c r="N1864" i="1"/>
  <c r="N1863" i="1"/>
  <c r="N1862" i="1"/>
  <c r="N1861" i="1"/>
  <c r="N1860" i="1"/>
  <c r="N1859" i="1"/>
  <c r="N1858" i="1"/>
  <c r="N1857" i="1"/>
  <c r="N1856" i="1"/>
  <c r="N1855" i="1"/>
  <c r="N1854" i="1"/>
  <c r="N1853" i="1"/>
  <c r="N1852" i="1"/>
  <c r="N1851" i="1"/>
  <c r="N1850" i="1"/>
  <c r="N1849" i="1"/>
  <c r="N1848" i="1"/>
  <c r="N1847" i="1"/>
  <c r="N1846" i="1"/>
  <c r="N1845" i="1"/>
  <c r="N1844" i="1"/>
  <c r="N1843" i="1"/>
  <c r="N1842" i="1"/>
  <c r="N1841" i="1"/>
  <c r="N1840" i="1"/>
  <c r="N1839" i="1"/>
  <c r="N1838" i="1"/>
  <c r="N1837" i="1"/>
  <c r="N1836" i="1"/>
  <c r="N1835" i="1"/>
  <c r="N1834" i="1"/>
  <c r="N1833" i="1"/>
  <c r="N1832" i="1"/>
  <c r="N1831" i="1"/>
  <c r="N1830" i="1"/>
  <c r="N1829" i="1"/>
  <c r="N1828" i="1"/>
  <c r="N1827" i="1"/>
  <c r="N1826" i="1"/>
  <c r="N1825" i="1"/>
  <c r="N1824" i="1"/>
  <c r="N1823" i="1"/>
  <c r="N1822" i="1"/>
  <c r="N1821" i="1"/>
  <c r="N1820" i="1"/>
  <c r="N1819" i="1"/>
  <c r="N1818" i="1"/>
  <c r="N1817" i="1"/>
  <c r="N1816" i="1"/>
  <c r="N1815" i="1"/>
  <c r="N1814" i="1"/>
  <c r="N1813" i="1"/>
  <c r="N1812" i="1"/>
  <c r="N1811" i="1"/>
  <c r="N1810" i="1"/>
  <c r="N1809" i="1"/>
  <c r="N1808" i="1"/>
  <c r="N1807" i="1"/>
  <c r="N1806" i="1"/>
  <c r="N1805" i="1"/>
  <c r="N1804" i="1"/>
  <c r="N1803" i="1"/>
  <c r="N1802" i="1"/>
  <c r="N1801" i="1"/>
  <c r="N1800" i="1"/>
  <c r="N1799" i="1"/>
  <c r="N1798" i="1"/>
  <c r="N1797" i="1"/>
  <c r="N1796" i="1"/>
  <c r="N1795" i="1"/>
  <c r="N1794" i="1"/>
  <c r="N1793" i="1"/>
  <c r="N1792" i="1"/>
  <c r="N1791" i="1"/>
  <c r="N1790" i="1"/>
  <c r="N1789" i="1"/>
  <c r="N1788" i="1"/>
  <c r="N1787" i="1"/>
  <c r="N1786" i="1"/>
  <c r="N1785" i="1"/>
  <c r="N1784" i="1"/>
  <c r="N1783" i="1"/>
  <c r="N1782" i="1"/>
  <c r="N1781" i="1"/>
  <c r="N1780" i="1"/>
  <c r="N1779" i="1"/>
  <c r="N1778" i="1"/>
  <c r="N1777" i="1"/>
  <c r="N1776" i="1"/>
  <c r="N1775" i="1"/>
  <c r="N1774" i="1"/>
  <c r="N1773" i="1"/>
  <c r="N1772" i="1"/>
  <c r="N1771" i="1"/>
  <c r="N1770" i="1"/>
  <c r="N1769" i="1"/>
  <c r="N1768" i="1"/>
  <c r="N1767" i="1"/>
  <c r="N1766" i="1"/>
  <c r="N1765" i="1"/>
  <c r="N1764" i="1"/>
  <c r="N1763" i="1"/>
  <c r="N1762" i="1"/>
  <c r="N1761" i="1"/>
  <c r="N1760" i="1"/>
  <c r="N1759" i="1"/>
  <c r="N1758" i="1"/>
  <c r="N1757" i="1"/>
  <c r="N1756" i="1"/>
  <c r="N1755" i="1"/>
  <c r="N1754" i="1"/>
  <c r="N1753" i="1"/>
  <c r="N1752" i="1"/>
  <c r="N1751" i="1"/>
  <c r="N1750" i="1"/>
  <c r="N1749" i="1"/>
  <c r="N1748" i="1"/>
  <c r="N1747" i="1"/>
  <c r="N1746" i="1"/>
  <c r="N1745" i="1"/>
  <c r="N1744" i="1"/>
  <c r="N1743" i="1"/>
  <c r="N1742" i="1"/>
  <c r="N1741" i="1"/>
  <c r="N1740" i="1"/>
  <c r="N1739" i="1"/>
  <c r="N1738" i="1"/>
  <c r="N1737" i="1"/>
  <c r="N1736" i="1"/>
  <c r="N1735" i="1"/>
  <c r="N1734" i="1"/>
  <c r="N1733" i="1"/>
  <c r="N1732" i="1"/>
  <c r="N1731" i="1"/>
  <c r="N1730" i="1"/>
  <c r="N1729" i="1"/>
  <c r="N1728" i="1"/>
  <c r="N1727" i="1"/>
  <c r="N1726" i="1"/>
  <c r="N1725" i="1"/>
  <c r="N1724" i="1"/>
  <c r="N1723" i="1"/>
  <c r="N1722" i="1"/>
  <c r="N1721" i="1"/>
  <c r="N1720" i="1"/>
  <c r="N1719" i="1"/>
  <c r="N1718" i="1"/>
  <c r="N1717" i="1"/>
  <c r="N1716" i="1"/>
  <c r="N1715" i="1"/>
  <c r="N1714" i="1"/>
  <c r="N1713" i="1"/>
  <c r="N1712" i="1"/>
  <c r="N1711" i="1"/>
  <c r="N1710" i="1"/>
  <c r="N1709" i="1"/>
  <c r="N1708" i="1"/>
  <c r="N1707" i="1"/>
  <c r="N1706" i="1"/>
  <c r="N1705" i="1"/>
  <c r="N1704" i="1"/>
  <c r="N1703" i="1"/>
  <c r="N1702" i="1"/>
  <c r="N1701" i="1"/>
  <c r="N1700" i="1"/>
  <c r="N1699" i="1"/>
  <c r="N1698" i="1"/>
  <c r="N1697" i="1"/>
  <c r="N1696" i="1"/>
  <c r="N1695" i="1"/>
  <c r="N1694" i="1"/>
  <c r="N1693" i="1"/>
  <c r="N1692" i="1"/>
  <c r="N1691" i="1"/>
  <c r="N1690" i="1"/>
  <c r="N1689" i="1"/>
  <c r="N1688" i="1"/>
  <c r="N1687" i="1"/>
  <c r="N1686" i="1"/>
  <c r="N1685" i="1"/>
  <c r="N1684" i="1"/>
  <c r="N1683" i="1"/>
  <c r="N1682" i="1"/>
  <c r="N1681" i="1"/>
  <c r="N1680" i="1"/>
  <c r="N1679" i="1"/>
  <c r="N1678" i="1"/>
  <c r="N1677" i="1"/>
  <c r="N1676" i="1"/>
  <c r="N1675" i="1"/>
  <c r="N1674" i="1"/>
  <c r="N1673" i="1"/>
  <c r="N1672" i="1"/>
  <c r="N1671" i="1"/>
  <c r="N1670" i="1"/>
  <c r="N1669" i="1"/>
  <c r="N1668" i="1"/>
  <c r="N1667" i="1"/>
  <c r="N1666" i="1"/>
  <c r="N1665" i="1"/>
  <c r="N1664" i="1"/>
  <c r="N1663" i="1"/>
  <c r="N1662" i="1"/>
  <c r="N1661" i="1"/>
  <c r="N1660" i="1"/>
  <c r="N1659" i="1"/>
  <c r="N1658" i="1"/>
  <c r="N1657" i="1"/>
  <c r="N1656" i="1"/>
  <c r="N1655" i="1"/>
  <c r="N1654" i="1"/>
  <c r="N1653" i="1"/>
  <c r="N1652" i="1"/>
  <c r="N1651" i="1"/>
  <c r="N1650" i="1"/>
  <c r="N1649" i="1"/>
  <c r="N1648" i="1"/>
  <c r="N1647" i="1"/>
  <c r="N1646" i="1"/>
  <c r="N1645" i="1"/>
  <c r="N1644" i="1"/>
  <c r="N1643" i="1"/>
  <c r="N1642" i="1"/>
  <c r="N1641" i="1"/>
  <c r="N1640" i="1"/>
  <c r="N1639" i="1"/>
  <c r="N1638" i="1"/>
  <c r="N1637" i="1"/>
  <c r="N1636" i="1"/>
  <c r="N1635" i="1"/>
  <c r="N1634" i="1"/>
  <c r="N1633" i="1"/>
  <c r="N1632" i="1"/>
  <c r="N1631" i="1"/>
  <c r="N1630" i="1"/>
  <c r="N1629" i="1"/>
  <c r="N1628" i="1"/>
  <c r="N1627" i="1"/>
  <c r="N1626" i="1"/>
  <c r="N1625" i="1"/>
  <c r="N1624" i="1"/>
  <c r="N1623" i="1"/>
  <c r="N1622" i="1"/>
  <c r="N1621" i="1"/>
  <c r="N1620" i="1"/>
  <c r="N1619" i="1"/>
  <c r="N1618" i="1"/>
  <c r="N1617" i="1"/>
  <c r="N1616" i="1"/>
  <c r="N1615" i="1"/>
  <c r="N1614" i="1"/>
  <c r="N1613" i="1"/>
  <c r="N1612" i="1"/>
  <c r="N1611" i="1"/>
  <c r="N1610" i="1"/>
  <c r="N1609" i="1"/>
  <c r="N1608" i="1"/>
  <c r="N1607" i="1"/>
  <c r="N1606" i="1"/>
  <c r="N1605" i="1"/>
  <c r="N1604" i="1"/>
  <c r="N1603" i="1"/>
  <c r="N1602" i="1"/>
  <c r="N1601" i="1"/>
  <c r="N1600" i="1"/>
  <c r="N1599" i="1"/>
  <c r="N1598" i="1"/>
  <c r="N1597" i="1"/>
  <c r="N1596" i="1"/>
  <c r="N1595" i="1"/>
  <c r="N1594" i="1"/>
  <c r="N1593" i="1"/>
  <c r="N1592" i="1"/>
  <c r="N1591" i="1"/>
  <c r="N1590" i="1"/>
  <c r="N1589" i="1"/>
  <c r="N1588" i="1"/>
  <c r="N1587" i="1"/>
  <c r="N1586" i="1"/>
  <c r="N1585" i="1"/>
  <c r="N1584" i="1"/>
  <c r="N1583" i="1"/>
  <c r="N1582" i="1"/>
  <c r="N1581" i="1"/>
  <c r="N1580" i="1"/>
  <c r="N1579" i="1"/>
  <c r="N1578" i="1"/>
  <c r="N1577" i="1"/>
  <c r="N1576" i="1"/>
  <c r="N1575" i="1"/>
  <c r="N1574" i="1"/>
  <c r="N1573" i="1"/>
  <c r="N1572" i="1"/>
  <c r="N1571" i="1"/>
  <c r="N1570" i="1"/>
  <c r="N1569" i="1"/>
  <c r="N1568" i="1"/>
  <c r="N1567" i="1"/>
  <c r="N1566" i="1"/>
  <c r="N1565" i="1"/>
  <c r="N1564" i="1"/>
  <c r="N1563" i="1"/>
  <c r="N1562" i="1"/>
  <c r="N1561" i="1"/>
  <c r="N1560" i="1"/>
  <c r="N1559" i="1"/>
  <c r="N1558" i="1"/>
  <c r="N1557" i="1"/>
  <c r="N1556" i="1"/>
  <c r="N1555" i="1"/>
  <c r="N1554" i="1"/>
  <c r="N1553" i="1"/>
  <c r="N1552" i="1"/>
  <c r="N1551" i="1"/>
  <c r="N1550" i="1"/>
  <c r="N1549" i="1"/>
  <c r="N1548" i="1"/>
  <c r="N1547" i="1"/>
  <c r="N1546" i="1"/>
  <c r="N1545" i="1"/>
  <c r="N1544" i="1"/>
  <c r="N1543" i="1"/>
  <c r="N1542" i="1"/>
  <c r="N1541" i="1"/>
  <c r="N1540" i="1"/>
  <c r="N1539" i="1"/>
  <c r="N1538" i="1"/>
  <c r="N1537" i="1"/>
  <c r="N1536" i="1"/>
  <c r="N1535" i="1"/>
  <c r="N1534" i="1"/>
  <c r="N1533" i="1"/>
  <c r="N1532" i="1"/>
  <c r="N1531" i="1"/>
  <c r="N1530" i="1"/>
  <c r="N1529" i="1"/>
  <c r="N1528" i="1"/>
  <c r="N1527" i="1"/>
  <c r="N1526" i="1"/>
  <c r="N1525" i="1"/>
  <c r="N1524" i="1"/>
  <c r="N1523" i="1"/>
  <c r="N1522" i="1"/>
  <c r="N1521" i="1"/>
  <c r="N1520" i="1"/>
  <c r="N1519" i="1"/>
  <c r="N1518" i="1"/>
  <c r="N1517" i="1"/>
  <c r="N1516" i="1"/>
  <c r="N1515" i="1"/>
  <c r="N1514" i="1"/>
  <c r="N1513" i="1"/>
  <c r="N1512" i="1"/>
  <c r="N1511" i="1"/>
  <c r="N1510" i="1"/>
  <c r="N1509" i="1"/>
  <c r="N1508" i="1"/>
  <c r="N1507" i="1"/>
  <c r="N1506" i="1"/>
  <c r="N1505" i="1"/>
  <c r="N1504" i="1"/>
  <c r="N1503" i="1"/>
  <c r="N1502" i="1"/>
  <c r="N1501" i="1"/>
  <c r="N1500" i="1"/>
  <c r="N1499" i="1"/>
  <c r="N1498" i="1"/>
  <c r="N1497" i="1"/>
  <c r="N1496" i="1"/>
  <c r="N1495" i="1"/>
  <c r="N1494" i="1"/>
  <c r="N1493" i="1"/>
  <c r="N1492" i="1"/>
  <c r="N1491" i="1"/>
  <c r="N1490" i="1"/>
  <c r="N1489" i="1"/>
  <c r="N1488" i="1"/>
  <c r="N1487" i="1"/>
  <c r="N1486" i="1"/>
  <c r="N1485" i="1"/>
  <c r="N1484" i="1"/>
  <c r="N1483" i="1"/>
  <c r="N1482" i="1"/>
  <c r="N1481" i="1"/>
  <c r="N1480" i="1"/>
  <c r="N1479" i="1"/>
  <c r="N1478" i="1"/>
  <c r="N1477" i="1"/>
  <c r="N1476" i="1"/>
  <c r="N1475" i="1"/>
  <c r="N1474" i="1"/>
  <c r="N1473" i="1"/>
  <c r="N1472" i="1"/>
  <c r="N1471" i="1"/>
  <c r="N1470" i="1"/>
  <c r="N1469" i="1"/>
  <c r="N1468" i="1"/>
  <c r="N1467" i="1"/>
  <c r="N1466" i="1"/>
  <c r="N1465" i="1"/>
  <c r="N1464" i="1"/>
  <c r="N1463" i="1"/>
  <c r="N1462" i="1"/>
  <c r="N1461" i="1"/>
  <c r="N1460" i="1"/>
  <c r="N1459" i="1"/>
  <c r="N1458" i="1"/>
  <c r="N1457" i="1"/>
  <c r="N1456" i="1"/>
  <c r="N1455" i="1"/>
  <c r="N1454" i="1"/>
  <c r="N1453" i="1"/>
  <c r="N1452" i="1"/>
  <c r="N1451" i="1"/>
  <c r="N1450" i="1"/>
  <c r="N1449" i="1"/>
  <c r="N1448" i="1"/>
  <c r="N1447" i="1"/>
  <c r="N1446" i="1"/>
  <c r="N1445" i="1"/>
  <c r="N1444" i="1"/>
  <c r="N1443" i="1"/>
  <c r="N1442" i="1"/>
  <c r="N1441" i="1"/>
  <c r="N1440" i="1"/>
  <c r="N1439" i="1"/>
  <c r="N1438" i="1"/>
  <c r="N1437" i="1"/>
  <c r="N1436" i="1"/>
  <c r="N1435" i="1"/>
  <c r="N1434" i="1"/>
  <c r="N1433" i="1"/>
  <c r="N1432" i="1"/>
  <c r="N1431" i="1"/>
  <c r="N1430" i="1"/>
  <c r="N1429" i="1"/>
  <c r="N1428" i="1"/>
  <c r="N1427" i="1"/>
  <c r="N1426" i="1"/>
  <c r="N1425" i="1"/>
  <c r="N1424" i="1"/>
  <c r="N1423" i="1"/>
  <c r="N1422" i="1"/>
  <c r="N1421" i="1"/>
  <c r="N1420" i="1"/>
  <c r="N1419" i="1"/>
  <c r="N1418" i="1"/>
  <c r="N1417" i="1"/>
  <c r="N1416" i="1"/>
  <c r="N1415" i="1"/>
  <c r="N1414" i="1"/>
  <c r="N1413" i="1"/>
  <c r="N1412" i="1"/>
  <c r="N1411" i="1"/>
  <c r="N1410" i="1"/>
  <c r="N1409" i="1"/>
  <c r="N1408" i="1"/>
  <c r="N1407" i="1"/>
  <c r="N1406" i="1"/>
  <c r="N1405" i="1"/>
  <c r="N1404" i="1"/>
  <c r="N1403" i="1"/>
  <c r="N1402" i="1"/>
  <c r="N1401" i="1"/>
  <c r="N1400" i="1"/>
  <c r="N1399" i="1"/>
  <c r="N1398" i="1"/>
  <c r="N1397" i="1"/>
  <c r="N1396" i="1"/>
  <c r="N1395" i="1"/>
  <c r="N1394" i="1"/>
  <c r="N1393" i="1"/>
  <c r="N1392" i="1"/>
  <c r="N1391" i="1"/>
  <c r="N1390" i="1"/>
  <c r="N1389" i="1"/>
  <c r="N1388" i="1"/>
  <c r="N1387" i="1"/>
  <c r="N1386" i="1"/>
  <c r="N1385" i="1"/>
  <c r="N1384" i="1"/>
  <c r="N1383" i="1"/>
  <c r="N1382" i="1"/>
  <c r="N1381" i="1"/>
  <c r="N1380" i="1"/>
  <c r="N1379" i="1"/>
  <c r="N1378" i="1"/>
  <c r="N1377" i="1"/>
  <c r="N1376" i="1"/>
  <c r="N1375" i="1"/>
  <c r="N1374" i="1"/>
  <c r="N1373" i="1"/>
  <c r="N1372" i="1"/>
  <c r="N1371" i="1"/>
  <c r="N1370" i="1"/>
  <c r="N1369" i="1"/>
  <c r="N1368" i="1"/>
  <c r="N1367" i="1"/>
  <c r="N1366" i="1"/>
  <c r="N1365" i="1"/>
  <c r="N1364" i="1"/>
  <c r="N1363" i="1"/>
  <c r="N1362" i="1"/>
  <c r="N1361" i="1"/>
  <c r="N1360" i="1"/>
  <c r="N1359" i="1"/>
  <c r="N1358" i="1"/>
  <c r="N1357" i="1"/>
  <c r="N1356" i="1"/>
  <c r="N1355" i="1"/>
  <c r="N1354" i="1"/>
  <c r="N1353" i="1"/>
  <c r="N1352" i="1"/>
  <c r="N1351" i="1"/>
  <c r="N1350" i="1"/>
  <c r="N1349" i="1"/>
  <c r="N1348" i="1"/>
  <c r="N1347" i="1"/>
  <c r="N1346" i="1"/>
  <c r="N1345" i="1"/>
  <c r="N1344" i="1"/>
  <c r="N1343" i="1"/>
  <c r="N1342" i="1"/>
  <c r="N1341" i="1"/>
  <c r="N1340" i="1"/>
  <c r="N1339" i="1"/>
  <c r="N1338" i="1"/>
  <c r="N1337" i="1"/>
  <c r="N1336" i="1"/>
  <c r="N1335" i="1"/>
  <c r="N1334" i="1"/>
  <c r="N1333" i="1"/>
  <c r="N1332" i="1"/>
  <c r="N1331" i="1"/>
  <c r="N1330" i="1"/>
  <c r="N1329" i="1"/>
  <c r="N1328" i="1"/>
  <c r="N1327" i="1"/>
  <c r="N1326" i="1"/>
  <c r="N1325" i="1"/>
  <c r="N1324" i="1"/>
  <c r="N1323" i="1"/>
  <c r="N1322" i="1"/>
  <c r="N1321" i="1"/>
  <c r="N1320" i="1"/>
  <c r="N1319" i="1"/>
  <c r="N1318" i="1"/>
  <c r="N1317" i="1"/>
  <c r="N1316" i="1"/>
  <c r="N1315" i="1"/>
  <c r="N1314" i="1"/>
  <c r="N1313" i="1"/>
  <c r="N1312" i="1"/>
  <c r="N1311" i="1"/>
  <c r="N1310" i="1"/>
  <c r="N1309" i="1"/>
  <c r="N1308" i="1"/>
  <c r="N1307" i="1"/>
  <c r="N1306" i="1"/>
  <c r="N1305" i="1"/>
  <c r="N1304" i="1"/>
  <c r="N1303" i="1"/>
  <c r="N1302" i="1"/>
  <c r="N1301" i="1"/>
  <c r="N1300" i="1"/>
  <c r="N1299" i="1"/>
  <c r="N1298" i="1"/>
  <c r="N1297" i="1"/>
  <c r="N1296" i="1"/>
  <c r="N1295" i="1"/>
  <c r="N1294" i="1"/>
  <c r="N1293" i="1"/>
  <c r="N1292" i="1"/>
  <c r="N1291" i="1"/>
  <c r="N1290" i="1"/>
  <c r="N1289" i="1"/>
  <c r="N1288" i="1"/>
  <c r="N1287" i="1"/>
  <c r="N1286" i="1"/>
  <c r="N1285" i="1"/>
  <c r="N1284" i="1"/>
  <c r="N1283" i="1"/>
  <c r="N1282" i="1"/>
  <c r="N1281" i="1"/>
  <c r="N1280" i="1"/>
  <c r="N1279" i="1"/>
  <c r="N1278" i="1"/>
  <c r="N1277" i="1"/>
  <c r="N1276" i="1"/>
  <c r="N1275" i="1"/>
  <c r="N1274" i="1"/>
  <c r="N1273" i="1"/>
  <c r="N1272" i="1"/>
  <c r="N1271" i="1"/>
  <c r="N1270" i="1"/>
  <c r="N1269" i="1"/>
  <c r="N1268" i="1"/>
  <c r="N1267" i="1"/>
  <c r="N1266" i="1"/>
  <c r="N1265" i="1"/>
  <c r="N1264" i="1"/>
  <c r="N1263" i="1"/>
  <c r="N1262" i="1"/>
  <c r="N1261" i="1"/>
  <c r="N1260" i="1"/>
  <c r="N1259" i="1"/>
  <c r="N1258" i="1"/>
  <c r="N1257" i="1"/>
  <c r="N1256" i="1"/>
  <c r="N1255" i="1"/>
  <c r="N1254" i="1"/>
  <c r="N1253" i="1"/>
  <c r="N1252" i="1"/>
  <c r="N1251" i="1"/>
  <c r="N1250" i="1"/>
  <c r="N1249" i="1"/>
  <c r="N1248" i="1"/>
  <c r="N1247" i="1"/>
  <c r="N1246" i="1"/>
  <c r="N1245" i="1"/>
  <c r="N1244" i="1"/>
  <c r="N1243" i="1"/>
  <c r="N1242" i="1"/>
  <c r="N1241" i="1"/>
  <c r="N1240" i="1"/>
  <c r="N1239" i="1"/>
  <c r="N1238" i="1"/>
  <c r="N1237" i="1"/>
  <c r="N1236" i="1"/>
  <c r="N1235" i="1"/>
  <c r="N1234" i="1"/>
  <c r="N1233" i="1"/>
  <c r="N1232" i="1"/>
  <c r="N1231" i="1"/>
  <c r="N1230" i="1"/>
  <c r="N1229" i="1"/>
  <c r="N1228" i="1"/>
  <c r="N1227" i="1"/>
  <c r="N1226" i="1"/>
  <c r="N1225" i="1"/>
  <c r="N1224" i="1"/>
  <c r="N1223" i="1"/>
  <c r="N1222" i="1"/>
  <c r="N1221" i="1"/>
  <c r="N1220" i="1"/>
  <c r="N1219" i="1"/>
  <c r="N1218" i="1"/>
  <c r="N1217" i="1"/>
  <c r="N1216" i="1"/>
  <c r="N1215" i="1"/>
  <c r="N1214" i="1"/>
  <c r="N1213" i="1"/>
  <c r="N1212" i="1"/>
  <c r="N1211" i="1"/>
  <c r="N1210" i="1"/>
  <c r="N1209" i="1"/>
  <c r="N1208" i="1"/>
  <c r="N1207" i="1"/>
  <c r="N1206" i="1"/>
  <c r="N1205" i="1"/>
  <c r="N1204" i="1"/>
  <c r="N1203" i="1"/>
  <c r="N1202" i="1"/>
  <c r="N1201" i="1"/>
  <c r="N1200" i="1"/>
  <c r="N1199" i="1"/>
  <c r="N1198" i="1"/>
  <c r="N1197" i="1"/>
  <c r="N1196" i="1"/>
  <c r="N1195" i="1"/>
  <c r="N1194" i="1"/>
  <c r="N1193" i="1"/>
  <c r="N1192" i="1"/>
  <c r="N1191" i="1"/>
  <c r="N1190" i="1"/>
  <c r="N1189" i="1"/>
  <c r="N1188" i="1"/>
  <c r="N1187" i="1"/>
  <c r="N1186" i="1"/>
  <c r="N1185" i="1"/>
  <c r="N1184" i="1"/>
  <c r="N1183" i="1"/>
  <c r="N1182" i="1"/>
  <c r="N1181" i="1"/>
  <c r="N1180" i="1"/>
  <c r="N1179" i="1"/>
  <c r="N1178" i="1"/>
  <c r="N1177" i="1"/>
  <c r="N1176" i="1"/>
  <c r="N1175" i="1"/>
  <c r="N1174" i="1"/>
  <c r="N1173" i="1"/>
  <c r="N1172" i="1"/>
  <c r="N1171" i="1"/>
  <c r="N1170" i="1"/>
  <c r="N1169" i="1"/>
  <c r="N1168" i="1"/>
  <c r="N1167" i="1"/>
  <c r="N1166" i="1"/>
  <c r="N1165" i="1"/>
  <c r="N1164" i="1"/>
  <c r="N1163" i="1"/>
  <c r="N1162" i="1"/>
  <c r="N1161" i="1"/>
  <c r="N1160" i="1"/>
  <c r="N1159" i="1"/>
  <c r="N1158" i="1"/>
  <c r="N1157" i="1"/>
  <c r="N1156" i="1"/>
  <c r="N1155" i="1"/>
  <c r="N1154" i="1"/>
  <c r="N1153" i="1"/>
  <c r="N1152" i="1"/>
  <c r="N1151" i="1"/>
  <c r="N1150" i="1"/>
  <c r="N1149" i="1"/>
  <c r="N1148" i="1"/>
  <c r="N1147" i="1"/>
  <c r="N1146" i="1"/>
  <c r="N1145" i="1"/>
  <c r="N1144" i="1"/>
  <c r="N1143" i="1"/>
  <c r="N1142" i="1"/>
  <c r="N1141" i="1"/>
  <c r="N1140" i="1"/>
  <c r="N1139" i="1"/>
  <c r="N1138" i="1"/>
  <c r="N1137" i="1"/>
  <c r="N1136" i="1"/>
  <c r="N1135" i="1"/>
  <c r="N1134" i="1"/>
  <c r="N1133" i="1"/>
  <c r="N1132" i="1"/>
  <c r="N1131" i="1"/>
  <c r="N1130" i="1"/>
  <c r="N1129" i="1"/>
  <c r="N1128" i="1"/>
  <c r="N1127" i="1"/>
  <c r="N1126" i="1"/>
  <c r="N1125" i="1"/>
  <c r="N1124" i="1"/>
  <c r="N1123" i="1"/>
  <c r="N1122" i="1"/>
  <c r="N1121" i="1"/>
  <c r="N1120" i="1"/>
  <c r="N1119" i="1"/>
  <c r="N1118" i="1"/>
  <c r="N1117" i="1"/>
  <c r="N1116" i="1"/>
  <c r="N1115" i="1"/>
  <c r="N1114" i="1"/>
  <c r="N1113" i="1"/>
  <c r="N1112" i="1"/>
  <c r="N1111" i="1"/>
  <c r="N1110" i="1"/>
  <c r="N1109" i="1"/>
  <c r="N1108" i="1"/>
  <c r="N1107" i="1"/>
  <c r="N1106" i="1"/>
  <c r="N1105" i="1"/>
  <c r="N1104" i="1"/>
  <c r="N1103" i="1"/>
  <c r="N1102" i="1"/>
  <c r="N1101" i="1"/>
  <c r="N1100" i="1"/>
  <c r="N1099" i="1"/>
  <c r="N1098" i="1"/>
  <c r="N1097" i="1"/>
  <c r="N1096" i="1"/>
  <c r="N1095" i="1"/>
  <c r="N1094" i="1"/>
  <c r="N1093" i="1"/>
  <c r="N1092" i="1"/>
  <c r="N1091" i="1"/>
  <c r="N1090" i="1"/>
  <c r="N1089" i="1"/>
  <c r="N1088" i="1"/>
  <c r="N1087" i="1"/>
  <c r="N1086" i="1"/>
  <c r="N1085" i="1"/>
  <c r="N1084" i="1"/>
  <c r="N1083" i="1"/>
  <c r="N1082" i="1"/>
  <c r="N1081" i="1"/>
  <c r="N1080" i="1"/>
  <c r="N1079" i="1"/>
  <c r="N1078" i="1"/>
  <c r="N1077" i="1"/>
  <c r="N1076" i="1"/>
  <c r="N1075" i="1"/>
  <c r="N1074" i="1"/>
  <c r="N1073" i="1"/>
  <c r="N1072" i="1"/>
  <c r="N1071" i="1"/>
  <c r="N1070" i="1"/>
  <c r="N1069" i="1"/>
  <c r="N1068" i="1"/>
  <c r="N1067" i="1"/>
  <c r="N1066" i="1"/>
  <c r="N1065" i="1"/>
  <c r="N1064" i="1"/>
  <c r="N1063" i="1"/>
  <c r="N1062" i="1"/>
  <c r="N1061" i="1"/>
  <c r="N1060" i="1"/>
  <c r="N1059" i="1"/>
  <c r="N1058" i="1"/>
  <c r="N1057" i="1"/>
  <c r="N1056" i="1"/>
  <c r="N1055" i="1"/>
  <c r="N1054" i="1"/>
  <c r="N1053" i="1"/>
  <c r="N1052" i="1"/>
  <c r="N1051" i="1"/>
  <c r="N1050" i="1"/>
  <c r="N1049" i="1"/>
  <c r="N1048" i="1"/>
  <c r="N1047" i="1"/>
  <c r="N1046" i="1"/>
  <c r="N1045" i="1"/>
  <c r="N1044" i="1"/>
  <c r="N1043" i="1"/>
  <c r="N1042" i="1"/>
  <c r="N1041" i="1"/>
  <c r="N1040" i="1"/>
  <c r="N1039" i="1"/>
  <c r="N1038" i="1"/>
  <c r="N1037" i="1"/>
  <c r="N1036" i="1"/>
  <c r="N1035" i="1"/>
  <c r="N1034" i="1"/>
  <c r="N1033" i="1"/>
  <c r="N1032" i="1"/>
  <c r="N1031" i="1"/>
  <c r="N1030" i="1"/>
  <c r="N1029" i="1"/>
  <c r="N1028" i="1"/>
  <c r="N1027" i="1"/>
  <c r="N1026" i="1"/>
  <c r="N1025" i="1"/>
  <c r="N1024" i="1"/>
  <c r="N1023" i="1"/>
  <c r="N1022" i="1"/>
  <c r="N1021" i="1"/>
  <c r="N1020" i="1"/>
  <c r="N1019" i="1"/>
  <c r="N1018" i="1"/>
  <c r="N1017" i="1"/>
  <c r="N1016" i="1"/>
  <c r="N1015" i="1"/>
  <c r="N1014" i="1"/>
  <c r="N1013" i="1"/>
  <c r="N1012" i="1"/>
  <c r="N1011" i="1"/>
  <c r="N1010" i="1"/>
  <c r="N1009" i="1"/>
  <c r="N1008" i="1"/>
  <c r="N1007" i="1"/>
  <c r="N1006" i="1"/>
  <c r="N1005" i="1"/>
  <c r="N1004" i="1"/>
  <c r="N1003" i="1"/>
  <c r="N1002" i="1"/>
  <c r="N1001" i="1"/>
  <c r="N1000" i="1"/>
  <c r="N999" i="1"/>
  <c r="N998" i="1"/>
  <c r="N997" i="1"/>
  <c r="N996" i="1"/>
  <c r="N995" i="1"/>
  <c r="N994" i="1"/>
  <c r="N993" i="1"/>
  <c r="N992" i="1"/>
  <c r="N991" i="1"/>
  <c r="N990" i="1"/>
  <c r="N989" i="1"/>
  <c r="N988" i="1"/>
  <c r="N987" i="1"/>
  <c r="N986" i="1"/>
  <c r="N985" i="1"/>
  <c r="N984" i="1"/>
  <c r="N983" i="1"/>
  <c r="N982" i="1"/>
  <c r="N981" i="1"/>
  <c r="N980" i="1"/>
  <c r="N979" i="1"/>
  <c r="N978" i="1"/>
  <c r="N977" i="1"/>
  <c r="N976" i="1"/>
  <c r="N975" i="1"/>
  <c r="N974" i="1"/>
  <c r="N973" i="1"/>
  <c r="N972" i="1"/>
  <c r="N971" i="1"/>
  <c r="N970" i="1"/>
  <c r="N969" i="1"/>
  <c r="N968" i="1"/>
  <c r="N967" i="1"/>
  <c r="N966" i="1"/>
  <c r="N965" i="1"/>
  <c r="N964" i="1"/>
  <c r="N963" i="1"/>
  <c r="N962" i="1"/>
  <c r="N961" i="1"/>
  <c r="N960" i="1"/>
  <c r="N959" i="1"/>
  <c r="N958" i="1"/>
  <c r="N957" i="1"/>
  <c r="N956" i="1"/>
  <c r="N955" i="1"/>
  <c r="N954" i="1"/>
  <c r="N953" i="1"/>
  <c r="N952" i="1"/>
  <c r="N951" i="1"/>
  <c r="N950" i="1"/>
  <c r="N949" i="1"/>
  <c r="N948" i="1"/>
  <c r="N947" i="1"/>
  <c r="N946" i="1"/>
  <c r="N945" i="1"/>
  <c r="N944" i="1"/>
  <c r="N943" i="1"/>
  <c r="N942" i="1"/>
  <c r="N941" i="1"/>
  <c r="N940" i="1"/>
  <c r="N939" i="1"/>
  <c r="N938" i="1"/>
  <c r="N937" i="1"/>
  <c r="N936" i="1"/>
  <c r="N935" i="1"/>
  <c r="N934" i="1"/>
  <c r="N933" i="1"/>
  <c r="N932" i="1"/>
  <c r="N931" i="1"/>
  <c r="N930" i="1"/>
  <c r="N929" i="1"/>
  <c r="N928" i="1"/>
  <c r="N927" i="1"/>
  <c r="N926" i="1"/>
  <c r="N925" i="1"/>
  <c r="N924" i="1"/>
  <c r="N923" i="1"/>
  <c r="N922" i="1"/>
  <c r="N921" i="1"/>
  <c r="N920" i="1"/>
  <c r="N919" i="1"/>
  <c r="N918" i="1"/>
  <c r="N917" i="1"/>
  <c r="N916" i="1"/>
  <c r="N915" i="1"/>
  <c r="N914" i="1"/>
  <c r="N913" i="1"/>
  <c r="N912" i="1"/>
  <c r="N911" i="1"/>
  <c r="N910" i="1"/>
  <c r="N909" i="1"/>
  <c r="N908" i="1"/>
  <c r="N907" i="1"/>
  <c r="N906" i="1"/>
  <c r="N905" i="1"/>
  <c r="N904" i="1"/>
  <c r="N903" i="1"/>
  <c r="N902" i="1"/>
  <c r="N901" i="1"/>
  <c r="N900" i="1"/>
  <c r="N899" i="1"/>
  <c r="N898" i="1"/>
  <c r="N897" i="1"/>
  <c r="N896" i="1"/>
  <c r="N895" i="1"/>
  <c r="N894" i="1"/>
  <c r="N893" i="1"/>
  <c r="N892" i="1"/>
  <c r="N891" i="1"/>
  <c r="N890" i="1"/>
  <c r="N889" i="1"/>
  <c r="N888" i="1"/>
  <c r="N887" i="1"/>
  <c r="N886" i="1"/>
  <c r="N885" i="1"/>
  <c r="N884" i="1"/>
  <c r="N883" i="1"/>
  <c r="N882" i="1"/>
  <c r="N881" i="1"/>
  <c r="N880" i="1"/>
  <c r="N879" i="1"/>
  <c r="N878" i="1"/>
  <c r="N877" i="1"/>
  <c r="N876" i="1"/>
  <c r="N875" i="1"/>
  <c r="N874" i="1"/>
  <c r="N873" i="1"/>
  <c r="N872" i="1"/>
  <c r="N871" i="1"/>
  <c r="N870" i="1"/>
  <c r="N869" i="1"/>
  <c r="N868" i="1"/>
  <c r="N867" i="1"/>
  <c r="N866" i="1"/>
  <c r="N865" i="1"/>
  <c r="N864" i="1"/>
  <c r="N863" i="1"/>
  <c r="N862" i="1"/>
  <c r="N861" i="1"/>
  <c r="N860" i="1"/>
  <c r="N859" i="1"/>
  <c r="N858" i="1"/>
  <c r="N857" i="1"/>
  <c r="N856" i="1"/>
  <c r="N855" i="1"/>
  <c r="N854" i="1"/>
  <c r="N853" i="1"/>
  <c r="N852" i="1"/>
  <c r="N851" i="1"/>
  <c r="N850" i="1"/>
  <c r="N849" i="1"/>
  <c r="N848" i="1"/>
  <c r="N847" i="1"/>
  <c r="N846" i="1"/>
  <c r="N845" i="1"/>
  <c r="N844" i="1"/>
  <c r="N843" i="1"/>
  <c r="N842" i="1"/>
  <c r="N841" i="1"/>
  <c r="N840" i="1"/>
  <c r="N839" i="1"/>
  <c r="N838" i="1"/>
  <c r="N837" i="1"/>
  <c r="N836" i="1"/>
  <c r="N835" i="1"/>
  <c r="N834" i="1"/>
  <c r="N833" i="1"/>
  <c r="N832" i="1"/>
  <c r="N831" i="1"/>
  <c r="N830" i="1"/>
  <c r="N829" i="1"/>
  <c r="N828" i="1"/>
  <c r="N827" i="1"/>
  <c r="N826" i="1"/>
  <c r="N825" i="1"/>
  <c r="N824" i="1"/>
  <c r="N823" i="1"/>
  <c r="N822" i="1"/>
  <c r="N821" i="1"/>
  <c r="N820" i="1"/>
  <c r="N819" i="1"/>
  <c r="N818" i="1"/>
  <c r="N817" i="1"/>
  <c r="N816" i="1"/>
  <c r="N815" i="1"/>
  <c r="N814" i="1"/>
  <c r="N813" i="1"/>
  <c r="N812" i="1"/>
  <c r="N811" i="1"/>
  <c r="N810" i="1"/>
  <c r="N809" i="1"/>
  <c r="N808" i="1"/>
  <c r="N807" i="1"/>
  <c r="N806" i="1"/>
  <c r="N805" i="1"/>
  <c r="N804" i="1"/>
  <c r="N803" i="1"/>
  <c r="N802" i="1"/>
  <c r="N801" i="1"/>
  <c r="N800" i="1"/>
  <c r="N799" i="1"/>
  <c r="N798" i="1"/>
  <c r="N797" i="1"/>
  <c r="N796" i="1"/>
  <c r="N795" i="1"/>
  <c r="N794" i="1"/>
  <c r="N793" i="1"/>
  <c r="N792" i="1"/>
  <c r="N791" i="1"/>
  <c r="N790" i="1"/>
  <c r="N789" i="1"/>
  <c r="N788" i="1"/>
  <c r="N787" i="1"/>
  <c r="N786" i="1"/>
  <c r="N785" i="1"/>
  <c r="N784" i="1"/>
  <c r="N783" i="1"/>
  <c r="N782" i="1"/>
  <c r="N781" i="1"/>
  <c r="N780" i="1"/>
  <c r="N779" i="1"/>
  <c r="N778" i="1"/>
  <c r="N777" i="1"/>
  <c r="N776" i="1"/>
  <c r="N775" i="1"/>
  <c r="N774" i="1"/>
  <c r="N773" i="1"/>
  <c r="N772" i="1"/>
  <c r="N771" i="1"/>
  <c r="N770" i="1"/>
  <c r="N769" i="1"/>
  <c r="N768" i="1"/>
  <c r="N767" i="1"/>
  <c r="N766" i="1"/>
  <c r="N765" i="1"/>
  <c r="N764" i="1"/>
  <c r="N763" i="1"/>
  <c r="N762" i="1"/>
  <c r="N761" i="1"/>
  <c r="N760" i="1"/>
  <c r="N759" i="1"/>
  <c r="N758" i="1"/>
  <c r="N757" i="1"/>
  <c r="N756" i="1"/>
  <c r="N755" i="1"/>
  <c r="N754" i="1"/>
  <c r="N753" i="1"/>
  <c r="N752" i="1"/>
  <c r="N751" i="1"/>
  <c r="N750" i="1"/>
  <c r="N749" i="1"/>
  <c r="N748" i="1"/>
  <c r="N747" i="1"/>
  <c r="N746" i="1"/>
  <c r="N745" i="1"/>
  <c r="N744" i="1"/>
  <c r="N743" i="1"/>
  <c r="N742" i="1"/>
  <c r="N741" i="1"/>
  <c r="N740" i="1"/>
  <c r="N739" i="1"/>
  <c r="N738" i="1"/>
  <c r="N737" i="1"/>
  <c r="N736" i="1"/>
  <c r="N735" i="1"/>
  <c r="N734" i="1"/>
  <c r="N733" i="1"/>
  <c r="N732" i="1"/>
  <c r="N731" i="1"/>
  <c r="N730" i="1"/>
  <c r="N729" i="1"/>
  <c r="N728" i="1"/>
  <c r="N727" i="1"/>
  <c r="N726" i="1"/>
  <c r="N725" i="1"/>
  <c r="N724" i="1"/>
  <c r="N723" i="1"/>
  <c r="N722" i="1"/>
  <c r="N721" i="1"/>
  <c r="N720" i="1"/>
  <c r="N719" i="1"/>
  <c r="N718" i="1"/>
  <c r="N717" i="1"/>
  <c r="N716" i="1"/>
  <c r="N715" i="1"/>
  <c r="N714" i="1"/>
  <c r="N713" i="1"/>
  <c r="N712" i="1"/>
  <c r="N711" i="1"/>
  <c r="N710" i="1"/>
  <c r="N709" i="1"/>
  <c r="N708" i="1"/>
  <c r="N707" i="1"/>
  <c r="N706" i="1"/>
  <c r="N705" i="1"/>
  <c r="N704" i="1"/>
  <c r="N703" i="1"/>
  <c r="N702" i="1"/>
  <c r="N701" i="1"/>
  <c r="N700" i="1"/>
  <c r="N699" i="1"/>
  <c r="N698" i="1"/>
  <c r="N697" i="1"/>
  <c r="N696" i="1"/>
  <c r="N695" i="1"/>
  <c r="N694" i="1"/>
  <c r="N693" i="1"/>
  <c r="N692" i="1"/>
  <c r="N691" i="1"/>
  <c r="N690" i="1"/>
  <c r="N689" i="1"/>
  <c r="N688" i="1"/>
  <c r="N687" i="1"/>
  <c r="N686" i="1"/>
  <c r="N685" i="1"/>
  <c r="N684" i="1"/>
  <c r="N683" i="1"/>
  <c r="N682" i="1"/>
  <c r="N681" i="1"/>
  <c r="N680" i="1"/>
  <c r="N679" i="1"/>
  <c r="N678" i="1"/>
  <c r="N677" i="1"/>
  <c r="N676" i="1"/>
  <c r="N675" i="1"/>
  <c r="N674" i="1"/>
  <c r="N673" i="1"/>
  <c r="N672" i="1"/>
  <c r="N671" i="1"/>
  <c r="N670" i="1"/>
  <c r="N669" i="1"/>
  <c r="N668" i="1"/>
  <c r="N667" i="1"/>
  <c r="N666" i="1"/>
  <c r="N665" i="1"/>
  <c r="N664" i="1"/>
  <c r="N663" i="1"/>
  <c r="N662" i="1"/>
  <c r="N661" i="1"/>
  <c r="N660" i="1"/>
  <c r="N659" i="1"/>
  <c r="N658" i="1"/>
  <c r="N657" i="1"/>
  <c r="N656" i="1"/>
  <c r="N655" i="1"/>
  <c r="N654" i="1"/>
  <c r="N653" i="1"/>
  <c r="N652" i="1"/>
  <c r="N651" i="1"/>
  <c r="N650" i="1"/>
  <c r="N649" i="1"/>
  <c r="N648" i="1"/>
  <c r="N646" i="1"/>
  <c r="N645" i="1"/>
  <c r="N644" i="1"/>
  <c r="N643" i="1"/>
  <c r="N642" i="1"/>
  <c r="N641" i="1"/>
  <c r="N640" i="1"/>
  <c r="N639" i="1"/>
  <c r="N638" i="1"/>
  <c r="N637" i="1"/>
  <c r="N636" i="1"/>
  <c r="N635" i="1"/>
  <c r="N634" i="1"/>
  <c r="N633" i="1"/>
  <c r="N632" i="1"/>
  <c r="N631" i="1"/>
  <c r="N630" i="1"/>
  <c r="N629" i="1"/>
  <c r="N628" i="1"/>
  <c r="N627" i="1"/>
  <c r="N626" i="1"/>
  <c r="N625" i="1"/>
  <c r="N624" i="1"/>
  <c r="N623" i="1"/>
  <c r="N622" i="1"/>
  <c r="N621" i="1"/>
  <c r="N620" i="1"/>
  <c r="N619" i="1"/>
  <c r="N618" i="1"/>
  <c r="N617" i="1"/>
  <c r="N616" i="1"/>
  <c r="N615" i="1"/>
  <c r="N614" i="1"/>
  <c r="N613" i="1"/>
  <c r="N612" i="1"/>
  <c r="N611" i="1"/>
  <c r="N610" i="1"/>
  <c r="N609" i="1"/>
  <c r="N608" i="1"/>
  <c r="N607" i="1"/>
  <c r="N606" i="1"/>
  <c r="N605" i="1"/>
  <c r="N604" i="1"/>
  <c r="N603" i="1"/>
  <c r="N602" i="1"/>
  <c r="N601" i="1"/>
  <c r="N600" i="1"/>
  <c r="N599" i="1"/>
  <c r="N598" i="1"/>
  <c r="N597" i="1"/>
  <c r="N596" i="1"/>
  <c r="N595" i="1"/>
  <c r="N594" i="1"/>
  <c r="N593" i="1"/>
  <c r="N592" i="1"/>
  <c r="N591" i="1"/>
  <c r="N590" i="1"/>
  <c r="N589" i="1"/>
  <c r="N588" i="1"/>
  <c r="N587" i="1"/>
  <c r="N586" i="1"/>
  <c r="N585" i="1"/>
  <c r="N584" i="1"/>
  <c r="N583" i="1"/>
  <c r="N582" i="1"/>
  <c r="N581" i="1"/>
  <c r="N580" i="1"/>
  <c r="N579" i="1"/>
  <c r="N578" i="1"/>
  <c r="N577" i="1"/>
  <c r="N576" i="1"/>
  <c r="N575" i="1"/>
  <c r="N574" i="1"/>
  <c r="N573" i="1"/>
  <c r="N572" i="1"/>
  <c r="N571" i="1"/>
  <c r="N570" i="1"/>
  <c r="N569" i="1"/>
  <c r="N568" i="1"/>
  <c r="N567" i="1"/>
  <c r="N566" i="1"/>
  <c r="N565" i="1"/>
  <c r="N564" i="1"/>
  <c r="N563" i="1"/>
  <c r="N562" i="1"/>
  <c r="N561" i="1"/>
  <c r="N560" i="1"/>
  <c r="N559" i="1"/>
  <c r="N558" i="1"/>
  <c r="N557" i="1"/>
  <c r="N556" i="1"/>
  <c r="N555" i="1"/>
  <c r="N554" i="1"/>
  <c r="N553" i="1"/>
  <c r="N552" i="1"/>
  <c r="N551" i="1"/>
  <c r="N550" i="1"/>
  <c r="N549" i="1"/>
  <c r="N548" i="1"/>
  <c r="N547" i="1"/>
  <c r="N546" i="1"/>
  <c r="N545" i="1"/>
  <c r="N544" i="1"/>
  <c r="N543" i="1"/>
  <c r="N542" i="1"/>
  <c r="N541" i="1"/>
  <c r="N540" i="1"/>
  <c r="N539" i="1"/>
  <c r="N538" i="1"/>
  <c r="N537" i="1"/>
  <c r="N536" i="1"/>
  <c r="N535" i="1"/>
  <c r="N534" i="1"/>
  <c r="N533" i="1"/>
  <c r="N532" i="1"/>
  <c r="N531" i="1"/>
  <c r="N530" i="1"/>
  <c r="N529" i="1"/>
  <c r="N528" i="1"/>
  <c r="N527" i="1"/>
  <c r="N526" i="1"/>
  <c r="N525" i="1"/>
  <c r="N524" i="1"/>
  <c r="N523" i="1"/>
  <c r="N522" i="1"/>
  <c r="N521" i="1"/>
  <c r="N520" i="1"/>
  <c r="N519" i="1"/>
  <c r="N518" i="1"/>
  <c r="N517" i="1"/>
  <c r="N516" i="1"/>
  <c r="N515" i="1"/>
  <c r="N514" i="1"/>
  <c r="N513" i="1"/>
  <c r="N512" i="1"/>
  <c r="N511" i="1"/>
  <c r="N510" i="1"/>
  <c r="N509" i="1"/>
  <c r="N508" i="1"/>
  <c r="N507" i="1"/>
  <c r="N506" i="1"/>
  <c r="N505" i="1"/>
  <c r="N504" i="1"/>
  <c r="N503" i="1"/>
  <c r="N502" i="1"/>
  <c r="N501" i="1"/>
  <c r="N500" i="1"/>
  <c r="N499" i="1"/>
  <c r="N498" i="1"/>
  <c r="N497" i="1"/>
  <c r="N496" i="1"/>
  <c r="N495" i="1"/>
  <c r="N494" i="1"/>
  <c r="N493" i="1"/>
  <c r="N492" i="1"/>
  <c r="N491" i="1"/>
  <c r="N490" i="1"/>
  <c r="N489" i="1"/>
  <c r="N488" i="1"/>
  <c r="N487" i="1"/>
  <c r="N486" i="1"/>
  <c r="N485" i="1"/>
  <c r="N484" i="1"/>
  <c r="N483" i="1"/>
  <c r="N482" i="1"/>
  <c r="N481" i="1"/>
  <c r="N480" i="1"/>
  <c r="N479" i="1"/>
  <c r="N478" i="1"/>
  <c r="N477" i="1"/>
  <c r="N476" i="1"/>
  <c r="N475" i="1"/>
  <c r="N474" i="1"/>
  <c r="N473" i="1"/>
  <c r="N472" i="1"/>
  <c r="N471" i="1"/>
  <c r="N470" i="1"/>
  <c r="N469" i="1"/>
  <c r="N468" i="1"/>
  <c r="N467" i="1"/>
  <c r="N466" i="1"/>
  <c r="N465" i="1"/>
  <c r="N464" i="1"/>
  <c r="N463" i="1"/>
  <c r="N462" i="1"/>
  <c r="N461" i="1"/>
  <c r="N460" i="1"/>
  <c r="N459" i="1"/>
  <c r="N458" i="1"/>
  <c r="N457" i="1"/>
  <c r="N456" i="1"/>
  <c r="N455" i="1"/>
  <c r="N454" i="1"/>
  <c r="N453" i="1"/>
  <c r="N452" i="1"/>
  <c r="N451" i="1"/>
  <c r="N450" i="1"/>
  <c r="N449" i="1"/>
  <c r="N448" i="1"/>
  <c r="N447" i="1"/>
  <c r="N446" i="1"/>
  <c r="N445" i="1"/>
  <c r="N444" i="1"/>
  <c r="N443" i="1"/>
  <c r="N442" i="1"/>
  <c r="N441" i="1"/>
  <c r="N440" i="1"/>
  <c r="N439" i="1"/>
  <c r="N438" i="1"/>
  <c r="N437" i="1"/>
  <c r="N436" i="1"/>
  <c r="N435" i="1"/>
  <c r="N434" i="1"/>
  <c r="N433" i="1"/>
  <c r="N432" i="1"/>
  <c r="N431" i="1"/>
  <c r="N430" i="1"/>
  <c r="N429" i="1"/>
  <c r="N428" i="1"/>
  <c r="N427" i="1"/>
  <c r="N426" i="1"/>
  <c r="N425" i="1"/>
  <c r="N424" i="1"/>
  <c r="N423" i="1"/>
  <c r="N422" i="1"/>
  <c r="N421" i="1"/>
  <c r="N420" i="1"/>
  <c r="N419" i="1"/>
  <c r="N418" i="1"/>
  <c r="N417" i="1"/>
  <c r="N416" i="1"/>
  <c r="N415" i="1"/>
  <c r="N414" i="1"/>
  <c r="N413" i="1"/>
  <c r="N412" i="1"/>
  <c r="N411" i="1"/>
  <c r="N410" i="1"/>
  <c r="N409" i="1"/>
  <c r="N408" i="1"/>
  <c r="N407" i="1"/>
  <c r="N406" i="1"/>
  <c r="N405" i="1"/>
  <c r="N404" i="1"/>
  <c r="N403" i="1"/>
  <c r="N402" i="1"/>
  <c r="N401" i="1"/>
  <c r="N400" i="1"/>
  <c r="N399" i="1"/>
  <c r="N398" i="1"/>
  <c r="N397" i="1"/>
  <c r="N396" i="1"/>
  <c r="N395" i="1"/>
  <c r="N394" i="1"/>
  <c r="N393" i="1"/>
  <c r="N392" i="1"/>
  <c r="N391" i="1"/>
  <c r="N390" i="1"/>
  <c r="N389" i="1"/>
  <c r="N388" i="1"/>
  <c r="N387" i="1"/>
  <c r="N386" i="1"/>
  <c r="N385" i="1"/>
  <c r="N384" i="1"/>
  <c r="N383" i="1"/>
  <c r="N382" i="1"/>
  <c r="N381" i="1"/>
  <c r="N380" i="1"/>
  <c r="N379" i="1"/>
  <c r="N378" i="1"/>
  <c r="N377" i="1"/>
  <c r="N376" i="1"/>
  <c r="N375" i="1"/>
  <c r="N374" i="1"/>
  <c r="N373" i="1"/>
  <c r="N372" i="1"/>
  <c r="N371" i="1"/>
  <c r="N370" i="1"/>
  <c r="N369" i="1"/>
  <c r="N368" i="1"/>
  <c r="N367" i="1"/>
  <c r="N366" i="1"/>
  <c r="N365" i="1"/>
  <c r="N364" i="1"/>
  <c r="N363" i="1"/>
  <c r="N362" i="1"/>
  <c r="N361" i="1"/>
  <c r="N360" i="1"/>
  <c r="N359" i="1"/>
  <c r="N358" i="1"/>
  <c r="N357" i="1"/>
  <c r="N356" i="1"/>
  <c r="N355" i="1"/>
  <c r="N354" i="1"/>
  <c r="N353" i="1"/>
  <c r="N352" i="1"/>
  <c r="N351" i="1"/>
  <c r="N350" i="1"/>
  <c r="N349" i="1"/>
  <c r="N348" i="1"/>
  <c r="N347" i="1"/>
  <c r="N346" i="1"/>
  <c r="N345" i="1"/>
  <c r="N344" i="1"/>
  <c r="N343" i="1"/>
  <c r="N342" i="1"/>
  <c r="N341" i="1"/>
  <c r="N340" i="1"/>
  <c r="N339" i="1"/>
  <c r="N338" i="1"/>
  <c r="N337" i="1"/>
  <c r="N336" i="1"/>
  <c r="N335" i="1"/>
  <c r="N334" i="1"/>
  <c r="N333" i="1"/>
  <c r="N332" i="1"/>
  <c r="N331" i="1"/>
  <c r="N330" i="1"/>
  <c r="N329" i="1"/>
  <c r="N328" i="1"/>
  <c r="N327" i="1"/>
  <c r="N326" i="1"/>
  <c r="N325" i="1"/>
  <c r="N324" i="1"/>
  <c r="N323" i="1"/>
  <c r="N322" i="1"/>
  <c r="N321" i="1"/>
  <c r="N320" i="1"/>
  <c r="N319" i="1"/>
  <c r="N318" i="1"/>
  <c r="N317" i="1"/>
  <c r="N316" i="1"/>
  <c r="N315" i="1"/>
  <c r="N314" i="1"/>
  <c r="N313" i="1"/>
  <c r="N312" i="1"/>
  <c r="N311" i="1"/>
  <c r="N310" i="1"/>
  <c r="N309" i="1"/>
  <c r="N308" i="1"/>
  <c r="N307" i="1"/>
  <c r="N306" i="1"/>
  <c r="N305" i="1"/>
  <c r="N304" i="1"/>
  <c r="N303" i="1"/>
  <c r="N302" i="1"/>
  <c r="N301" i="1"/>
  <c r="N300" i="1"/>
  <c r="N299" i="1"/>
  <c r="N298" i="1"/>
  <c r="N297" i="1"/>
  <c r="N296" i="1"/>
  <c r="N295" i="1"/>
  <c r="N294" i="1"/>
  <c r="N293" i="1"/>
  <c r="N292" i="1"/>
  <c r="N291" i="1"/>
  <c r="N290" i="1"/>
  <c r="N289" i="1"/>
  <c r="N288" i="1"/>
  <c r="N287" i="1"/>
  <c r="N286" i="1"/>
  <c r="N285" i="1"/>
  <c r="N284" i="1"/>
  <c r="N283" i="1"/>
  <c r="N282" i="1"/>
  <c r="N281" i="1"/>
  <c r="N280" i="1"/>
  <c r="N279" i="1"/>
  <c r="N278" i="1"/>
  <c r="N277" i="1"/>
  <c r="N276" i="1"/>
  <c r="N275" i="1"/>
  <c r="N274" i="1"/>
  <c r="N273" i="1"/>
  <c r="N272" i="1"/>
  <c r="N271" i="1"/>
  <c r="N270" i="1"/>
  <c r="N269" i="1"/>
  <c r="N268" i="1"/>
  <c r="N267" i="1"/>
  <c r="N266" i="1"/>
  <c r="N265" i="1"/>
  <c r="N264" i="1"/>
  <c r="N263" i="1"/>
  <c r="N262" i="1"/>
  <c r="N261" i="1"/>
  <c r="N260" i="1"/>
  <c r="N259" i="1"/>
  <c r="N258" i="1"/>
  <c r="N257" i="1"/>
  <c r="N256" i="1"/>
  <c r="N255" i="1"/>
  <c r="N254" i="1"/>
  <c r="N253" i="1"/>
  <c r="N252" i="1"/>
  <c r="N251" i="1"/>
  <c r="N250" i="1"/>
  <c r="N249" i="1"/>
  <c r="N248" i="1"/>
  <c r="N247" i="1"/>
  <c r="N246" i="1"/>
  <c r="N245" i="1"/>
  <c r="N244" i="1"/>
  <c r="N243" i="1"/>
  <c r="N242" i="1"/>
  <c r="N241" i="1"/>
  <c r="N240" i="1"/>
  <c r="N239" i="1"/>
  <c r="N238" i="1"/>
  <c r="N237" i="1"/>
  <c r="N236" i="1"/>
  <c r="N235" i="1"/>
  <c r="N234" i="1"/>
  <c r="N233" i="1"/>
  <c r="N232" i="1"/>
  <c r="N231" i="1"/>
  <c r="N230" i="1"/>
  <c r="N229" i="1"/>
  <c r="N228" i="1"/>
  <c r="N227" i="1"/>
  <c r="N226" i="1"/>
  <c r="N225" i="1"/>
  <c r="N224" i="1"/>
  <c r="N223" i="1"/>
  <c r="N222" i="1"/>
  <c r="N221" i="1"/>
  <c r="N220" i="1"/>
  <c r="N219" i="1"/>
  <c r="N218" i="1"/>
  <c r="N217" i="1"/>
  <c r="N216" i="1"/>
  <c r="N215" i="1"/>
  <c r="N214" i="1"/>
  <c r="N213" i="1"/>
  <c r="N212" i="1"/>
  <c r="N211" i="1"/>
  <c r="N210" i="1"/>
  <c r="N209" i="1"/>
  <c r="N208" i="1"/>
  <c r="N207" i="1"/>
  <c r="N206" i="1"/>
  <c r="N205" i="1"/>
  <c r="N204" i="1"/>
  <c r="N203" i="1"/>
  <c r="N202" i="1"/>
  <c r="N201" i="1"/>
  <c r="N200" i="1"/>
  <c r="N199" i="1"/>
  <c r="N198" i="1"/>
  <c r="N197" i="1"/>
  <c r="N196" i="1"/>
  <c r="N195" i="1"/>
  <c r="N194" i="1"/>
  <c r="N193" i="1"/>
  <c r="N192" i="1"/>
  <c r="N191" i="1"/>
  <c r="N190" i="1"/>
  <c r="N189" i="1"/>
  <c r="N188" i="1"/>
  <c r="N187" i="1"/>
  <c r="N186" i="1"/>
  <c r="N185" i="1"/>
  <c r="N184" i="1"/>
  <c r="N183" i="1"/>
  <c r="N182" i="1"/>
  <c r="N181" i="1"/>
  <c r="N180" i="1"/>
  <c r="N179" i="1"/>
  <c r="N178" i="1"/>
  <c r="N177" i="1"/>
  <c r="N176" i="1"/>
  <c r="N175" i="1"/>
  <c r="N174" i="1"/>
  <c r="N173" i="1"/>
  <c r="N172" i="1"/>
  <c r="N171" i="1"/>
  <c r="N170" i="1"/>
  <c r="N169" i="1"/>
  <c r="N168" i="1"/>
  <c r="N167" i="1"/>
  <c r="N166" i="1"/>
  <c r="N165" i="1"/>
  <c r="N164" i="1"/>
  <c r="N163" i="1"/>
  <c r="N162" i="1"/>
  <c r="N161" i="1"/>
  <c r="N160" i="1"/>
  <c r="N159" i="1"/>
  <c r="N158" i="1"/>
  <c r="N157" i="1"/>
  <c r="N156" i="1"/>
  <c r="N155" i="1"/>
  <c r="N154" i="1"/>
  <c r="N153" i="1"/>
  <c r="N152" i="1"/>
  <c r="N151" i="1"/>
  <c r="N150" i="1"/>
  <c r="N149" i="1"/>
  <c r="N148" i="1"/>
  <c r="N147" i="1"/>
  <c r="N146" i="1"/>
  <c r="N145" i="1"/>
  <c r="N144" i="1"/>
  <c r="N143" i="1"/>
  <c r="N142" i="1"/>
  <c r="N141" i="1"/>
  <c r="N140" i="1"/>
  <c r="N139" i="1"/>
  <c r="N138" i="1"/>
  <c r="N137" i="1"/>
  <c r="N136" i="1"/>
  <c r="N135" i="1"/>
  <c r="N134" i="1"/>
  <c r="N133" i="1"/>
  <c r="N132" i="1"/>
  <c r="N131" i="1"/>
  <c r="N130" i="1"/>
  <c r="N129" i="1"/>
  <c r="N128" i="1"/>
  <c r="N127" i="1"/>
  <c r="N126" i="1"/>
  <c r="N125" i="1"/>
  <c r="N124" i="1"/>
  <c r="N123" i="1"/>
  <c r="N122" i="1"/>
  <c r="N121" i="1"/>
  <c r="N120" i="1"/>
  <c r="N119" i="1"/>
  <c r="N118" i="1"/>
  <c r="N117" i="1"/>
  <c r="N116" i="1"/>
  <c r="N115" i="1"/>
  <c r="N114" i="1"/>
  <c r="N113" i="1"/>
  <c r="N112" i="1"/>
  <c r="N111" i="1"/>
  <c r="N110" i="1"/>
  <c r="N109" i="1"/>
  <c r="N108" i="1"/>
  <c r="N107" i="1"/>
  <c r="N106" i="1"/>
  <c r="N105" i="1"/>
  <c r="N104" i="1"/>
  <c r="N103" i="1"/>
  <c r="N102" i="1"/>
  <c r="N101" i="1"/>
  <c r="N100" i="1"/>
  <c r="N99" i="1"/>
  <c r="N98" i="1"/>
  <c r="N97" i="1"/>
  <c r="N96" i="1"/>
  <c r="N95" i="1"/>
  <c r="N94" i="1"/>
  <c r="N93" i="1"/>
  <c r="N92" i="1"/>
  <c r="N91" i="1"/>
  <c r="N90" i="1"/>
  <c r="N89" i="1"/>
  <c r="N88" i="1"/>
  <c r="N87" i="1"/>
  <c r="N86" i="1"/>
  <c r="N85" i="1"/>
  <c r="N84" i="1"/>
  <c r="N83" i="1"/>
  <c r="N82" i="1"/>
  <c r="N81" i="1"/>
  <c r="N80" i="1"/>
  <c r="N79" i="1"/>
  <c r="N78" i="1"/>
  <c r="N77" i="1"/>
  <c r="N76" i="1"/>
  <c r="N75" i="1"/>
  <c r="N74" i="1"/>
  <c r="N73" i="1"/>
  <c r="N72" i="1"/>
  <c r="N71" i="1"/>
  <c r="N70" i="1"/>
  <c r="N69" i="1"/>
  <c r="N68" i="1"/>
  <c r="N67" i="1"/>
  <c r="N66" i="1"/>
  <c r="N65" i="1"/>
  <c r="N64" i="1"/>
  <c r="N63" i="1"/>
  <c r="N62" i="1"/>
  <c r="N61" i="1"/>
  <c r="N60" i="1"/>
  <c r="N59" i="1"/>
  <c r="N58" i="1"/>
  <c r="N57" i="1"/>
  <c r="N56" i="1"/>
  <c r="N55" i="1"/>
  <c r="N54" i="1"/>
  <c r="N53" i="1"/>
  <c r="N52" i="1"/>
  <c r="N51" i="1"/>
  <c r="N50" i="1"/>
  <c r="N49" i="1"/>
  <c r="N48" i="1"/>
  <c r="N47" i="1"/>
  <c r="N46" i="1"/>
  <c r="N45" i="1"/>
  <c r="N44" i="1"/>
  <c r="N43" i="1"/>
  <c r="N42" i="1"/>
  <c r="N41" i="1"/>
  <c r="N40" i="1"/>
  <c r="N39" i="1"/>
  <c r="N38" i="1"/>
  <c r="N37" i="1"/>
  <c r="N36" i="1"/>
  <c r="N35" i="1"/>
  <c r="N34" i="1"/>
  <c r="N33" i="1"/>
  <c r="N32" i="1"/>
  <c r="N31" i="1"/>
  <c r="N30" i="1"/>
  <c r="N29" i="1"/>
  <c r="N28" i="1"/>
  <c r="N27" i="1"/>
  <c r="N26" i="1"/>
  <c r="N25" i="1"/>
  <c r="N24" i="1"/>
  <c r="N23" i="1"/>
  <c r="N22" i="1"/>
  <c r="N21" i="1"/>
  <c r="N20" i="1"/>
  <c r="N19" i="1"/>
  <c r="N18" i="1"/>
  <c r="N17" i="1"/>
  <c r="N16" i="1"/>
  <c r="N15" i="1"/>
  <c r="N14" i="1"/>
  <c r="N13" i="1"/>
  <c r="N12" i="1"/>
  <c r="N11" i="1"/>
  <c r="N10" i="1"/>
  <c r="N9" i="1"/>
  <c r="N8" i="1"/>
  <c r="N7" i="1"/>
  <c r="N6" i="1"/>
  <c r="N5" i="1"/>
  <c r="N4" i="1"/>
  <c r="N3" i="1"/>
  <c r="N2" i="1"/>
</calcChain>
</file>

<file path=xl/sharedStrings.xml><?xml version="1.0" encoding="utf-8"?>
<sst xmlns="http://schemas.openxmlformats.org/spreadsheetml/2006/main" count="35892" uniqueCount="12433">
  <si>
    <t>№</t>
  </si>
  <si>
    <t>Название</t>
  </si>
  <si>
    <t>Автор</t>
  </si>
  <si>
    <t>Год</t>
  </si>
  <si>
    <t>Издательство</t>
  </si>
  <si>
    <t>Категория</t>
  </si>
  <si>
    <t>Раздел</t>
  </si>
  <si>
    <t>Подраздел</t>
  </si>
  <si>
    <t>Формат</t>
  </si>
  <si>
    <t>Размер МБ</t>
  </si>
  <si>
    <t>Статус</t>
  </si>
  <si>
    <t>Имя файла</t>
  </si>
  <si>
    <t>Папка</t>
  </si>
  <si>
    <t>Ссылка на файл</t>
  </si>
  <si>
    <t>Саммари</t>
  </si>
  <si>
    <t>Гид по Computer Science, расширенное издание</t>
  </si>
  <si>
    <t>Вильям Спрингер</t>
  </si>
  <si>
    <t>2021</t>
  </si>
  <si>
    <t>Питер</t>
  </si>
  <si>
    <t>Компьютерные науки</t>
  </si>
  <si>
    <t>PDF</t>
  </si>
  <si>
    <t>кэш</t>
  </si>
  <si>
    <t>! Гид_по_Computer_Science,_расширенное_издание 2021.pdf</t>
  </si>
  <si>
    <t>C:\Users\alexa\YandexDisk\Книги\Computer Science</t>
  </si>
  <si>
    <t>Это расширенное издание «Гида по Computer Science» Вильяма Спрингера представляет собой учебное пособие для программистов, стремящихся углубить фундаментальные знания в области компьютерных наук. Книга охватывает ключевые концепции, такие как асимптотическое время выполнения алгоритмов, структуры данных (массивы, связные списки, хеш-таблицы), классы задач, а также подробно разбирает теорию графов и графовые алгоритмы, включая деревья поиска и кучи. Издание предназначено как для новичков, желающих освоить основы, так и для опытных специалистов, которые хотят восполнить пробелы в теории и избежать типичных ошибок при проектировании архитектуры программ.</t>
  </si>
  <si>
    <t>Computer Science для программиста-самоучки. Все, что нужно знать о структурах данных и алгоритмах</t>
  </si>
  <si>
    <t>Кори Альтхофф</t>
  </si>
  <si>
    <t>2023</t>
  </si>
  <si>
    <t>!!!Computer_Science_для_программиста_самоучки_Все,_что_нужно_знать.pdf</t>
  </si>
  <si>
    <t>Это книга Кори Альтхоффа, посвященная основам computer science, а именно структурам данных и алгоритмам, которые необходимы каждому программисту для успешной карьеры и прохождения технических собеседований. Ключевые разделы охватывают введение в алгоритмы (рекурсия, поиск, сортировка, строковые алгоритмы и математика) и обзор основных структур данных (массивы, связные списки, стеки, очереди, хеш-таблицы, двоичные деревья, кучи и графы). Издание предназначено для абсолютных новичков и программистов-самоучек, желающих систематизировать знания без формального образования в области computer science.</t>
  </si>
  <si>
    <t>Computer Science: An Interdisciplinary Approach</t>
  </si>
  <si>
    <t>Robert Sedgewick; Kevin Wayne</t>
  </si>
  <si>
    <t>2018</t>
  </si>
  <si>
    <t>Computer Science  JAVA.pdf</t>
  </si>
  <si>
    <t>Это фрагмент книги «Computer Science: основы программирования на Java, ООП, алгоритмы и структуры данных» авторов Роберта Седжвика и Кевина Уэйна. Книга представляет собой универсальное введение в Computer Science, охватывающее основы программирования на Java, объектно-ориентированное программирование, алгоритмы, структуры данных, теорию вычислений и архитектуру компьютеров. Издание предназначено как для студентов, так и для профессионалов, желающих освоить предмет с нуля или углубить знания.</t>
  </si>
  <si>
    <t>Computer Organization and Architecture: Designing for Performance</t>
  </si>
  <si>
    <t>William Stallings</t>
  </si>
  <si>
    <t>Pearson</t>
  </si>
  <si>
    <t>Computer_Organization_and_Architecture_Global_Edition_11th_Editi.pdf</t>
  </si>
  <si>
    <t>Этот фрагмент представляет собой введение к учебнику Уильяма Столлингса «Computer Organization and Architecture, 11-е издание», посвящённому организации и архитектуре компьютеров с акцентом на проектирование для производительности. Книга охватывает такие ключевые темы, как эволюция компьютеров, концепции производительности, иерархия памяти, кэш-память и межсоединения, включая анализ архитектур Intel x86 и ARM. Издание предназначено для студентов и специалистов, изучающих компьютерные науки и инженерию, на среднем и продвинутом уровне.</t>
  </si>
  <si>
    <t>Computer_Science_для_программиста_самоучки_с примерами на  Python.pdf</t>
  </si>
  <si>
    <t>Книга Кори Альтхоффа «Computer Science для программиста-самоучки» посвящена основам структур данных и алгоритмов, необходимым для успешного прохождения технических собеседований и построения карьеры в IT. Ключевые разделы охватывают введение в алгоритмы (рекурсия, поиск, сортировка, строковые алгоритмы) и структуры данных (массивы, связные списки, стеки, очереди, хеш-таблицы, деревья, кучи и графы). Издание предназначено для абсолютных новичков, желающих самостоятельно освоить фундаментальные темы computer science без профильного образования.</t>
  </si>
  <si>
    <t>CS для программиста-самоучки.pdf</t>
  </si>
  <si>
    <t>Книга Кори Альтхоффа посвящена основам computer science, а именно структурам данных и алгоритмам, которые необходимы каждому программисту-самоучке для успешной карьеры и прохождения технических собеседований. Ключевые разделы включают введение в алгоритмы (рекурсия, поиск, сортировка, строковые алгоритмы) и обзор основных структур данных (массивы, связные списки, стеки, очереди, хеш-таблицы, деревья и графы). Издание предназначено для абсолютных новичков в программировании, желающих систематизировать свои знания без формального образования в этой области.</t>
  </si>
  <si>
    <t>Digital Audio Theory: A Practical Guide</t>
  </si>
  <si>
    <t>Christopher L. Bennett</t>
  </si>
  <si>
    <t>Digital.Audio.Theory.A.Practical.Guide.pdf</t>
  </si>
  <si>
    <t>Книга Кристофера Беннета «Digital Audio Theory: A Practical Guide» представляет собой практическое введение в теорию цифрового аудио, соединяющее фундаментальные концепции и уравнения с их реальной реализацией. Ключевые разделы охватывают преобразование цифрового аудио, фильтрацию (включая FIR и IIR фильтры), а также спектральную обработку в реальном времени, с акцентом на создание аудиоэффектов и виртуальных инструментов. Издание предназначено для музыкантов, звукорежиссёров и студентов, имеющих базовый опыт в музыке и звуке, но не требует глубоких знаний математики или теории цепей.</t>
  </si>
  <si>
    <t>Distributed Systems</t>
  </si>
  <si>
    <t>Maarten van Steen; Andrew S. Tanenbaum</t>
  </si>
  <si>
    <t>2017</t>
  </si>
  <si>
    <t>Maarten van Steen</t>
  </si>
  <si>
    <t>Архитектура/Архитеткура распределенных систем</t>
  </si>
  <si>
    <t>Архитектура</t>
  </si>
  <si>
    <t>Архитеткура распределенных систем</t>
  </si>
  <si>
    <t>Distributed Systems 3rd Maarten van Steen, Andrew S. Tanenbaum.pdf</t>
  </si>
  <si>
    <t>Этот фрагмент представляет собой титульную страницу и оглавление третьего издания учебника «Распределенные системы» (Distributed Systems) авторов Мартена ван Стина и Эндрю Таненбаума. Книга посвящена проектированию и архитектуре распределенных вычислительных систем, рассматривая такие ключевые концепции, как прозрачность распределения, масштабируемость, открытость, а также различные архитектурные стили (слоистые, объектно-ориентированные, P2P) и типы систем (высокопроизводительные, информационные, повсеместные). Издание предназначено для студентов старших курсов и специалистов в области компьютерных наук, имеющих базовую подготовку.</t>
  </si>
  <si>
    <t>Everything You Need to Ace Computer Science and Coding in One Big Fat Notebook</t>
  </si>
  <si>
    <t>Workman Publishing; Grant Smith</t>
  </si>
  <si>
    <t>2020</t>
  </si>
  <si>
    <t>Workman Publishing Co., Inc.</t>
  </si>
  <si>
    <t>Everything_You_Need_to_Ace_Computer_Science_and_Coding_in_One_Big.pdf</t>
  </si>
  <si>
    <t>Эта книга представляет собой полное руководство по основам компьютерных наук и программирования для учащихся средней школы. Она охватывает ключевые темы: вычислительные системы, хранение и анализ данных, алгоритмы, программирование на Scratch и Python, а также веб-разработку. Материал организован в виде структурированных заметок с выделением терминов, определений и наглядных схем. Издание предназначено для новичков, которые хотят освоить базу, подготовиться к урокам или самостоятельно изучить азы кодинга.</t>
  </si>
  <si>
    <t>Introduction to the Theory of Computation, 3rd ed.</t>
  </si>
  <si>
    <t>Michael Sipser</t>
  </si>
  <si>
    <t>2012</t>
  </si>
  <si>
    <t>Cengage Learning</t>
  </si>
  <si>
    <t>Introduction to the theory of computation 2012.pdf</t>
  </si>
  <si>
    <t>Это третье издание учебника Майкла Сипсера «Введение в теорию вычислений», посвящённого фундаментальным основам информатики, включая теорию автоматов, вычислимость и сложность алгоритмов. Ключевые разделы охватывают конечные автоматы, машины Тьюринга, разрешимость и NP-полноту. Книга предназначена для студентов старших курсов и начинающих специалистов, изучающих теоретическую информатику.</t>
  </si>
  <si>
    <t>Introduction to Computer Organization</t>
  </si>
  <si>
    <t>Robert G. Plantz</t>
  </si>
  <si>
    <t>2022</t>
  </si>
  <si>
    <t>No Starch Press</t>
  </si>
  <si>
    <t>Introduction_to_Computer_Organization.pdf</t>
  </si>
  <si>
    <t>Книга Роберта Планца «Introduction to Computer Organization» представляет собой углублённое введение в организацию компьютеров, рассматривающее аппаратное обеспечение и ассемблер x86-64 «изнутри». Ключевые разделы охватывают форматы хранения данных, компьютерную арифметику, булеву алгебру, логические схемы, память, центральный процессор и программирование на ассемблере. Издание предназначено для начинающих изучать компьютерные науки, а также для специалистов, желающих понять низкоуровневые принципы работы вычислительных систем.</t>
  </si>
  <si>
    <t>Computer Science: An Overview</t>
  </si>
  <si>
    <t>J. Glenn Brookshear; Dennis Brylow</t>
  </si>
  <si>
    <t>2019</t>
  </si>
  <si>
    <t>Kompyuternye_nauki_Bazovy_kurs_2019_Brukshir_Dzh_Glenn_Brilov_Dennis.pdf</t>
  </si>
  <si>
    <t>Этот фрагмент представляет собой выходные данные 13-го издания учебника «Компьютерные науки. Базовый курс» Дж. Гленна Брукшира и Денниса Брилова. Книга охватывает фундаментальные темы компьютерных наук, включая хранение и обработку данных, операционные системы, сети, алгоритмы, языки программирования, структуры данных, базы данных, компьютерную графику и искусственный интеллект. Издание предназначено для новичков и студентов, начинающих изучение компьютерных наук, и служит вводным курсом по данной дисциплине.</t>
  </si>
  <si>
    <t>Mathematics for Computer Science</t>
  </si>
  <si>
    <t>Eric Lehman; F Thomson Leighton; Albert R Meyer</t>
  </si>
  <si>
    <t>Mathematics for Computer Science Eric Lehman.pdf</t>
  </si>
  <si>
    <t>Это учебник по математике для компьютерных наук, охватывающий фундаментальные темы, необходимые для формального анализа алгоритмов и структур данных. Ключевые разделы включают доказательства, теорию чисел, графы, комбинаторику, теорию вероятностей и рекуррентные соотношения. Книга предназначена для студентов и специалистов, уже имеющих базовую математическую подготовку, и требует понимания основ дискретной математики.</t>
  </si>
  <si>
    <t>Playing Software</t>
  </si>
  <si>
    <t>Sicart, Miguel</t>
  </si>
  <si>
    <t>The MIT Press</t>
  </si>
  <si>
    <t>Playing Software - Sicart, Miguel_.pdf</t>
  </si>
  <si>
    <t>Книга Мигеля Сикарта «Playing Software: Homo Ludens in Computational Culture» исследует концепцию игры в контексте вычислительной культуры, рассматривая, как программное обеспечение и цифровые технологии формируют игровой опыт. Ключевые разделы охватывают темы интерфейсов, игровых объектов, систем и капитала, а также этические и экономические аспекты взаимодействия человека с компьютером. Издание предназначено для специалистов в области гуманитарных наук, медиаисследований и разработки игр, а также для читателей, интересующихся философией игры и цифровыми технологиями.</t>
  </si>
  <si>
    <t>The Art of Computer Programming, Vol. 1: Fundamental Algorithms</t>
  </si>
  <si>
    <t>Donald E. Knuth</t>
  </si>
  <si>
    <t>1997</t>
  </si>
  <si>
    <t>Addison-Wesley</t>
  </si>
  <si>
    <t>The_Art_of_Computer_Programming,_Vol_1_Fundamental_Algorithms,_3rd.pdf</t>
  </si>
  <si>
    <t>Фрагмент представляет собой вступительную часть первого тома фундаментального труда Дональда Кнута «Искусство программирования», посвящённого базовым алгоритмам. Ключевые концепции включают описание предварительных требований к читателю: понимание работы цифрового компьютера с хранимой программой, умение формализовать решения задач, знание циклов, подпрограмм и индексированных переменных. Книга предназначена для читателей, уже имеющих практический опыт программирования (написавших хотя бы четыре программы), и служит как справочным пособием, так и учебником для углублённого изучения компьютерных наук.</t>
  </si>
  <si>
    <t>Introduction to Information Retrieval</t>
  </si>
  <si>
    <t>Christopher D. Manning; Prabhakar Raghavan; Hinrich Schütze</t>
  </si>
  <si>
    <t>Cambridge University Press</t>
  </si>
  <si>
    <t>Введение в информационный поиск.pdf</t>
  </si>
  <si>
    <t>Фрагмент представляет собой введение к книге «Введение в информационный поиск», которая является фундаментальным учебником по теории и практике информационного поиска (Information Retrieval). Книга охватывает ключевые концепции, такие как булев поиск, инвертированные индексы, ранжирование и взвешивание терминов (tf-idf), а также более продвинутые темы, включая оценку систем, классификацию текстов, кластеризацию и анализ ссылок для веб-поиска. Издание предназначено для студентов, изучающих компьютерные науки, и специалистов, желающих углубить свои знания в области построения поисковых систем и алгоритмов обработки информации.</t>
  </si>
  <si>
    <t>Введение в эволюционную информатику</t>
  </si>
  <si>
    <t>Роберт Маркс; Уильям Дембски; Уинстон Эверт</t>
  </si>
  <si>
    <t>ДМК Пресс</t>
  </si>
  <si>
    <t>Введение_в_эволюционную_информатику.pdf</t>
  </si>
  <si>
    <t>Книга «Введение в эволюционную информатику» посвящена созданию модели информации, заполняющей Вселенную, и измерению сложности природных явлений в битах через объединение методов моделирования сложных процессов и теории информации. Ключевые концепции включают определение и измерение информации (сложность по KCS, информация Шеннона), а также эволюционный поиск и требования к информации. Издание предназначено для энтузиастов в области науки, техники и математики, заинтересованных в роли информации в теории эволюции, и рассчитано на читателей со знанием математики на уровне средней школы.</t>
  </si>
  <si>
    <t>Гид_по_Computer_Science,_расширенное_издание 2021.pdf</t>
  </si>
  <si>
    <t>Это расширенное издание «Гида по Computer Science» Вильяма Спрингера представляет собой практическое руководство по фундаментальным основам Computer Science для программистов. Книга охватывает ключевые концепции, такие как асимптотическое время выполнения алгоритмов, структуры данных (массивы, связные списки, хеш-таблицы) и теорию графов с соответствующими алгоритмами. Издание предназначено как для начинающих, так и для опытных специалистов, стремящихся систематизировать знания и избегать типичных ошибок в проектировании программ.</t>
  </si>
  <si>
    <t>Program Proofs</t>
  </si>
  <si>
    <t>K. Rustan M. Leino</t>
  </si>
  <si>
    <t>2024</t>
  </si>
  <si>
    <t>Доказательство корректности программ.pdf</t>
  </si>
  <si>
    <t>Книга К. Рустана М. Лейно «Доказательство корректности программ» посвящена формальным методам верификации программного кода с использованием языка Dafny. В ней последовательно излагаются основы логики Флойда и троек Хоара, а также практические приемы написания спецификаций и доказательств корректности для объектов, структур данных и рекурсивных алгоритмов. Издание ориентировано на студентов, преподавателей и исследователей в области формальной верификации, а также на практикующих разработчиков, применяющих дедуктивный анализ.</t>
  </si>
  <si>
    <t>Теория алгоритмов</t>
  </si>
  <si>
    <t>Игошин В.И.</t>
  </si>
  <si>
    <t>2016</t>
  </si>
  <si>
    <t>ИНФРА-М</t>
  </si>
  <si>
    <t>Игошин В.И. Теория алгоритмов [2016].pdf</t>
  </si>
  <si>
    <t>Это учебное пособие по теории алгоритмов, в котором подробно рассматриваются три основные формализации понятия алгоритма: машины Тьюринга, рекурсивные функции и нормальные алгоритмы Маркова, а также доказывается их эквивалентность. Ключевые разделы книги включают общую теорию алгоритмов, разрешимые и перечислимые множества, алгоритмически неразрешимые проблемы, теорию сложности вычислений и алгоритмические проблемы математической логики. Пособие предназначено для студентов университетов, технических и педагогических вузов, обучающихся по математическим и прикладным специальностям на уровнях бакалавриата, магистратуры и специалитета, то есть для читателей с базовой математической подготовкой.</t>
  </si>
  <si>
    <t>Ideas That Created the Future: Classic Papers of Computer Science</t>
  </si>
  <si>
    <t>Harry R. Lewis</t>
  </si>
  <si>
    <t>Идеи,_определившие_облик_информатики_2023_Гарри_Рой_Льюис.pdf</t>
  </si>
  <si>
    <t>Книга представляет собой сборник 46 классических статей по информатике, охватывающих период от Аристотеля до 1980 года, которые сформировали современные цифровые технологии. Ключевые концепции включают работы по теории вычислений, архитектуре компьютеров, искусственному интеллекту и кибернетике, а каждая статья сопровождается историческим контекстом от редактора Гарри Льюиса. Издание предназначено для всех, кто интересуется информатикой, от новичков до специалистов, желающих понять истоки этой науки.</t>
  </si>
  <si>
    <t>How Computers Really Work</t>
  </si>
  <si>
    <t>Matthew Justice</t>
  </si>
  <si>
    <t>Как_на_самом_деле_работают_компьютеры.pdf</t>
  </si>
  <si>
    <t>Книга Мэттью Джастиса представляет собой практическое руководство по основам вычислительной техники, объясняющее, как работают компьютеры — от электрических схем и двоичного кода до операционных систем и интернета. Ключевые разделы охватывают цифровые схемы, машинный код, языки программирования (C и Python), а также устройство аппаратного и программного обеспечения. Издание предназначено для новичков и всех, кто хочет получить базовое понимание внутреннего устройства компьютера, и содержит упражнения для закрепления материала.</t>
  </si>
  <si>
    <t>Classic Computer Science Problems in Python</t>
  </si>
  <si>
    <t>David Kopec</t>
  </si>
  <si>
    <t>Классические задачи - Computer_Science на языке Python_202.pdf</t>
  </si>
  <si>
    <t>Книга Дэвида Копеца посвящена решению классических задач Computer Science на языке Python, охватывая такие темы, как поиск, графы, кластеризация, нейронные сети и генетические алгоритмы. Ключевые разделы включают простые задачи, задачи с ограничениями, графовые задачи, кластеризацию методом k-средних и состязательный поиск. Издание предназначено для программистов, желающих углубить знание Python и освоить проверенные временем алгоритмы для веб-разработки, обработки данных и машинного обучения. Книга подходит как для начинающих, так и для опытных специалистов, стремящихся систематизировать свои знания.</t>
  </si>
  <si>
    <t>Компьютерные_науки_Базовый_курс_13_е_издание 2019.pdf</t>
  </si>
  <si>
    <t>Этот фрагмент представляет собой титульную страницу и оглавление 13-го издания учебника «Компьютерные науки. Базовый курс» Дж. Глена Брукшира и Дениса Брилова. Книга охватывает фундаментальные темы компьютерных наук, включая хранение и обработку данных, операционные системы, сети, алгоритмы, языки программирования, структуры данных и базы данных. Издание предназначено для новичков и студентов, начинающих изучение дисциплины, и предлагает систематизированный обзор основ.</t>
  </si>
  <si>
    <t>Computer Systems: A Programmer's Perspective</t>
  </si>
  <si>
    <t>Randal E. Bryant; David R. O'Hallaron</t>
  </si>
  <si>
    <t>Компьютерные_системы_Архитектура_и_программирование.pdf</t>
  </si>
  <si>
    <t>Это третье издание классического учебника по компьютерным системам, в котором с точки зрения программиста рассматривается архитектура процессоров, память, операционные системы, компиляторы и сетевое окружение. Ключевые разделы охватывают представление данных и программ на машинном уровне, оптимизацию кода, управление потоками, виртуальную память, а также сетевое и параллельное программирование на примере процессоров Intel x86_64 и ОС Linux. Книга предназначена для студентов IT-специальностей и профессиональных разработчиков, желающих углубить понимание работы компьютерных систем для написания эффективного кода.</t>
  </si>
  <si>
    <t>Масштабируемые вычисления для гетерогенных платформ</t>
  </si>
  <si>
    <t>С. П. Копысов; И. М. Кузьмин; Н. С. Недожогин</t>
  </si>
  <si>
    <t>Издательский центр «Удмуртский университет»</t>
  </si>
  <si>
    <t>Масштабируемые_вычисления_для_гетерогенных_платформ.pdf</t>
  </si>
  <si>
    <t>Учебное пособие посвящено методам построения и программной реализации параллельных численных алгоритмов для гетерогенных вычислительных платформ. В книге рассматриваются основы многопоточных вычислений, показатели производительности, синтез параллельных алгоритмов, отображение процессов на архитектуру, балансировка нагрузки, а также технологии MPI, OpenMP и CUDA. Издание предназначено для студентов, изучающих дисциплины, связанные с параллельными вычислениями, и предполагает наличие базовых знаний в этой области.</t>
  </si>
  <si>
    <t>Метавычисления и их применение</t>
  </si>
  <si>
    <t>Абрамов С. М.</t>
  </si>
  <si>
    <t>Директ-Медиа</t>
  </si>
  <si>
    <t>Метавычисления.pdf</t>
  </si>
  <si>
    <t>Книга С. М. Абрамова посвящена теории и практике метавычислений — раздела программирования, изучающего методы анализа и преобразования программ с помощью метапрограмм. В работе подробно рассматриваются такие ключевые концепции, как представление множеств, дерево процессов, окрестностный анализ и тестирование, а также универсальный решающий алгоритм и инверсное программирование. Издание предназначено для специалистов в области программирования, научных сотрудников и студентов, изучающих методы автоматического преобразования программ.</t>
  </si>
  <si>
    <t>Методы научных исследований в программной инженерии</t>
  </si>
  <si>
    <t>Е. Р. Пантелеев</t>
  </si>
  <si>
    <t>Лань</t>
  </si>
  <si>
    <t>Методы_научных_исследований в программной инженерии 2021.pdf</t>
  </si>
  <si>
    <t>Учебное пособие посвящено методам научных исследований в программной инженерии, рассматривая её как прикладную научную дисциплину, основанную на системном подходе. Ключевые разделы охватывают общие свойства научного знания, структуру исследования, методы системного анализа и имитационного моделирования, аналитическую обработку данных, использование экспертных систем, а также правила оформления научных работ. Книга предназначена для магистрантов направления «Программная инженерия», то есть для специалистов продвинутого уровня.</t>
  </si>
  <si>
    <t>Distributed Real-Time Systems: Theory and Practice</t>
  </si>
  <si>
    <t>Kayhan Erciyes</t>
  </si>
  <si>
    <t>Распределенные системы реального времени.pdf</t>
  </si>
  <si>
    <t>Книга Кайхана Эрджиеса посвящена разработке и реализации программного обеспечения распределенных систем реального времени. Автор использует подход «снизу вверх», начиная с базовых концепций и переходя к практической реализации на языке C, включая исполняемый код и примеры. Ключевые разделы охватывают введение в системы реального времени, аппаратную архитектуру, память, ввод/вывод и таймеры. Издание предназначено для студентов, инженеров и разработчиков ПО, имеющих базовый опыт в компьютерной архитектуре и операционных системах.</t>
  </si>
  <si>
    <t>Распределенные системы</t>
  </si>
  <si>
    <t>Эндрю С. Таненбаум; Мартен ван Стин</t>
  </si>
  <si>
    <t>Распределенные_системы_2021_Эндрю_С_Таненбаум,_Мартен_ван_Стин.pdf</t>
  </si>
  <si>
    <t>Это третье издание классического учебника профессоров Амстердамского университета Эндрю Таненбаума и Мартена ван Стина, посвященное принципам и парадигмам распределенных систем. Книга охватывает такие ключевые темы, как архитектура программных компонентов, процессы и коммуникации, присваивание имен, согласованность и репликация, а также отказоустойчивость и безопасность. Издание предназначено для опытных разработчиков, занимающихся распределенными системами, и студентов профильных вузов, а также содержит практический код на языке Python.</t>
  </si>
  <si>
    <t>Сжатие данных, изображений и звука</t>
  </si>
  <si>
    <t>Д. Сэломон</t>
  </si>
  <si>
    <t>2004</t>
  </si>
  <si>
    <t>Техносфера</t>
  </si>
  <si>
    <t>Сжатие_данных,_изображений_и_звука_.pdf</t>
  </si>
  <si>
    <t>Книга Дэвида Сэломона «Сжатие данных, изображений и звука» представляет собой учебное пособие, посвященное теории и практическим алгоритмам компрессии цифровой информации. В ней подробно рассматриваются статистические и словарные методы сжатия, а также специализированные техники для изображений (включая JPEG и вейвлетные преобразования), видео и звука (включая стандарт MPEG-1). Издание предназначено для программистов, веб-дизайнеров и разработчиков телекоммуникационных систем, то есть для специалистов и студентов, уже знакомых с основами программирования и прикладной математики.</t>
  </si>
  <si>
    <t>Теоретические основы информатики</t>
  </si>
  <si>
    <t>Стариченко Б. Е.</t>
  </si>
  <si>
    <t>Горячая линия – Телеком</t>
  </si>
  <si>
    <t>Стариченко_Б_Е_Теоретические_основы_информатики.pdf</t>
  </si>
  <si>
    <t>Книга представляет собой учебник по теоретическим основам информатики для студентов вузов, изучающих информационные системы и технологии. В ней рассматриваются теория информации Шеннона, теория кодирования, криптография, элементы теории алгоритмов и конечных автоматов, а также вопросы моделирования систем. Особое внимание уделяется строгому определению базовых понятий информатики и логике их взаимосвязи. Издание предназначено для студентов профильных направлений и школьных учителей информатики, предполагает минимальный математический аппарат и содержит примеры решения задач.</t>
  </si>
  <si>
    <t>Structure and Interpretation of Computer Programs</t>
  </si>
  <si>
    <t>Harold Abelson; Gerald Jay Sussman; Julie Sussman</t>
  </si>
  <si>
    <t>2006</t>
  </si>
  <si>
    <t>The MIT Press; Добросвет</t>
  </si>
  <si>
    <t>Структура и иттерпритация компьютерных программ.pdf</t>
  </si>
  <si>
    <t>Этот фрагмент представляет собой введение к классическому учебнику «Структура и интерпретация компьютерных программ» (SICP) Харольда Абельсона и Джеральда Джей Сассмана. Книга посвящена фундаментальным принципам программирования, в частности построению абстракций с помощью процедур и данных, и охватывает такие темы, как рекурсия, итерация, процедуры высших порядков и работа с иерархическими структурами. Издание предназначено для студентов и специалистов, уже имеющих базовое представление о программировании, и стремится привить читателю глубокое понимание вычислительных процессов, а не просто навыки написания кода.</t>
  </si>
  <si>
    <t>Теоретический минимум по Computer Science. Все, что нужно программисту и разработчику</t>
  </si>
  <si>
    <t>Феррейра Фило Владстон</t>
  </si>
  <si>
    <t>Теоретический_минимум_по_CS-разработчику - 2018.pdf</t>
  </si>
  <si>
    <t>Книга Владстона Феррейры Фило представляет собой сжатое введение в фундаментальные концепции Computer Science, необходимые каждому разработчику. Она охватывает такие ключевые темы, как основы логики, комбинаторика и вероятность, вычислительная сложность с нотацией «О большое», а также стратегии решения задач, включая итерацию, рекурсию и эвристические алгоритмы. Издание предназначено для программистов и разработчиков, которые хотят перейти от простого написания кода к глубокому пониманию вычислительного мышления, и будет полезно как новичкам, так и практикующим специалистам.</t>
  </si>
  <si>
    <t>Теоретический минимум по Computer Science. Сети, криптография и data science</t>
  </si>
  <si>
    <t>Владстон Феррейра Фило; Мото Пиктет</t>
  </si>
  <si>
    <t>Теоретический_минимум_по_CS-сети-криптография - 2022.pdf</t>
  </si>
  <si>
    <t>Эта книга представляет собой краткое и простое руководство по компьютерным наукам, охватывающее основы сетевых технологий, криптографии и науки о данных. Ключевые разделы включают канальный, межсетевой и транспортный уровни сетей, а также IP-адресацию и маршрутизацию. Издание предназначено для читателей, не заботящихся об академических формальностях, и подходит для новичков, желающих освоить фундаментальные концепции Computer Science.</t>
  </si>
  <si>
    <t>Теория вычислений для программистов</t>
  </si>
  <si>
    <t>Том Стюарт</t>
  </si>
  <si>
    <t>2014</t>
  </si>
  <si>
    <t>O'Reilly</t>
  </si>
  <si>
    <t>Теория_вычислений_для_программистов.pdf</t>
  </si>
  <si>
    <t>Книга представляет собой практическое введение в теорию вычислений и проектирование языков программирования, написанное для программистов без формальной подготовки в информатике. Вместо абстрактной математической нотации или редких языков вроде Haskell, для объяснения формальной семантики, теории автоматов и лямбда-исчисления используется минимальный Ruby. Ключевые разделы включают семантику программ, теорию автоматов и функциональное программирование. Издание предназначено для программистов любой квалификации, знакомых с современными языками.</t>
  </si>
  <si>
    <t>Digital Design and Computer Architecture: RISC-V Edition</t>
  </si>
  <si>
    <t>Sarah L. Harris; David Harris</t>
  </si>
  <si>
    <t>Morgan Kaufmann</t>
  </si>
  <si>
    <t>Цифровая_схемотехника_и_архитектура.pdf</t>
  </si>
  <si>
    <t>Книга представляет собой учебное пособие по цифровой схемотехнике и архитектуре компьютера, основанное на открытой системе команд RISC-V. Авторы последовательно рассматривают путь от базовых логических элементов и комбинационных схем до разработки полноценного микропроцессора, сопровождая материал примерами на языках SystemVerilog и VHDL. Издание охватывает как фундаментальные принципы цифрового проектирования, так и практические аспекты работы с интерфейсами ввода/вывода, включая RS-232, SPI, USB и Wi-Fi. Книга предназначена для студентов технических специальностей, инженеров и широкого круга читателей, интересующихся современной схемотехникой, и сочетает доступный стиль изложения с глубоким практическим подходом.</t>
  </si>
  <si>
    <t>DevOps для современного предприятия</t>
  </si>
  <si>
    <t>Мирко Херинг</t>
  </si>
  <si>
    <t>DevOps/Общие вопросы</t>
  </si>
  <si>
    <t>DevOps</t>
  </si>
  <si>
    <t>Общие вопросы</t>
  </si>
  <si>
    <t>!  Мирко_Херинг_DevOps_для_современного_предприятия_ДМК_Пресс_2020.pdf</t>
  </si>
  <si>
    <t>C:\Users\alexa\YandexDisk\Книги\DevOps\CI-CD</t>
  </si>
  <si>
    <t>Книга Мирко Херинга посвящена трансформации традиционных ИТ-организаций с помощью методологии DevOps. Автор выделяет три ключевых аспекта: создание правильной экосистемы для изменений, работу с людьми и управление командами, а также технологические и архитектурные аспекты внедрения DevOps. Книга предназначена для менеджеров и ИТ-специалистов, уже занимающихся DevOps-проектами, но будет полезна и тем, кто только начинает свой путь в этой области.</t>
  </si>
  <si>
    <t>Learning DevOps</t>
  </si>
  <si>
    <t>Mikael Krief</t>
  </si>
  <si>
    <t>Packt Publishing</t>
  </si>
  <si>
    <t>!!! Learning DevOps 2022.pdf</t>
  </si>
  <si>
    <t>Эта книга представляет собой практическое руководство по внедрению DevOps-культуры и практик «Инфраструктура как код» (IaC). В ней рассматриваются ключевые концепции CI/CD, а также работа с инструментами Terraform, Azure DevOps, Kubernetes и Jenkins для автоматизации развертывания. Материал предназначен для специалистов, уже знакомых с основами DevOps, которые хотят углубить знания и освоить современные инструменты для управления облачной инфраструктурой.</t>
  </si>
  <si>
    <t>Python Continuous Integration and Delivery: A Concise Guide with Examples</t>
  </si>
  <si>
    <t>Moritz Lenz</t>
  </si>
  <si>
    <t>DevOps/CI-CD</t>
  </si>
  <si>
    <t>CI-CD</t>
  </si>
  <si>
    <t>!!!Python_Непрерывная_интеграция_и_доставка_2020.pdf</t>
  </si>
  <si>
    <t>Книга Морица Ленца посвящена организации непрерывной интеграции и доставки (CI/CD) для проектов на Python. В ней подробно рассматриваются различные виды тестирования (модульные, интеграционные, системные), а также настройка автоматизированных систем для выполнения тестов и контролируемого развертывания приложений. Издание предназначено для технических специалистов, включая разработчиков, архитекторов и DevOps-инженеров, которые хотят повысить эффективность и надежность процесса доставки программного обеспечения.</t>
  </si>
  <si>
    <t>Python Continuous Integration and Delivery</t>
  </si>
  <si>
    <t>!Ленц_М_Python_Непрерывная_интеграция_и_доставка_2020.pdf</t>
  </si>
  <si>
    <t>Книга Морица Ленца посвящена организации непрерывной интеграции и доставки (CI/CD) для проектов на Python. В ней рассматриваются принципы автоматического тестирования, включая модульные, интеграционные и системные тесты, а также практические примеры настройки тестовой среды и работы с зависимостями. Издание предназначено для технических специалистов, таких как разработчики, архитекторы и DevOps-инженеры, имеющих опыт работы с Python.</t>
  </si>
  <si>
    <t>Automating Workflows with GitHub Actions</t>
  </si>
  <si>
    <t>Priscila Heller</t>
  </si>
  <si>
    <t>Automating Workflows with GitHub.pdf</t>
  </si>
  <si>
    <t>Эта книга посвящена автоматизации процессов разработки программного обеспечения с помощью GitHub Actions. В ней рассматриваются основы CI/CD, работа с Git и GitHub, создание и настройка workflow-файлов на YAML, а также продвинутые темы, такие как использование self-hosted runners и обеспечение безопасности. Издание предназначено как для новичков, желающих освоить автоматизацию, так и для практикующих разработчиков и DevOps-специалистов.</t>
  </si>
  <si>
    <t>A Practical Guide to Azure DevOps: Learn by doing - Third Edition</t>
  </si>
  <si>
    <t>Hewage, Milindanath</t>
  </si>
  <si>
    <t>A_Practical_Guide_to_Azure_DevOps_Learn_by_doing_Hewage,_Milindanath.pdf</t>
  </si>
  <si>
    <t>Эта книга представляет собой практическое руководство по Azure DevOps для начинающих, в котором основной упор делается на выполнение конкретных задач, а не на теоретические описания. В третьем издании рассматриваются ключевые функции платформы: создание организации и проектов, работа с Azure Boards, Azure Repos и Azure Pipelines. Издание предназначено для менеджеров проектов, разработчиков и всех, кто хочет освоить Azure DevOps на практике, не углубляясь в сложные технические детали.</t>
  </si>
  <si>
    <t>CI/CD Pipeline Using Jenkins Unleashed</t>
  </si>
  <si>
    <t>Pranoday Pramod Dingare</t>
  </si>
  <si>
    <t>Apress</t>
  </si>
  <si>
    <t>CICD_Pipeline_Using_Jenkins_Unleashed_Solutions_While_Setting_Up.pdf</t>
  </si>
  <si>
    <t>Книга «CI/CD Pipeline Using Jenkins Unleashed» посвящена настройке и внедрению процессов непрерывной интеграции и непрерывной доставки (CI/CD) с использованием Jenkins. В ней подробно рассматривается рабочий процесс разработки, включая локальное тестирование, слияние кода, компиляцию, развертывание артефактов и сквозное тестирование. Издание предназначено для специалистов, уже знакомых с основами DevOps, которые хотят получить практические решения для построения эффективных пайплайнов.</t>
  </si>
  <si>
    <t>DevOps для ИТ-менеджеров</t>
  </si>
  <si>
    <t>Олег Скрынник</t>
  </si>
  <si>
    <t>ООО «Клеверикс»</t>
  </si>
  <si>
    <t>cleverics_devops_for_it_managers.pdf</t>
  </si>
  <si>
    <t>Книга Олега Скрынника «DevOps для ИТ-менеджеров» представляет собой структурированное руководство по управленческим аспектам DevOps, предназначенное для руководителей и менеджеров в сфере ИТ. Автор объясняет, что DevOps — это не просто автоматизация или инструменты, а подход, основанный на принципах бережливого производства и Agile, направленный на ускорение вывода продуктов на рынок и снижение технического долга. В книге подробно разбираются фундаментальные концепции (поток создания ценности, конвейер развёртывания), ключевые практики (визуализация работы, ограничение задач, раннее выявление дефектов) и вопросы практического применения, включая совместимость с сервисным подходом. Материал ориентирован на опытных ИТ-менеджеров и специалистов, стремящихся внедрить DevOps-культуру в своих организациях.</t>
  </si>
  <si>
    <t>Continuous delivery. Практика непрерывных апдейтов</t>
  </si>
  <si>
    <t>Вольф Эберхард</t>
  </si>
  <si>
    <t>Continuous delivery.pdf</t>
  </si>
  <si>
    <t>Книга Эберхарда Вольфа «Continuous delivery. Практика непрерывных апдейтов» посвящена методологии непрерывной поставки и развертывания программного обеспечения. В ней рассматриваются ключевые этапы конвейера: от автоматизации сборки и непрерывной интеграции до приемочного и нагрузочного тестирования, развертывания и эксплуатации, а также вопросы управления и архитектуры. Издание предназначено для профессионалов — руководителей проектов, разработчиков, администраторов и архитекторов, желающих внедрить практики непрерывной поставки в свою работу.</t>
  </si>
  <si>
    <t>DevOps for Data Science</t>
  </si>
  <si>
    <t>DevOps for Data Science.pdf</t>
  </si>
  <si>
    <t>Эта книга посвящена применению практик DevOps для создания и развертывания production-grade проектов по науке о данных на Python и R. Она состоит из трех разделов: первый учит строить проекты, готовые к продакшену, второй охватывает основы администрирования серверов (Linux, сеть), а третий помогает дата-сайентистам взаимодействовать с IT-отделами. Книга предназначена для специалистов по данным, которые хотят вывести свою работу за рамки простой точности и научиться надежно доставлять результаты в продакшен.</t>
  </si>
  <si>
    <t>DevOps для ИТ-менеджеров: концентрированное структурированное изложение передовых идей</t>
  </si>
  <si>
    <t>DevOps для ИТ 2019.pdf</t>
  </si>
  <si>
    <t>Книга Олега Скрынника представляет собой структурированный справочник по DevOps для ИТ-менеджеров, в котором разъясняется суть методологии без привязки к конкретным инструментам. В ней рассматриваются истоки DevOps, его связь с Agile и бережливым производством, а также ключевые принципы, такие как поток создания ценности и конвейер развертывания. Отдельное внимание уделяется развенчанию распространенных заблуждений, например, что DevOps — это просто автоматизация или новая профессия. Издание ориентировано как на ИТ-специалистов, так и на руководителей бизнеса, желающих вдумчиво применять практики DevOps.</t>
  </si>
  <si>
    <t>DevOps: интеграция и автоматизация</t>
  </si>
  <si>
    <t>Баланов А. Н.</t>
  </si>
  <si>
    <t>DevOps интеграция и автоматизация.pdf</t>
  </si>
  <si>
    <t>Это учебное пособие представляет собой всеобъемлющее руководство по DevOps — подходу, интегрирующему процессы разработки и эксплуатации для повышения гибкости и эффективности IT. Книга охватывает ключевые концепции, включая принципы CALMS, CI/CD, инфраструктуру как код (IaC), мониторинг и DevSecOps, а также инструменты вроде Docker, Kubernetes, Terraform и Ansible. Издание предназначено для новичков, желающих понять основы DevOps и начать применять их на практике, а также для тех, кто стремится развить навыки от Junior до Senior-инженера.</t>
  </si>
  <si>
    <t>DevOps in Python: Infrastructure as Python</t>
  </si>
  <si>
    <t>Moshe Zadka</t>
  </si>
  <si>
    <t>DevOps.in.Python.Infrastructure.as.Python.pdf</t>
  </si>
  <si>
    <t>Книга «DevOps in Python: Infrastructure as Python» Моше Задки посвящена использованию языка Python для автоматизации задач DevOps и управления инфраструктурой. В ней рассматриваются ключевые концепции, такие как установка Python, управление пакетами и виртуальными окружениями, а также создание совместимых wheels (в том числе manylinux) и работа с инструментами вроде tox. Издание предназначено для специалистов среднего уровня, уже знакомых с основами Python и DevOps, которые хотят углубить свои знания в области инфраструктурного программирования.</t>
  </si>
  <si>
    <t>DevOps_для_современного_предприятия.pdf</t>
  </si>
  <si>
    <t>Книга Мирко Херинга посвящена трансформации традиционных ИТ-организаций с помощью методологии DevOps. Автор выделяет три ключевых аспекта: создание правильной экосистемы для изменений, работу с людьми и управление командами, а также технологические и архитектурные аспекты внедрения DevOps. Особое внимание уделяется тому, что успех преобразований невозможен без изменения корпоративной культуры, даже при наличии правильных инструментов. Издание предназначено для менеджеров и ИТ-специалистов, уже работающих над DevOps-проектами, но будет полезно и тем, кто только начинает свой путь в этой области.</t>
  </si>
  <si>
    <t>DevOps_программа обучения</t>
  </si>
  <si>
    <t>DevOps_программа обучения.pdf</t>
  </si>
  <si>
    <t>Данный фрагмент книги посвящён программе обучения DevOps в рамках методологии SAFe. Ключевые концепции включают интеграцию разработки и эксплуатации, автоматизацию процессов и непрерывную поставку. Материал предназначен для специалистов, уже знакомых с основами управления проектами и переходящих к практическому внедрению DevOps-практик в масштабе предприятия.</t>
  </si>
  <si>
    <t>Effective DevOps</t>
  </si>
  <si>
    <t>Jennifer Davis; Katherine Daniels</t>
  </si>
  <si>
    <t>O'Reilly Media, Inc.</t>
  </si>
  <si>
    <t>Effective_DevOps_Building_a_Culture_of_Collaboration 2016.pdf</t>
  </si>
  <si>
    <t>Книга «Effective DevOps» Дженнифер Дэвис и Кэтрин Дэниелс посвящена построению культуры сотрудничества, доверия и масштабируемых инструментов в DevOps-практиках. В ней рассматриваются история DevOps, ключевые концепции (Waterfall, Agile, Lean, ITIL, Blamelessness, Post-Mortem) и развенчиваются распространённые заблуждения, например, что DevOps — это только инструменты или должность. Издание предназначено для специалистов среднего и продвинутого уровня, стремящихся внедрить DevOps не как набор технологий, а как культурную трансформацию в организации.</t>
  </si>
  <si>
    <t>Go for DevOps</t>
  </si>
  <si>
    <t>John Doak;David Justice</t>
  </si>
  <si>
    <t>Go_for_DevOps_Learn_how_to_use_the_Go_language_to_automate_serve.pdf</t>
  </si>
  <si>
    <t>Книга «Go for DevOps» посвящена использованию языка Go для автоматизации серверов, облачных сервисов, Kubernetes, GitHub, Packer и Terraform. В ней рассматриваются ключевые концепции DevOps и практические примеры создания инструментов автоматизации. Издание предназначено для специалистов среднего и продвинутого уровня, таких как DevOps-инженеры и SRE, желающих углубить знания Go в контексте эксплуатации инфраструктуры.</t>
  </si>
  <si>
    <t>Grokking Continuous Delivery</t>
  </si>
  <si>
    <t>Christie Wilson</t>
  </si>
  <si>
    <t>Manning</t>
  </si>
  <si>
    <t>Grokking Continuous Delivery(конвейер непрер разраб).pdf</t>
  </si>
  <si>
    <t>Книга Кристи Уилсон «Grokking Continuous Delivery» представляет собой практическое руководство по внедрению непрерывной доставки (CD) в процесс разработки программного обеспечения. В ней подробно разбираются ключевые концепции: построение базового пайплайна, работа с системой контроля версий как единым источником истины, линтинг кода, борьба с «шумными» тестами и проектирование безопасных релизов. Книга предназначена для разработчиков и DevOps-инженеров начального и среднего уровня, которые хотят освоить принципы CD и научиться поддерживать код в состоянии, готовом к релизу в любой момент.</t>
  </si>
  <si>
    <t>Continuous Delivery: Reliable Software Releases Through Build, Test, and Deployment Automation</t>
  </si>
  <si>
    <t>Jez Humble; David Farley</t>
  </si>
  <si>
    <t>2010</t>
  </si>
  <si>
    <t>Addison-Wesley Professional</t>
  </si>
  <si>
    <t>humble_jez_farley_david_continuous_delivery_reliable_softwar.pdf</t>
  </si>
  <si>
    <t>Фрагмент представляет собой страницы с похвальными отзывами и выходными данными книги «Continuous Delivery» Джеза Хамбла и Дэвида Фарли. Книга посвящена методологии непрерывной поставки программного обеспечения, которая позволяет снизить риски, устранить рутинную работу и повысить уверенность при частом развертывании. Ключевые концепции включают автоматизацию сборки, тестирования и развертывания, а также интеграцию процессов разработки и эксплуатации. Издание предназначено для широкой аудитории разработчиков, тестировщиков, системных администраторов и менеджеров, то есть как для новичков, так и для опытных специалистов, стремящихся к надежным и быстрым релизам.</t>
  </si>
  <si>
    <t>Learning DevSecOps</t>
  </si>
  <si>
    <t>Michelle Ribeiro</t>
  </si>
  <si>
    <t>EPUB</t>
  </si>
  <si>
    <t>Learning DevSecOps (Michelle Ribeiro) (z-lib.org).epub</t>
  </si>
  <si>
    <t>Эта книга посвящена внедрению непрерывной безопасности в процессы разработки и доставки программного обеспечения в рамках культуры DevOps. Ключевые концепции включают интеграцию безопасности в культуру, методологии и инструменты DevOps, а также различие между DevSecOps, непрерывной безопасностью и безопасностью как кодом. Издание предназначено для разработчиков, SRE, технических лидеров и инженеров по безопасности, уже знакомых с основами DevOps.</t>
  </si>
  <si>
    <t>Steve Suehring</t>
  </si>
  <si>
    <t>Learning Devsecops.pdf</t>
  </si>
  <si>
    <t>Книга Стива Зюринга «Learning DevSecOps» посвящена методологии DevSecOps, определяемой как набор гибких и итеративных практик для быстрой и точной поставки программного обеспечения с акцентом на процессы и людей, а не на инструменты. Ключевые концепции включают приоритет культуры безопасности, автоматизацию тестирования и интеграцию безопасности на всех этапах разработки, а не в качестве запоздалого дополнения. Издание предназначено для специалистов с опытом в разработке, эксплуатации или безопасности, желающих освоить объединение этих областей, но первая глава будет полезна и новичкам.</t>
  </si>
  <si>
    <t>Modern DevOps Practices</t>
  </si>
  <si>
    <t>Gaurav Agarwal</t>
  </si>
  <si>
    <t>Modern_DevOps_Practices_Implement_and_secure_DevOps_in_the_public.pdf</t>
  </si>
  <si>
    <t>Книга «Modern DevOps Practices» Гаурава Агарвала посвящена внедрению и обеспечению безопасности DevOps в публичном облаке с использованием современных инструментов и методов. Ключевые разделы охватывают фундаментальные основы контейнеризации, работу с Docker и Docker Compose, а также создание и оптимизацию контейнерных образов, включая многоэтапную сборку и дистрибутивы distroless. Издание предназначено для специалистов по DevOps, SRE-инженеров и архитекторов, уже имеющих практический опыт, которые хотят освоить передовые практики работы с контейнерами в облачной среде.</t>
  </si>
  <si>
    <t>Pipeline as Code</t>
  </si>
  <si>
    <t>Mohamed Labouardy</t>
  </si>
  <si>
    <t>Pipeline_as_Code_Continuous_Delivery_with_Jenkins,_Kubernetes,_and.pdf</t>
  </si>
  <si>
    <t>Книга «Pipeline as Code» Мохамеда Лабуарди посвящена построению надёжных CI/CD-пайплайнов для облачных приложений с использованием Jenkins, Kubernetes и Terraform. В ней рассматриваются ключевые концепции: программируемые пайплайны через Jenkinsfile, инфраструктура как код, автоматизация тестирования, сборка Docker-образов и развёртывание микросервисов. Издание охватывает как теорию CI/CD, так и практические примеры для Kubernetes, Docker Swarm и serverless-функций. Книга рассчитана на разработчиков и DevOps-инженеров среднего уровня, желающих перейти от ручного управления к полностью автоматизированному подходу.</t>
  </si>
  <si>
    <t>Modern IT Automation with PowerShell</t>
  </si>
  <si>
    <t>The DevOps Collective, Inc.; Michael Zanatta</t>
  </si>
  <si>
    <t>Leanpub</t>
  </si>
  <si>
    <t>PowerShell-modern-automation.pdf</t>
  </si>
  <si>
    <t>Книга «Modern IT Automation with PowerShell» представляет собой практическое руководство по автоматизации IT-процессов с использованием PowerShell, начиная с основ работы с системой контроля версий Git. В ней рассматриваются такие ключевые концепции, как создание локальных репозиториев, работа с ветками, слияние изменений и откат ошибок. Издание предназначено для специалистов, уже знакомых с основами PowerShell, и стремится охватить как начинающих, так и опытных пользователей, желающих углубить навыки коллаборативной разработки и автоматизации.</t>
  </si>
  <si>
    <t>Python_Непрерывная_интеграция_и_доставка.pdf</t>
  </si>
  <si>
    <t>Книга Морица Ленца посвящена организации непрерывной интеграции и доставки (CI/CD) для проектов на языке Python. В ней рассматриваются ключевые концепции автоматического тестирования, включая модульные, интеграционные и системные тесты, а также практические приемы работы с зависимостями и настройки тестовой среды. Издание предназначено для технических специалистов, таких как разработчики, архитекторы и DevOps-инженеры, имеющих опыт работы с Python.</t>
  </si>
  <si>
    <t>Руководство по DevOps. Как добиться гибкости, надежности и безопасности мирового уровня в технологических компаниях</t>
  </si>
  <si>
    <t>Джен Ким; Джез Хамбл; Патрик Дебуа; Джон Уиллис</t>
  </si>
  <si>
    <t>Манн, Иванов и Фербер</t>
  </si>
  <si>
    <t>rukovodstvo-po-devops.pdf</t>
  </si>
  <si>
    <t>Данный фрагмент книги «Руководство по DevOps» посвящён практическому внедрению методологии DevOps, объединяющей разработку и эксплуатацию. Ключевые концепции включают автоматизацию процессов, непрерывную интеграцию и доставку (CI/CD), а также культуру сотрудничества между командами. Материал ориентирован на ИТ-специалистов среднего уровня, стремящихся оптимизировать жизненный цикл программного обеспечения и повысить скорость релизов.</t>
  </si>
  <si>
    <t>The DevOps Adoption Playbook: A Guide to Adopting DevOps in a Multi-Speed IT Enterprise</t>
  </si>
  <si>
    <t>Sanjeev Sharma</t>
  </si>
  <si>
    <t>John Wiley &amp; Sons, Inc.</t>
  </si>
  <si>
    <t>sharma_sanjeev_the_devops_adoption_playbook_a_guide_to_adopt.pdf</t>
  </si>
  <si>
    <t>Книга «The DevOps Adoption Playbook» Санджива Шармы посвящена внедрению DevOps в крупных IT-организациях с многоскоростной архитектурой (multi-speed IT). Ключевые концепции включают стратегии преодоления разрыва между быстрыми (Agile) и медленными (традиционными) подходами, а также практические рекомендации по трансформации процессов и культуры. Издание предназначено для IT-руководителей, архитекторов и специалистов среднего и продвинутого уровня, стремящихся к масштабной DevOps-трансформации.</t>
  </si>
  <si>
    <t>Software Telemetry</t>
  </si>
  <si>
    <t>Jamie Riedesel</t>
  </si>
  <si>
    <t>DevOps/Мониторинг</t>
  </si>
  <si>
    <t>Мониторинг</t>
  </si>
  <si>
    <t>Software Telemetry 2022.pdf</t>
  </si>
  <si>
    <t>Книга Джейми Ридезеля «Software Telemetry» посвящена архитектуре и практическим аспектам построения надежных систем сбора, передачи и анализа телеметрии (логов, метрик и трейсов) в программном обеспечении. Ключевые концепции включают три этапа пайплайна телеметрии (эмиссия, доставка и хранение, презентация), а также методы обогащения, трансформации и обеспечения целостности данных. Издание предназначено для специалистов среднего и продвинутого уровня (инженеров, DevOps, SRE), занимающихся мониторингом и эксплуатацией production-систем.</t>
  </si>
  <si>
    <t>Jenkins 2. Приступаем к работе</t>
  </si>
  <si>
    <t>Брент Ластер</t>
  </si>
  <si>
    <t>____Ластер_Б_Jenkins2_Приступаем_к_работе_2019.pdf</t>
  </si>
  <si>
    <t>Книга Брента Ластера «Jenkins 2. Приступаем к работе» посвящена новой версии популярной платформы автоматизации с открытым исходным кодом, предназначенной для создания конвейеров непрерывной доставки. Автор подробно рассматривает ключевые концепции, такие как определение конвейеров в виде кода с использованием предметно-ориентированного языка Jenkins, различия между декларативным и сценарным синтаксисом, а также новый графический интерфейс Blue Ocean. Издание содержит практическое руководство по миграции устаревших заданий, работе с общими библиотеками конвейера и интеграции инструментов анализа и контейнеров. Книга будет полезна как новичкам, так и опытным администраторам, разработчикам и тестировщикам, желающим автоматизировать и ускорить среду DevOps.</t>
  </si>
  <si>
    <t>Securing DevOps</t>
  </si>
  <si>
    <t>Julien Vehent</t>
  </si>
  <si>
    <t>Безопасный DevOps..pdf</t>
  </si>
  <si>
    <t>Книга Джульена Вехена «Безопасный DevOps» посвящена интеграции практик безопасности в процессы DevOps для защиты веб-приложений и облачной инфраструктуры. В ней рассматриваются четыре уровня безопасности (защита приложений, инфраструктуры, каналов связи и конвейера поставки), а также методы выявления аномалий, анализа журналов и реагирования на инциденты. Издание предназначено для ИТ-специалистов и профессионалов в области DevOps, стремящихся обеспечить надежность и защиту систем на всех этапах разработки и эксплуатации.</t>
  </si>
  <si>
    <t>DevOps/Jenkins</t>
  </si>
  <si>
    <t>Jenkins</t>
  </si>
  <si>
    <t>Брент_Ластер_Jenkins_2_Приступаем_к_работе_ДМК_Пресс_2019.pdf</t>
  </si>
  <si>
    <t>Эта книга представляет собой практическое руководство по Jenkins 2, посвященное проектированию и внедрению конвейеров непрерывной доставки. Ключевые концепции включают создание конвейеров в виде кода с использованием предметно-ориентированного языка Jenkins, миграцию устаревших заданий, работу с декларативным и сценарным синтаксисом, а также новый графический интерфейс Blue Ocean. Издание предназначено для администраторов, разработчиков и тестировщиков, знакомых с Jenkins, которые хотят освоить новые технологии для автоматизации DevOps-сред.</t>
  </si>
  <si>
    <t>Вехен Безопасеый DevOps.pdf</t>
  </si>
  <si>
    <t>Книга Джульена Вехена посвящена интеграции безопасности в процессы DevOps для защиты веб-приложений и облачной инфраструктуры. Основные разделы охватывают четыре уровня безопасности (защита приложений, инфраструктуры, каналов связи и конвейера поставки), а также выявление аномалий, анализ журналов и тестирование безопасности. Издание предназначено для ИТ-специалистов и профессионалов в области DevOps, стремящихся внедрить непрерывную безопасность и эффективно устранять уязвимости.</t>
  </si>
  <si>
    <t>Глава из книги - DevOps.pdf</t>
  </si>
  <si>
    <t>Этот фрагмент книги посвящён разоблачению распространённых заблуждений и антишаблонов, связанных с внедрением DevOps. Автор объясняет, что DevOps — это не просто объединение разработчиков и системных администраторов, не отдельная команда и не должность «DevOps-инженер», а культурное движение, охватывающее все роли в организации. Ключевые разделы разбирают мифы о том, что DevOps касается только двух отделов, что его внедрение требует создания специальной команды, и что существует универсальная профессия DevOps-специалиста. Материал будет полезен как новичкам, желающим понять суть концепции, так и специалистам, стремящимся избежать типичных ошибок при её внедрении.</t>
  </si>
  <si>
    <t>Изучаем OpenTelemetry: современный мониторинг систем</t>
  </si>
  <si>
    <t>Паркер Остин; Янг Тед</t>
  </si>
  <si>
    <t>2025</t>
  </si>
  <si>
    <t>Спринт Бук</t>
  </si>
  <si>
    <t>Изучаем OpenTelemetry.pdf</t>
  </si>
  <si>
    <t>Книга «Изучаем OpenTelemetry» Остина Паркера и Теда Янга посвящена современному мониторингу систем и революционной технологии наблюдаемости, которая объединяет трассировки, метрики и журналы в единый поток данных. Авторы, являющиеся лидерами проекта OpenTelemetry, рассматривают историю телеметрии, проблемы разрозненных систем и преимущества универсальных стандартов, а также практические аспекты настройки и диагностики. Ключевые разделы включают обзор текущего состояния наблюдаемости, важность семантической телеметрии и детальное описание первичных сигналов, таких как трассировки. Издание предназначено для специалистов, работающих с облачными сервисами, Kubernetes и AWS Lambda, и требует базового понимания мониторинга.</t>
  </si>
  <si>
    <t>Джен Ким; Патрик Дебуа; Джон Уиллис; Джез Хамбл</t>
  </si>
  <si>
    <t>Ким Руководство по devops.pdf</t>
  </si>
  <si>
    <t>Книга «Руководство по DevOps» Джен Ким, Джеза Хамбла, Патрика Дебуа и Джона Уиллиса посвящена методологии DevOps, направленной на интеграцию разработчиков и IT-эксплуатации для достижения гибкости, надежности и безопасности в технологических компаниях. Ключевой концепцией являются «Три пути»: принципы потока (ускорение доставки ценности), обратной связи (быстрое выявление и исправление ошибок) и непрерывного обучения (экспериментирование и совершенствование). Книга охватывает практические аспекты внедрения DevOps, включая выбор стартового потока создания ценности, организационную архитектуру по закону Конвея, а также технические практики, такие как непрерывная интеграция и автоматизация релизов. Издание предназначено для специалистов среднего и продвинутого уровня, включая IT-менеджеров, разработчиков и инженеров эксплуатации, стремящихся улучшить процессы в своих организациях.</t>
  </si>
  <si>
    <t>Конвейер разработки-Pipeline_as_Code 2022.pdf</t>
  </si>
  <si>
    <t>Книга «Pipeline as Code» Мохамеда Лабуарди посвящена организации непрерывной доставки (Continuous Delivery) с использованием Jenkins, Kubernetes и Terraform. В ней рассматриваются ключевые концепции CI/CD, создание пайплайнов как кода с помощью Jenkinsfile, развертывание микросервисов и облачных приложений, а также управление самоисцеляющимся кластером Jenkins. Издание предназначено для DevOps-инженеров и разработчиков, уже имеющих базовый опыт работы с облачными технологиями и контейнеризацией.</t>
  </si>
  <si>
    <t>Python: Непрерывная интеграция и доставка</t>
  </si>
  <si>
    <t>Мориц Ленц</t>
  </si>
  <si>
    <t>Ленц_М_Python_Непрерывная_интеграция_и_доставка_2020.pdf</t>
  </si>
  <si>
    <t>Книга Морица Ленца посвящена применению практик непрерывной интеграции и доставки (CI/CD) в проектах на языке Python. В ней рассматриваются ключевые концепции автоматического тестирования, включая модульные, интеграционные и системные тесты, а также работа с зависимостями и мок-объектами. Издание предназначено для технических специалистов, таких как разработчики, архитекторы и DevOps-инженеры, имеющих опыт работы с Python.</t>
  </si>
  <si>
    <t>Настоящий SRE: инжиниринг надежности для специалистов и организаций</t>
  </si>
  <si>
    <t>Бланк-Эдельман Дэвид Н.</t>
  </si>
  <si>
    <t>Настоящий SRE.pdf</t>
  </si>
  <si>
    <t>Книга «Настоящий SRE» Дэвида Бланк-Эдельмана представляет собой практическое руководство по внедрению и развитию практики Site Reliability Engineering (SRE) в организациях. Она состоит из трех частей: введение в культуру и менталитет SRE, советы для отдельных специалистов по становлению SR-инженером и руководство для организаций по созданию успешной практики SRE. Ключевые концепции включают менталитет инженера надежности, пропаганду SRE, иерархию надежности и этапы развития SRE в компании. Книга предназначена как для новичков, желающих освоить азы SRE, так и для опытных специалистов и руководителей, стремящихся внедрить или масштабировать эту практику.</t>
  </si>
  <si>
    <t>Руководство по DevOps</t>
  </si>
  <si>
    <t>Джин Ким; Джез Хамбл; Патрик Дюбуа; Джон Уиллис</t>
  </si>
  <si>
    <t>Руководство по DevOps_MIF.pdf</t>
  </si>
  <si>
    <t>Книга «Руководство по DevOps» посвящена методологии DevOps, которая объединяет разработку, эксплуатацию и информационную безопасность для повышения эффективности IT-процессов. Авторы описывают свой путь от осознания проблем (хаос при развертывании, «тушение пожаров») до поиска решений, включая автоматизацию развертывания, использование техник вроде Blue-Green развертывания и принципов канбан. Книга предназначена для специалистов любого уровня — от новичков до опытных IT-менеджеров, стремящихся улучшить взаимодействие команд и внедрить высокопроизводительные практики.</t>
  </si>
  <si>
    <t>Джин Ким; Патрик Дебуа; Джон Уиллис; Джез Хамбл</t>
  </si>
  <si>
    <t>руководство по devops_джин ким, патрик дебуа, джон.epub</t>
  </si>
  <si>
    <t>Книга «Руководство по DevOps» Джина Кима, Патрика Дебуа, Джона Уиллиса и Джеза Хамбла посвящена практическому применению DevOps-трансформаций и развенчанию мифов о неэффективности этого подхода. В ней рассматриваются ключевые концепции, такие как картирование потока ценности, гибкая методология разработки, архитектурное проектирование для быстрых сборок, тестирование производительности и безопасные конвейеры поставки. Издание предназначено для специалистов в области IT и управления проектами, стремящихся внедрить или улучшить практики DevOps в своих организациях.</t>
  </si>
  <si>
    <t>Ускоряйся! Наука DevOps</t>
  </si>
  <si>
    <t>Ускоряйся! Наука DevOps.pdf</t>
  </si>
  <si>
    <t>Книга «Ускоряйся! Наука DevOps» посвящена научно обоснованным принципам и практикам DevOps, которые доказывают причинно-следственную связь между техническими и управленческими решениями и эффективностью бизнеса. Авторы развенчивают мифы о «моделях зрелости» и предлагают 24 конкретные возможности для улучшения организационной культуры, доставки ПО и производительности цифровых продуктов. Книга предназначена для руководителей (генеральных, финансовых и ИТ-директоров), а также для специалистов, участвующих в цифровой трансформации, и будет полезна как новичкам, так и опытным практикам.</t>
  </si>
  <si>
    <t>Философия DevOps. Искусство управления IT</t>
  </si>
  <si>
    <t>Кэтрин Дэниелс</t>
  </si>
  <si>
    <t>Философия DevOps 2017.pdf</t>
  </si>
  <si>
    <t>Книга «Философия DevOps» Кэтрин Дэниелс и Дженнифер Дэвис посвящена методологии DevOps как философии, объединяющей разработку и операционное управление для создания качественного ПО. Ключевые концепции включают четыре столпа DevOps (сотрудничество, близость, инструменты и масштабирование), а также разбор антишаблонов и практик налаживания коммуникации между командами. Издание охватывает технические, культурные и управленческие аспекты, содержит истории реальных компаний и предназначено как для новичков, так и для опытных специалистов, стремящихся улучшить процессы разработки и поддержки.</t>
  </si>
  <si>
    <t>Хаос-инжиниринг</t>
  </si>
  <si>
    <t>Кейси Розенталь; Нора Джонс</t>
  </si>
  <si>
    <t>Хаос_инжиниринг_2021_Кейси_Розенталь,_Нора_Джонс.pdf</t>
  </si>
  <si>
    <t>Книга Кейси Розенталь и Норы Джонс посвящена хаос-инжинирингу — методике повышения устойчивости сложных распределенных систем путем целенаправленного внедрения сбоев. Авторы объясняют, как сложность систем неизбежно растет, и предлагают практические подходы к обнаружению уязвимостей до того, как они повлияют на клиентов. Ключевые разделы охватывают теорию сложных систем, принципы навигации по ним и организацию автоматизированных экспериментов («игровых дней»). Издание предназначено для разработчиков и инженеров по эксплуатации, стремящихся повысить надежность корпоративных систем.</t>
  </si>
  <si>
    <t>Implementing DevSecOps with Docker and Kubernetes</t>
  </si>
  <si>
    <t>José Manuel Ortega Candel</t>
  </si>
  <si>
    <t>BPB Publications</t>
  </si>
  <si>
    <t>DevOps/Docker</t>
  </si>
  <si>
    <t>Docker</t>
  </si>
  <si>
    <t>!!!Implementing_DevSecOps_with_Docker_and_Kubernetes_José_Manuel_Ortega.pdf</t>
  </si>
  <si>
    <t>C:\Users\alexa\YandexDisk\Книги\DevOps\Docker</t>
  </si>
  <si>
    <t>Книга Хосе Мануэля Ортеги посвящена внедрению практик DevSecOps с использованием Docker и Kubernetes, с акцентом на безопасность, мониторинг и администрирование контейнерных приложений. В ней рассматриваются ключевые концепции: создание и оптимизация образов Docker, настройка безопасности (AppArmor, seccomp, Docker Content Trust), а также работа с реестрами и инструментами аудита. Издание предназначено для специалистов, желающих изучить как базовые, так и продвинутые аспекты безопасности контейнеров и оркестрации.</t>
  </si>
  <si>
    <t>Using Docker</t>
  </si>
  <si>
    <t>Chris Simmonds; Эдриен Моуэт</t>
  </si>
  <si>
    <t>!Использование Docker.pdf</t>
  </si>
  <si>
    <t>Книга Эдриена Моуэта «Использование Docker» представляет собой практическое руководство по разработке, тестированию и развертыванию программного обеспечения с помощью технологии контейнеров. В ней рассматриваются ключевые концепции: сравнение контейнеров с виртуальными машинами, установка Docker, создание образов через Dockerfile, работа с реестрами и основы архитектуры Docker. Издание предназначено для разработчиков, инженеров по эксплуатации и системных администраторов, начиная с базового уровня и заканчивая сопровождением крупных систем.</t>
  </si>
  <si>
    <t>Bootstrapping Microservices with Docker, Kubernetes, and Terraform</t>
  </si>
  <si>
    <t>Ashley Davis</t>
  </si>
  <si>
    <t>Bootstrapping Microservce.pdf</t>
  </si>
  <si>
    <t>Эта книга представляет собой практическое руководство по созданию микросервисных приложений с использованием Docker, Kubernetes и Terraform. В ней рассматриваются ключевые концепции, такие как контейнеризация, управление данными, коммуникация между сервисами, непрерывная доставка и автоматическое тестирование, а также описывается типичный рабочий процесс разработки от локальной среды до продакшена. Издание предназначено для разработчиков, уже знакомых с основами программирования, которые хотят освоить современные инструменты и подходы к построению масштабируемых микросервисных архитектур.</t>
  </si>
  <si>
    <t>Docker for Serverless Applications</t>
  </si>
  <si>
    <t>Chanwit Kaewkasi</t>
  </si>
  <si>
    <t>Chanwit Kaewkasi - Docker for Serverless Applications (2018).pdf</t>
  </si>
  <si>
    <t>Книга «Docker for Serverless Applications» Чанвита Каевкаси посвящена созданию приложений и инфраструктур на основе бессерверных вычислений (FaaS) с использованием Docker. В ней рассматриваются ключевые концепции, такие как контейнеризация функций, оркестрация с помощью Docker Swarm, а также практическая работа с платформами OpenFaaS, OpenWhisk и Fn. Книга предназначена для разработчиков, Docker-инженеров и DevOps-специалистов, желающих освоить интеграцию Docker с бессерверными архитектурами.</t>
  </si>
  <si>
    <t>Docker Deep Dive</t>
  </si>
  <si>
    <t>Nigel Poulton</t>
  </si>
  <si>
    <t>Docker Deep Dive Zero to Docker in a single book.pdf</t>
  </si>
  <si>
    <t>Книга «Docker Deep Dive» Найджела Поултона представляет собой всеобъемлющее руководство по технологии Docker, охватывающее как фундаментальные концепции контейнеризации, так и практические аспекты работы с инструментом. В издании 2020 года автор обновил содержание, включив спецификацию Compose и упростив главы по установке, а также сократил объём книги, убрав устаревшие разделы о Docker Enterprise Edition. Материал предназначен как для новичков, желающих освоить Docker с нуля, так и для специалистов, стремящихся углубить свои знания в области облачных технологий и контейнеризации.</t>
  </si>
  <si>
    <t>Docker for Developers</t>
  </si>
  <si>
    <t>Richard Bullington-McGuire; Andrew K. Dennis; Michael Schwartz</t>
  </si>
  <si>
    <t>Docker for Developers 2020.pdf</t>
  </si>
  <si>
    <t>Книга «Docker for Developers» посвящена использованию Docker и контейнеров для разработки, запуска приложений и внедрения практик непрерывной доставки с помощью DevOps-инструментов. Ключевые разделы охватывают создание и развертывание приложений в контейнерах, а также интеграцию с инструментами автоматизации. Издание предназначено для разработчиков и DevOps-специалистов, имеющих базовый опыт работы с Docker и стремящихся углубить свои знания в области продакшн-развертывания.</t>
  </si>
  <si>
    <t>Docker for Serverless Applications (2018).pdf</t>
  </si>
  <si>
    <t>Книга «Docker for Serverless Applications» Чанавита Каевкаси посвящена интеграции контейнеризации с бессерверными вычислениями (FaaS). В ней рассматриваются ключевые концепции использования Docker в качестве функциональной единицы для платформ FaaS, а также практическая работа с OpenFaaS, OpenWhisk и Fn Project. Издание предназначено для разработчиков, Docker-инженеров и DevOps-специалистов, желающих освоить оркестрацию функций и создание портативной инфраструктуры для бессерверных приложений.</t>
  </si>
  <si>
    <t>Docker Demystified. Learn How to Develop and Deploy Applications Using Docker</t>
  </si>
  <si>
    <t>Saibal Ghosh</t>
  </si>
  <si>
    <t>БХВ-Петербург</t>
  </si>
  <si>
    <t>Docker без секретов.pdf</t>
  </si>
  <si>
    <t>Книга «Docker без секретов» Саибала Гоша посвящена развертыванию и поддержке контейнерных приложений с использованием технологии Docker. В ней подробно описаны принципы работы образов, контейнеров, хранилищ Docker Storage, системы контейнеризации Docker Swarm, сетевое взаимодействие Container Network Model, а также вопросы безопасности и масштабирования. Отдельное внимание уделено развертыванию служб в Swarm и использованию плагинов. Издание предназначено для разработчиков программного обеспечения и системных архитекторов, то есть для специалистов, уже знакомых с основами разработки.</t>
  </si>
  <si>
    <t>Docker: Up &amp; Running</t>
  </si>
  <si>
    <t>Sean P. Kane; Karl Matthias</t>
  </si>
  <si>
    <t>ALIST</t>
  </si>
  <si>
    <t>Docker. Вводный курс.pdf</t>
  </si>
  <si>
    <t>Книга «Docker. Вводный курс» (3-е издание) Шона П. Кейна и Карла Матиаса представляет собой практическое руководство по использованию Docker и контейнеров Linux для развертывания программного обеспечения. В ней подробно рассматриваются сборка образов OCI, работа с командной строкой, инструменты оркестрации, безопасности и конфигурирования, а также новые возможности, такие как BuildKit, мультиархитектурные образы и rootless-контейнеры. Издание предназначено для разработчиков, системных администраторов, архитекторов и технических специалистов, уже имеющих базовый опыт работы.</t>
  </si>
  <si>
    <t>Docker Compose для разработчика</t>
  </si>
  <si>
    <t>Эммануил Гадзурас</t>
  </si>
  <si>
    <t>Docker_Compose_для_разработчика_Упростите_разработку.pdf</t>
  </si>
  <si>
    <t>Книга Эммануила Гадзураса посвящена использованию Docker Compose для упрощения разработки и оркестрации многоконтейнерных приложений. В ней рассматриваются основы томов и сетей Docker, команды Compose, настройка баз данных и связей между микросервисами, а также запуск стеков локально и в промышленных окружениях. Издание предназначено для программистов и DevOps-инженеров, желающих освоить работу с многоконтейнерными приложениями, а также для руководителей, стремящихся повысить продуктивность команд.</t>
  </si>
  <si>
    <t>Docker на практике</t>
  </si>
  <si>
    <t>Иан Милл; Эйдан Хобсон Сейерс</t>
  </si>
  <si>
    <t>Docker_на_практике.pdf</t>
  </si>
  <si>
    <t>Книга «Docker на практике» посвящена практическому применению технологии Docker, включая замену виртуальных машин, использование микросервисов, моделирование сети и организацию непрерывной доставки на базе контейнеров. В формате «проблема/решение» рассматриваются ключевые концепции: архитектура Docker, создание образов и контейнеров, работа с реестрами и сетевое взаимодействие. Издание предназначено для разработчиков, уже использующих Docker в своём рабочем окружении, то есть для специалистов среднего уровня.</t>
  </si>
  <si>
    <t>Docker_на_практике_2020.pdf</t>
  </si>
  <si>
    <t>Книга «Docker на практике» посвящена изучению и применению технологии Docker для контейнеризации приложений. В ней рассматриваются ключевые концепции, такие как создание образов, работа с контейнерами, архитектура Docker, сетевое взаимодействие и использование реестров. Издание предназначено для разработчиков, уже имеющих базовый опыт работы с Docker, и предлагает практические решения в формате «проблема/решение».</t>
  </si>
  <si>
    <t>Running GUI Applications in Docker</t>
  </si>
  <si>
    <t>Adams, Fraser</t>
  </si>
  <si>
    <t>Fraser Adams - Running GUI Applications in Docker (2020).pdf</t>
  </si>
  <si>
    <t>Книга Фрейзера Адамса представляет собой практическое руководство по упаковке и запуску GUI-приложений в контейнерах Docker, начиная с простых X11-программ и заканчивая продвинутыми темами, такими как GPU-ускорение, удалённый рендеринг через VirtualGL, интеграция D-bus и запуск полноценных виртуальных рабочих столов. Ключевые разделы охватывают локальные приложения, удалённый доступ (VNC, RDP, SPICE), веб-приложения и 3D-ускоренные виртуальные десктопы. Издание рассчитано на пользователей с базовым знакомством с Docker, но все примеры снабжены подробными пояснениями и командами, что делает его доступным и для новичков.</t>
  </si>
  <si>
    <t>Learn Kubernetes Docker .NET Core Java Node.JS PHP or Python</t>
  </si>
  <si>
    <t>Arnaud Weil</t>
  </si>
  <si>
    <t>DevOps/Kubernetes</t>
  </si>
  <si>
    <t>Kubernetes</t>
  </si>
  <si>
    <t>Learn_Kubernetes_Docker_NET_Core_Java_Node_JS_PHP_or_Python_Arnaud.epub</t>
  </si>
  <si>
    <t>Эта книга представляет собой практическое руководство по Docker и Kubernetes, нацеленное на быстрое освоение контейнеризации и оркестрации приложений. В ней рассматриваются ключевые концепции: создание и публикация Docker-образов, работа с подами, сервисами, томами и конфигурациями в Kubernetes, а также использование Helm. Материал ориентирован на новичков и специалистов (разработчиков, DevOps-инженеров), желающих за неделю научиться запускать контейнерные приложения.</t>
  </si>
  <si>
    <t>Mastering Docker - Fourth Edition</t>
  </si>
  <si>
    <t>McKendrick, Russ</t>
  </si>
  <si>
    <t>Mastering Docker  En... by Russ McKendrick.pdf</t>
  </si>
  <si>
    <t>Это четвёртое издание книги «Mastering Docker» от Расcа Маккендрика, посвящённое углублённому изучению Docker для повышения навыков контейнеризации и DevOps. Книга охватывает ключевые концепции Docker, включая работу с контейнерами, автоматизацию и подготовку приложений к промышленной эксплуатации. Издание предназначено для опытных разработчиков и DevOps-специалистов, стремящихся освоить продвинутые техники и доставить production-ready решения.</t>
  </si>
  <si>
    <t>Mastering_Docker_Enhance_your_containerization_and_DevOps_skills 2020.pdf</t>
  </si>
  <si>
    <t>Это четвёртое издание книги «Mastering Docker» Расcа Маккендрика, посвящённое углублённому изучению контейнеризации и DevOps-практик для создания готовых к промышленной эксплуатации приложений. Книга охватывает ключевые концепции Docker, включая работу с контейнерами, автоматизацию и развёртывание, а также содержит разделы по оркестрации и интеграции с современными инструментами. Издание предназначено для опытных разработчиков и системных администраторов, стремящихся повысить свои навыки в области контейнеризации и DevOps.</t>
  </si>
  <si>
    <t>Practical Linux DevOps: Building a Linux Lab for Modern Software Development</t>
  </si>
  <si>
    <t>John S. Tonello</t>
  </si>
  <si>
    <t>Practical Linux DevOps.pdf</t>
  </si>
  <si>
    <t>Книга Джона С. Тонелло «Practical Linux DevOps» посвящена созданию лабораторного стенда на Linux для практического освоения современных практик разработки и DevOps. В рассмотренном фрагменте автор начинает с выбора и настройки аппаратного обеспечения (CPU, память, хранилище, сетевое оборудование), а затем переходит к развертыванию виртуальной среды на базе Proxmox, включая настройку VLAN и работу с сетевыми интерфейсами. Материал ориентирован на специалистов среднего уровня, уже знакомых с основами Linux, которые хотят построить собственную инфраструктуру для экспериментов и обучения.</t>
  </si>
  <si>
    <t>What Is Portainer?</t>
  </si>
  <si>
    <t>Fabian Peter</t>
  </si>
  <si>
    <t>O'Reilly Media</t>
  </si>
  <si>
    <t>What Is Portainer.pdf</t>
  </si>
  <si>
    <t>Книга Фабиана Петера посвящена инструменту Portainer, который упрощает управление контейнеризированными приложениями в средах Docker и Kubernetes. Автор на личном примере показывает, как Portainer решает проблему доступа разработчиков к контейнерам, предоставляя веб-интерфейс для просмотра логов, доступа к оболочке и управления развертываниями без глубоких знаний Docker. Ключевые концепции включают два издания (Community и Business), а также возможность настройки разных уровней доступа для обеспечения безопасности. Книга предназначена для разработчиков, операторов и менеджеров, работающих в современных кросс-функциональных командах, и подходит как для новичков, так и для специалистов, желающих упростить эксплуатацию контейнеров.</t>
  </si>
  <si>
    <t>Docker in Practice</t>
  </si>
  <si>
    <t>Ian Miell; Aidan Hobson Sayers</t>
  </si>
  <si>
    <t>Иан_Милл,_Эйдан_Хобсон_Сейерс_Docker_на_практике 2020.pdf</t>
  </si>
  <si>
    <t>Книга «Docker на практике» посвящена изучению технологии Docker, её архитектуры и методов применения для разработки и развертывания приложений. В ней рассматриваются ключевые концепции, такие как создание образов и контейнеров, работа с Dockerfile, настройка сети и реестров, а также замена виртуальных машин контейнерами. Издание предназначено для разработчиков, уже использующих Docker в своём рабочем окружении, и предполагает наличие базовых знаний, то есть ориентировано на специалистов среднего уровня.</t>
  </si>
  <si>
    <t>Программирование Cloud Native. Микросервисы, Docker и Kubernetes</t>
  </si>
  <si>
    <t>Иван Портянкин</t>
  </si>
  <si>
    <t>Программирование Cloud Native.pdf</t>
  </si>
  <si>
    <t>Книга Ивана Портянкина посвящена разработке приложений в стиле Cloud Native с использованием микросервисов, контейнеризации Docker и оркестрации Kubernetes. В ней рассматриваются ключевые концепции: архитектура микросервисов, создание и управление контейнерами, развертывание и масштабирование в Kubernetes, а также принципы «12 факторов облачного приложения». Издание ориентировано на разработчиков, уже знакомых с программированием (примеры на Go и Java), и предназначено для практического освоения современных облачных технологий.</t>
  </si>
  <si>
    <t>Эммануил_Гадзурас_Docker_Compose_для_разработчика.pdf</t>
  </si>
  <si>
    <t>Книга Эммануила Гадзураса посвящена упрощению разработки и оркестрации многоконтейнерных приложений с помощью Docker Compose. В ней рассматриваются основы томов и сетей Docker, команды Compose, настройка баз данных и связей между микросервисами, а также запуск целых стеков локально и моделирование промышленных окружений. Издание предназначено для программистов и инженеров DevOps, желающих освоить настройку многоконтейнерных приложений, а также для руководителей групп, стремящихся повысить продуктивность команд.</t>
  </si>
  <si>
    <t>Advanced Git</t>
  </si>
  <si>
    <t>Jawwad Ahmad; Chris Belanger</t>
  </si>
  <si>
    <t>Razeware LLC</t>
  </si>
  <si>
    <t>DevOps/Git</t>
  </si>
  <si>
    <t>Git</t>
  </si>
  <si>
    <t>Advanced Git (2nd Edition) [2021] Jawwad Ahmad &amp; Chris Belanger.epub</t>
  </si>
  <si>
    <t>C:\Users\alexa\YandexDisk\Книги\DevOps\Git</t>
  </si>
  <si>
    <t>Книга «Advanced Git» (второе издание) авторов Криса Беланжера и Джаввада Ахмада посвящена углублённому изучению системы контроля версий Git и предназначена для разработчиков, уже знакомых с основами. В первой части рассматриваются продвинутые внутренние механизмы Git, работа со слияниями, сташами, перебазированием и отменой изменений, а вторая часть фокусируется на различных рабочих процессах, таких как Centralized, Feature Branch, Gitflow и Forking. Материал рассчитан на специалистов среднего и продвинутого уровня, стремящихся повысить эффективность командной работы и освоить сложные техники управления версиями.</t>
  </si>
  <si>
    <t>Advanced Git (2nd Edition)</t>
  </si>
  <si>
    <t>Advanced Git (2nd Edition) [2021] Jawwad Ahmad &amp; Chris Belanger.pdf</t>
  </si>
  <si>
    <t>Книга «Advanced Git» (2-е издание) авторов Джаввада Ахмада и Криса Беланжера посвящена углублённому изучению системы контроля версий Git. Она охватывает такие ключевые темы, как внутреннее устройство Git, разрешение конфликтов слияния, работа со стешами, перебазирование (включая переписывание истории), игнорирование файлов и различные стратегии отмены изменений. Вторая часть книги подробно рассматривает популярные рабочие процессы: централизованный, с функциональными ветками, Gitflow и форкинг. Издание предназначено для разработчиков, уже имеющих базовые навыки работы с Git и желающих перейти на продвинутый уровень.</t>
  </si>
  <si>
    <t>Beginning Git and GitHub</t>
  </si>
  <si>
    <t>Mariot Tsitoara</t>
  </si>
  <si>
    <t>Beginning.Git.and.GitHub.pdf</t>
  </si>
  <si>
    <t>Это фрагмент книги «Beginning Git and GitHub» Марио Цитоары, которая представляет собой введение в системы контроля версий и работу с Git и GitHub. Ключевые концепции, затронутые в отрывке, включают объяснение того, что такое контроль версий, сравнение локальных, централизованных и распределённых систем, а также описание типичного рабочего процесса Git. Книга предназначена для начинающих разработчиков, которые хотят освоить основы управления версиями и совместной работы над проектами.</t>
  </si>
  <si>
    <t>GIT: The Ultimate Guide for Beginners: Learn Git Version Control</t>
  </si>
  <si>
    <t>Garner, Jameson</t>
  </si>
  <si>
    <t>Garner,_Jameson_GIT_The_Ultimate_Guide_for_Beginners_Learn_Git_Version.epub</t>
  </si>
  <si>
    <t>Эта книга представляет собой введение в систему контроля версий Git для начинающих. В ней объясняются базовые концепции, такие как распределённая система контроля версий (DVCS), её преимущества перед централизованной (CVCS), а также перечислены основные операции: создание, клонирование, фиксация изменений, работа с ветками и разрешение конфликтов. Материал предназначен для новичков, желающих освоить Git с нуля.</t>
  </si>
  <si>
    <t>Git Pocket Guide</t>
  </si>
  <si>
    <t>Richard E. Silverman</t>
  </si>
  <si>
    <t>2013</t>
  </si>
  <si>
    <t>Git Pocket Guide by Richard E. Silverman.pdf</t>
  </si>
  <si>
    <t>Это карманное руководство по системе контроля версий Git, написанное Ричардом Сильверманом. Книга охватывает ключевые концепции Git, такие как объектное хранилище, граф коммитов, ветки, индекс, слияние, а также операции отправки и получения данных. В ней подробно рассматриваются практические задачи: создание репозитория, выполнение коммитов, отмена изменений, работа с ветками и синхронизация с удалёнными репозиториями. Издание предназначено для пользователей начального и среднего уровня, желающих быстро освоить основные возможности Git.</t>
  </si>
  <si>
    <t>Git для профессионального программиста</t>
  </si>
  <si>
    <t>Чакон С.; Штрауб Б.</t>
  </si>
  <si>
    <t>Git для профессионального программиста.pdf</t>
  </si>
  <si>
    <t>Книга представляет собой обновленное руководство по использованию распределенной системы управления версиями Git, созданной Линусом Торвальдсом. В ней рассматриваются основы Git, работа с ветвлениями, настройка сервера, распределенная разработка, возможности GitHub и продвинутые инструменты. Издание предназначено для профессиональных программистов и разработчиков, уже знакомых с основами контроля версий, и охватывает версию Git 2.0.</t>
  </si>
  <si>
    <t>Git. Практическое руководство. Управление и контроль версий в разработке программного обеспечения</t>
  </si>
  <si>
    <t>Фишерман Л. В.</t>
  </si>
  <si>
    <t>Наука и Техника</t>
  </si>
  <si>
    <t>Git. Практическое руководство 2021.pdf</t>
  </si>
  <si>
    <t>Книга представляет собой практическое руководство по системе управления версиями Git, предназначенное для разработчиков программного обеспечения. В ней подробно описываются базовые понятия, такие как репозитории, коммиты, ветки и хэши, а также рассматриваются процессы установки, настройки и начала работы с Git. Изложение начинается с самых основ, поэтому книга подойдет как новичкам, так и специалистам, желающим систематизировать знания.</t>
  </si>
  <si>
    <t>GitHub® For Dummies®</t>
  </si>
  <si>
    <t>Sarah Guthals; Phil Haack</t>
  </si>
  <si>
    <t>GitHub_for_Dummies_2019.pdf</t>
  </si>
  <si>
    <t>Книга «GitHub For Dummies» представляет собой практическое руководство для начинающих по работе с платформой GitHub и системой контроля версий Git. Она охватывает создание репозиториев, настройку сайтов с помощью GitHub Pages, работу с форками и pull request’ами, а также управление и участие в крупных проектах с открытым исходным кодом (OSS). Издание предназначено для новичков, желающих освоить основы совместной разработки кода и эффективного использования GitHub.</t>
  </si>
  <si>
    <t>Git: контроль версий. 3-е изд.</t>
  </si>
  <si>
    <t>Понуторай П.; Лолигер Д.</t>
  </si>
  <si>
    <t>Git__контроль_версий.epub</t>
  </si>
  <si>
    <t>Книга «Git: контроль версий» (3-е издание) представляет собой практическое руководство по распределенной системе контроля версий Git, созданной Линусом Торвальдсом. Она охватывает философию Git, основы работы, общие и продвинутые навыки, включая отслеживание, ветвление, слияние и управление ревизиями кода, а также содержит советы для командной работы. Издание предназначено в первую очередь для разработчиков ПО, DevOps и инженеров, но будет полезно и специалистам из других областей (data science, дизайн, написание книг) — от новичков до опытных пользователей, желающих углубить свои знания.</t>
  </si>
  <si>
    <t>Git: контроль версий</t>
  </si>
  <si>
    <t>Прем Кумар Понуторай; Джон Лолигер</t>
  </si>
  <si>
    <t>Git__контроль_версий.pdf</t>
  </si>
  <si>
    <t>Книга «Git: контроль версий» представляет собой практическое руководство по системе контроля версий Git, охватывающее темы отслеживания, ветвления, слияния и управления ревизиями кода. Ключевые разделы включают философию Git, основы работы с ветками и коммитами, базовые навыки (поиск и изменение коммитов, работа с удаленными репозиториями), а также продвинутые техники (патчи, хуки, подмодули) и советы по работе с GitHub. Издание организовано в виде пошаговых уроков, разделенных по уровням профессионализма, и предназначено как для новичков, так и для опытных специалистов, желающих освоить продвинутые возможности Git.</t>
  </si>
  <si>
    <t>Head First Git</t>
  </si>
  <si>
    <t>Raju Gandhi</t>
  </si>
  <si>
    <t>Head First Git (Final Release) 2022.pdf</t>
  </si>
  <si>
    <t>Книга «Head First Git» авторства Раджу Ганди представляет собой практическое руководство по системе контроля версий Git, написанное в уникальном визуальном и увлекательном стиле серии Head First. Вместо заучивания команд-рецептов книга объясняет внутреннее устройство Git, помогая читателю понять, как на самом деле работает этот инструмент. Ключевые разделы охватывают установку, базовые операции и глубокое понимание принципов работы Git, что позволяет выйти за рамки поверхностного использования. Издание предназначено для новичков и разработчиков любого уровня, которые хотят не просто копировать команды, а получить прочную основу и уверенность в работе с Git.</t>
  </si>
  <si>
    <t>Head First Git.epub</t>
  </si>
  <si>
    <t>Эта книга представляет собой практическое руководство по системе контроля версий Git, предназначенное для новичков, которые хотят понять её внутреннее устройство, а не просто заучивать команды. Автор, Раджу Ганди, объясняет фундаментальные концепции, такие как создание репозитория, три состояния файлов (рабочая директория, индекс, коммит) и ветвление, с помощью интерактивных упражнений и визуальных примеров. Материал ориентирован на читателей, уже знакомых с командной строкой, но не имеющих опыта работы с Git, и помогает освоить инструмент «изнутри», чтобы уверенно решать нестандартные ситуации.</t>
  </si>
  <si>
    <t>Head First. Git. Лучший способ понять Git изнутри</t>
  </si>
  <si>
    <t>Head First. Git. Лучший способ понять Git изнутри.pdf</t>
  </si>
  <si>
    <t>Книга «Head First. Git» посвящена глубокому пониманию системы контроля версий Git, её внутреннего устройства и принципов работы. В представленном фрагменте рассматриваются ключевые концепции, такие как работа с коммитами, ветвление и слияние, а также основы навигации по истории проекта. Издание ориентировано на новичков и разработчиков начального уровня, желающих освоить Git не просто как набор команд, а как инструмент с понятной внутренней логикой.</t>
  </si>
  <si>
    <t>Pro Git</t>
  </si>
  <si>
    <t>Scott Chacon; Ben Straub</t>
  </si>
  <si>
    <t>Pro Git 2021.pdf</t>
  </si>
  <si>
    <t>Книга «Pro Git» Скотта Чейкона и Бена Страуба представляет собой исчерпывающее руководство по системе контроля версий Git, охватывающее её историю, установку и настройку. Ключевые разделы включают основы работы с репозиториями, ветвление и слияние, а также организацию Git на сервере. Издание предназначено как для новичков, только знакомящихся с контролем версий, так и для опытных разработчиков, желающих углубить свои знания.</t>
  </si>
  <si>
    <t>Learning Git: A Hands-On and Visual Guide to the Basics of Git</t>
  </si>
  <si>
    <t>Anna Skoulikari</t>
  </si>
  <si>
    <t>АЛИСТ</t>
  </si>
  <si>
    <t>Изучаем Git.pdf</t>
  </si>
  <si>
    <t>Книга Анны Скуликари «Изучаем Git» представляет собой наглядное пошаговое руководство по основам самой популярной системы контроля версий. В ней подробно рассматриваются ключевые концепции: установка Git, работа с командной строкой и графическим интерфейсом, создание локальных репозиториев и коммитов, ветвление и слияние, а также взаимодействие с удаленными репозиториями и разрешение конфликтов. Издание предназначено для начинающих пользователей, которые хотят освоить Git с нуля, и включает два сквозных проекта для закрепления материала.</t>
  </si>
  <si>
    <t>Основы работы с Git</t>
  </si>
  <si>
    <t>ZIP</t>
  </si>
  <si>
    <t>Курс - Основы работы с Git (2021).zip</t>
  </si>
  <si>
    <t>Данный фрагмент не содержит читаемого текста книги, а представляет собой путь к zip-архиву. Не удалось определить содержимое.</t>
  </si>
  <si>
    <t>Learning Git</t>
  </si>
  <si>
    <t>практическое и наглядное руководство по основам Git.pdf</t>
  </si>
  <si>
    <t>Эта книга представляет собой практическое руководство по основам системы контроля версий Git, написанное Анной Скуликари для новичков, не имеющих опыта работы с Git. Автор предлагает уникальный визуальный подход к обучению, основанный на собственном опыте преодоления страха перед этой технологией. Ключевая концепция книги — последовательное выполнение упражнений на примере проекта «Радуга» (Rainbow project) в главах с 1 по 12, а также демонстрация работы Git на воображаемом «Книжном проекте». Издание предназначено для студентов курсов программирования, технических писателей, продакт-менеджеров, дизайнеров, младших разработчиков и всех, кто начинает изучать технические навыки или работает в нетехнических ролях, но нуждается в совместной работе с Git.</t>
  </si>
  <si>
    <t>Про Git.pdf</t>
  </si>
  <si>
    <t>Книга «Pro Git» Скотта Чейкона и Бена Страуба представляет собой исчерпывающее руководство по системе контроля версий Git, охватывающее все этапы работы: от установки и первоначальной настройки до основ создания репозиториев, записи изменений и просмотра истории коммитов. Ключевые разделы посвящены ветвлению и слиянию, работе с удалёнными репозиториями, метками, перебазированию, а также настройке собственного Git-сервера и протоколам передачи данных. Материал рассчитан как на новичков, только знакомящихся с системой, так и на опытных разработчиков, желающих углубить свои знания в администрировании и продвинутых техниках.</t>
  </si>
  <si>
    <t>Профессиональная работа с Git</t>
  </si>
  <si>
    <t>Издательство АСТ</t>
  </si>
  <si>
    <t>Профессиональная работа с Git.pdf</t>
  </si>
  <si>
    <t>Книга «Профессиональная работа с Git» представляет собой практическое руководство по системе контроля версий Git, основанное на материалах сообщества Stack Overflow. В ней рассматриваются ключевые концепции: создание и клонирование репозиториев, настройка удаленных репозиториев и SSH, а также подробно разбираются команды для просмотра истории версий, включая различные форматы журнала и поиск по коммитам. Издание предназначено для разработчиков программного обеспечения разного уровня, от новичков до опытных специалистов, желающих углубить свои знания в работе с Git.</t>
  </si>
  <si>
    <t>Jenkins2_DevOps-Приступаем_к_работе_2019.pdf</t>
  </si>
  <si>
    <t>C:\Users\alexa\YandexDisk\Книги\DevOps\Jenkins</t>
  </si>
  <si>
    <t>Книга Брента Ластера посвящена Jenkins 2 — системе для автоматизации непрерывной интеграции и доставки программного обеспечения. В ней рассматриваются ключевые концепции: создание конвейеров в виде кода, миграция устаревших заданий, использование декларативного и сценарного синтаксиса, а также новый интерфейс Blue Ocean. Издание предназначено для администраторов, разработчиков и тестировщиков, знакомых с Jenkins и желающих освоить современные технологии DevOps для построения надежных автоматизированных конвейеров.</t>
  </si>
  <si>
    <t>Continuous Delivery for Kubernetes MEAP V06</t>
  </si>
  <si>
    <t>Mauricio Salatino</t>
  </si>
  <si>
    <t>Manning Publications</t>
  </si>
  <si>
    <t>Continuous Delivery for Kubernetes 2022.pdf</t>
  </si>
  <si>
    <t>C:\Users\alexa\YandexDisk\Книги\DevOps\Kubernetes</t>
  </si>
  <si>
    <t>Книга «Continuous Delivery for Kubernetes» посвящена применению практик непрерывной доставки (Continuous Delivery) для облачных приложений, работающих на платформе Kubernetes. В ней рассматриваются ключевые концепции, такие как конвейеры сервисов и окружений, мультиоблачная инфраструктура, стратегии релизов и построение платформы для CD. Издание ориентировано на практикующих разработчиков и архитекторов, уже знакомых с основами Kubernetes и контейнеров, которые хотят решать задачи средней и высокой сложности для надежного и эффективного выпуска программного обеспечения.</t>
  </si>
  <si>
    <t>Core Kubernetes</t>
  </si>
  <si>
    <t>Jay Vyas; Chris Love</t>
  </si>
  <si>
    <t>Core Kubernetes 2022.pdf</t>
  </si>
  <si>
    <t>Книга «Core Kubernetes» посвящена внутреннему устройству и принципам работы платформы Kubernetes, начиная с основ (зачем нужны Pod’ы, как они устроены на уровне Linux-примитивов) и заканчивая продвинутыми темами, такими как работа сети (CNI), хранилища (CSI), безопасность контейнеров и управление контрольной плоскостью. Ключевые разделы включают создание Pod’ов с нуля, использование cgroups для изоляции процессов, настройку DNS, работу kubelet и etcd. Книга предназначена для специалистов среднего и продвинутого уровня, которые хотят глубоко понять механизмы Kubernetes для эффективной эксплуатации и отладки кластеров.</t>
  </si>
  <si>
    <t>Istio: приступаем к работе</t>
  </si>
  <si>
    <t>Ли Калькот; Зак Бутчер</t>
  </si>
  <si>
    <t>Istio_приступаем_к_работе_2020_Ли_Калькот,_Зак_Бутчер.pdf</t>
  </si>
  <si>
    <t>Книга Ли Калькота и Зака Бутчера «Istio: приступаем к работе» посвящена использованию сервисной сетки Istio для управления трафиком, обеспечения безопасности, мониторинга и наблюдения за микросервисами в распределенных средах. Авторы объясняют, как Istio решает проблемы надежности, возникающие при переводе приложений на микросервисную архитектуру, и знакомят с инструментами и API для маршрутизации запросов, сбора телеметрии и применения шаблонов развертывания, таких как A/B и сине-зеленое. Издание предназначено для IT-специалистов, которые уже работают с микросервисами и хотят обеспечить безопасную и стабильную связь между ними, и требует базового понимания облачных технологий.</t>
  </si>
  <si>
    <t>Kubernetes for Developers MEAP V10</t>
  </si>
  <si>
    <t>William Denniss</t>
  </si>
  <si>
    <t>Kubernetes for Developers 2022.pdf</t>
  </si>
  <si>
    <t>Эта книга Уильяма Деннисса предназначена для разработчиков, желающих научиться развёртывать свои приложения в Kubernetes, начиная с первого веб-приложения и заканчивая миграцией существующих проектов. Автор фокусируется на практических аспектах: контейнеризации, автоматизации операций, управлении ресурсами и масштабировании, а во второй части рассматривает продвинутые темы, такие как stateful-приложения, GitOps и безопасность. Книга рассчитана на разработчиков начального и среднего уровня, которые хотят освоить Kubernetes как платформу для гибкого и простого управления контейнерами, не углубляясь в общее администрирование кластера.</t>
  </si>
  <si>
    <t>Kubernetes in Action, Second Edition MEAP V14</t>
  </si>
  <si>
    <t>Kubernetes in Action, Second Edition MEAP V14.pdf</t>
  </si>
  <si>
    <t>Это второе издание книги «Kubernetes in Action», посвящённое практическому изучению платформы Kubernetes для оркестрации контейнеризированных приложений. Книга охватывает полный цикл работы: от развёртывания простого приложения до управления сложными stateful-нагрузками, конфигурациями, сетевым взаимодействием и хранением данных. Материал разбит на пять частей, включая такие ключевые темы, как Pods, Deployments, Services, Ingress, PersistentVolumes и StatefulSets. Издание предназначено для разработчиков и администраторов, уже знакомых с основами контейнеризации, которые хотят углубить свои знания и научиться управлять Kubernetes в production-среде.</t>
  </si>
  <si>
    <t>Kubernetes in Action</t>
  </si>
  <si>
    <t>Marko Lukša; Kevin Conner</t>
  </si>
  <si>
    <t>MANNING</t>
  </si>
  <si>
    <t>Kubernetes in Action_2Ed_Final.pdf</t>
  </si>
  <si>
    <t>Эта книга представляет собой второе издание практического руководства по Kubernetes, посвящённого развёртыванию и управлению контейнеризированными и облачными приложениями. В ней подробно рассматриваются ключевые ресурсы Kubernetes, такие как Pods, Deployments, StatefulSets, ConfigMaps, Secrets и PersistentVolumes, а также темы организации кластера, хранения данных и маршрутизации трафика. Издание предназначено для разработчиков и DevOps-инженеров, уже имеющих базовые знания о контейнерах, и охватывает полный жизненный цикл приложений — от первого развёртывания до масштабирования и обновления.</t>
  </si>
  <si>
    <t>Kubernetes в действии</t>
  </si>
  <si>
    <t>Kubernetes в действии.pdf</t>
  </si>
  <si>
    <t>Эта книга представляет собой практическое руководство по Kubernetes — системе контейнерной оркестровки, которая управляет распределёнными приложениями и кластерами. В ней рассматриваются внутреннее устройство Kubernetes, развёртывание контейнеров, обеспечение безопасности, мониторинг, настройка и масштабирование, а также обновление приложений без простоев. Издание предназначено для разработчиков программного обеспечения среднего уровня, имеющих небольшой опыт или вовсе не знакомых с Docker и системами оркестровки контейнеров.</t>
  </si>
  <si>
    <t>Cloud Native DevOps with Kubernetes</t>
  </si>
  <si>
    <t>John Arundel; Justin Domingus</t>
  </si>
  <si>
    <t>Kubernetes для DevOps (2020).pdf</t>
  </si>
  <si>
    <t>Книга «Kubernetes для DevOps» Джона Арундела и Джастина Домингуса посвящена развертыванию, запуску и масштабированию современных облачных приложений с помощью Kubernetes. Ключевые разделы охватывают первые шаги с Kubernetes, управление ресурсами, работу с кластерами, конфигурацию, безопасность, непрерывное развертывание и мониторинг. Издание предназначено для специалистов уровня DevOps и разработчиков, уже знакомых с основами контейнеризации, которые хотят освоить практические методы построения и поддержки облачной инфраструктуры.</t>
  </si>
  <si>
    <t>Kubernetes для разработчиков</t>
  </si>
  <si>
    <t>Уильям Деннис</t>
  </si>
  <si>
    <t>Kubernetes для разработчиков.pdf</t>
  </si>
  <si>
    <t>Книга Денниса Уильяма «Kubernetes для разработчиков» посвящена практическому освоению платформы Kubernetes с точки зрения разработчика, охватывая полный цикл от контейнеризации приложения до его развертывания в облачном кластере. Ключевые разделы включают автоматизацию операций, управление ресурсами, масштабирование, балансировку нагрузки, работу с stateful-приложениями, методологию GitOps и вопросы безопасности. Издание предназначено для разработчиков, уже имеющих базовые знания, и помогает сделать развертывание стабильным в долгосрочной перспективе.</t>
  </si>
  <si>
    <t>Kubernetes изнутри</t>
  </si>
  <si>
    <t>Джей Вьяс; Крис Лав</t>
  </si>
  <si>
    <t>Kubernetes изнутри.pdf</t>
  </si>
  <si>
    <t>Книга «Kubernetes изнутри» посвящена глубокому изучению внутреннего устройства платформы Kubernetes, включая управление iptables, настройку сетей и динамически масштабируемых кластеров. В ней подробно рассматриваются такие ключевые концепции, как работа модулей Pod, контрольные группы, интерфейсы CNI и CSI, безопасность контейнеров и узлов, а также плоскость управления и etcd. Издание предназначено для разработчиков и администраторов Kubernetes со средним уровнем подготовки, желающих научиться эффективно настраивать, управлять и устранять неполадки в кластерах.</t>
  </si>
  <si>
    <t>Kubernetes. Up and Running. 3rd Edition</t>
  </si>
  <si>
    <t>Kubernetes.Up.and.Running.3rd.Edition.epub</t>
  </si>
  <si>
    <t>Книга «Kubernetes: Up and Running» (3-е издание) представляет собой практическое руководство по работе с системой оркестрации контейнеров Kubernetes. В ней рассматриваются ключевые концепции, такие как поды, сервисы, развёртывания (Deployments), конфигурационные карты (ConfigMaps) и управление состоянием приложений. Издание предназначено для разработчиков и системных администраторов, уже имеющих базовый опыт работы с контейнерами, но желающих освоить Kubernetes на уровне уверенного пользователя или начинающего специалиста.</t>
  </si>
  <si>
    <t>Kubernetes_изнутри_2023_Джей_Вьяс_Крис_Лав.pdf</t>
  </si>
  <si>
    <t>Книга «Kubernetes изнутри» посвящена глубокому изучению внутреннего устройства и настройки платформы Kubernetes, включая управление сетями (iptables, CNI), хранилищами (CSI), работой kubelet, DNS, плоскостью управления и безопасностью. Ключевые разделы охватывают создание модулей Pod, использование контрольных групп, устранение неполадок в крупномасштабных сетях и безопасность контейнеров и узлов. Издание предназначено для разработчиков и администраторов Kubernetes со средним уровнем подготовки.</t>
  </si>
  <si>
    <t>NGINX Cookbook</t>
  </si>
  <si>
    <t>Derek DeJonghe</t>
  </si>
  <si>
    <t>F5, Inc.</t>
  </si>
  <si>
    <t>NGINX Cookbook 2nd Edition.pdf</t>
  </si>
  <si>
    <t>Это фрагмент второго издания книги «NGINX Cookbook» Дерека Де Йонге, посвящённой практическим рецептам высокопроизводительной балансировки нагрузки и управления трафиком с помощью NGINX. Ключевые разделы охватывают установку, обслуживание статического контента, балансировку HTTP и TCP, а также интеграцию с Kubernetes через NGINX Ingress Controller, NGINX App Protect и Service Mesh для повышения отказоустойчивости и безопасности. Книга предназначена для специалистов среднего и продвинутого уровня, работающих с NGINX в продакшн-средах, включая DevOps-инженеров и администраторов.</t>
  </si>
  <si>
    <t>The Book of Kubernetes: A Complete Guide to Container Orchestration</t>
  </si>
  <si>
    <t>Alan Hohn</t>
  </si>
  <si>
    <t>San Francisco</t>
  </si>
  <si>
    <t>The_Book_of_Kubernetes_A_Complete_Guide_to_Container_Orchestra.pdf</t>
  </si>
  <si>
    <t>Книга «The Book of Kubernetes» Алана Хона представляет собой полное руководство по оркестрации контейнеров, начиная с основ изоляции процессов и ограничения ресурсов и заканчивая развертыванием в Kubernetes, сетевыми оверлеями, постоянным хранением и пользовательскими ресурсами. Ключевые разделы охватывают создание и использование контейнеров, а затем их интеграцию в Kubernetes, включая управление доступом, пробы здоровья и конфигурации. Издание предназначено для специалистов, уже знакомых с контейнерами, которые хотят углубить понимание Kubernetes и его внутренних механизмов.</t>
  </si>
  <si>
    <t>Kubernetes Best Practices</t>
  </si>
  <si>
    <t>Brendan Burns;Eddie Villalba;Dave Strebel;Lachlan Evenson</t>
  </si>
  <si>
    <t>Бернс Kubernetes_Лучшие Практики.pdf</t>
  </si>
  <si>
    <t>Книга «Kubernetes: лучшие практики» от инженеров Microsoft представляет собой практическое руководство по эффективной оркестрации контейнеров. Она охватывает полный жизненный цикл приложений: от разработки и настройки конфигураций до мониторинга, безопасности, сетевых политик и управления обновлениями. Особое внимание уделяется продвинутым темам, таким как работа с несколькими кластерами, интеграция внешних сервисов и использование Kubernetes для машинного обучения. Издание предназначено для специалистов, уже знакомых с основами Kubernetes, которые хотят углубить свои знания и научиться применять проверенные на практике подходы.</t>
  </si>
  <si>
    <t>Осваиваем Kubernetes. Оркестрация контейнерных архитектур</t>
  </si>
  <si>
    <t>Сайфан Джиджи</t>
  </si>
  <si>
    <t>Осваиваем Kubernetes.pdf</t>
  </si>
  <si>
    <t>Книга «Осваиваем Kubernetes» посвящена работе с системой оркестрации контейнеров Kubernetes версии 1.10, начиная с основ архитектуры и заканчивая продвинутыми темами, такими как автомасштабирование, сетевая конфигурация и работа с хранилищами данных. Ключевые разделы охватывают создание кластеров, мониторинг, обеспечение высокой доступности, безопасность, управление обновлениями и многокластерные развертывания. Издание предназначено для профессионалов, уже знакомых с контейнеризацией, которые хотят углубить свои навыки управления контейнерными системами любой сложности.</t>
  </si>
  <si>
    <t>Kubernetes Patterns: Reusable Elements for Designing Cloud-Native Applications</t>
  </si>
  <si>
    <t>Bilgin Ibryam; Roland Huss</t>
  </si>
  <si>
    <t>2026</t>
  </si>
  <si>
    <t>Паттерны Kubernetes Шаблоны разработки облачных приложений. 2-е изд.pdf</t>
  </si>
  <si>
    <t>Книга «Паттерны Kubernetes» Билджина Ибрама и Роланда Хасса — это систематизированный сборник проверенных шаблонов проектирования для создания облачных приложений, работающих в Kubernetes. Вместо описания API или настройки кластеров авторы учат мыслить категориями платформы, комбинируя примитивы (контейнеры, поды, сервисы) для построения отказоустойчивых и масштабируемых систем. Каждый паттерн включает описание проблемы, готовое решение на Kubernetes и примеры кода. Издание предназначено для разработчиков и архитекторов, уже знакомых с основами Kubernetes, которые хотят выйти за рамки простого деплоя и освоить профессиональные подходы к проектированию.</t>
  </si>
  <si>
    <t>Программирование_Cloud_Native_Микросервисы,_Docker_и_Kubernetes.pdf</t>
  </si>
  <si>
    <t>Эта книга Ивана Портянкина посвящена разработке приложений и микросервисов в стиле Cloud Native, их упаковке в контейнеры Docker и развертыванию с помощью Kubernetes. Ключевые разделы охватывают концепцию Cloud Native, архитектуру микросервисов, работу с Docker и создание образов, а также первые шаги в Kubernetes, включая развертывание, сервисы и масштабирование. Издание предназначено для разработчиков, уже знакомых с программированием, которые хотят освоить современные облачные технологии и инструменты оркестрации.</t>
  </si>
  <si>
    <t>Mastering Zabbix</t>
  </si>
  <si>
    <t>Andrea Dalle Vacche</t>
  </si>
  <si>
    <t>Zabbix_Практическое_руководство.pdf</t>
  </si>
  <si>
    <t>C:\Users\alexa\YandexDisk\Книги\DevOps\Мониторинг</t>
  </si>
  <si>
    <t>Книга Андреа Далле Вакке «Zabbix. Практическое руководство» представляет собой исчерпывающее руководство по организации мониторинга больших IT-окружений с использованием системы Zabbix. В ней рассматриваются ключевые концепции, такие как архитектура системы, развертывание сервера и агентов, настройка базы данных, распределенный мониторинг через прокси-серверы, а также планирование мощностей и очистка истории. Издание предназначено для системных администраторов и архитекторов, желающих интегрировать инфраструктуру Zabbix в свое окружение, и требует от читателя определенного уровня подготовки, выходящего за рамки начального.</t>
  </si>
  <si>
    <t>Prometheus: Up &amp; Running</t>
  </si>
  <si>
    <t>Julien Pivotto; Brian Brazil</t>
  </si>
  <si>
    <t>Books.kz</t>
  </si>
  <si>
    <t>Запускаем Prometheus.pdf</t>
  </si>
  <si>
    <t>Эта книга представляет собой практическое руководство по системе мониторинга на основе метрик Prometheus, охватывающее её архитектуру, настройку и запуск. Ключевые разделы включают инструментирование кода, работу с экспортерами, создание дашбордов и оповещений, а также управление уведомлениями через Alertmanager. Издание адресовано инженерам по надежности сайтов, администраторам Kubernetes и разработчикам программного обеспечения, то есть специалистам, уже знакомым с основами мониторинга.</t>
  </si>
  <si>
    <t>DevOps for Software Engineers</t>
  </si>
  <si>
    <t>Aditya Manikyala; Hari Priya Kommineni; Pavan Kumar Gade; Srinikhita Kothapalli</t>
  </si>
  <si>
    <t>Warta Saya</t>
  </si>
  <si>
    <t>DevOps for Software Engineers.pdf</t>
  </si>
  <si>
    <t>C:\Users\alexa\YandexDisk\Книги\DevOps\Общие вопросы</t>
  </si>
  <si>
    <t>Книга «DevOps for Software Engineers» представляет собой комплексное руководство по интеграции разработки и эксплуатации с акцентом на автоматизацию, совместную работу и непрерывную поставку. Ключевые концепции включают фундаментальные основы DevOps, практические реализации и продвинутые техники для оптимизации рабочих процессов и улучшения жизненного цикла разработки ПО. Издание предназначено для инженеров-программистов, как новичков в DevOps, так и специалистов, стремящихся углубить свои знания в этой области.</t>
  </si>
  <si>
    <t>DevOps для совр предпр 2020.pdf</t>
  </si>
  <si>
    <t>Книга Мирко Херинга посвящена внедрению практик DevOps для трансформации традиционных ИТ-организаций. Ключевые разделы охватывают создание правильной экосистемы для изменений, работу с людьми и управление командами, а также технологические и архитектурные аспекты применения DevOps. Издание предназначено для менеджеров и ИТ-специалистов, уже занимающихся DevOps-проектами, но будет полезно и новичкам, желающим освоить принципы и преимущества этой методики.</t>
  </si>
  <si>
    <t>DevOps for the Desperate: A Hands-on Survival Guide</t>
  </si>
  <si>
    <t>Bradley Smith</t>
  </si>
  <si>
    <t>DevOps_for_the_Desperate_A_Hands_On_Survival_Guide_Bradley_Smith.pdf</t>
  </si>
  <si>
    <t>Это ранний доступ к книге Брэдли Смита «DevOps for the Desperate», которая представляет собой практическое руководство по выживанию в DevOps. Книга охватывает такие темы, как инфраструктура как код, управление конфигурациями, безопасность и администрирование, а также включает разделы по настройке виртуальных машин. Издание предназначено для инженеров, которые сталкиваются с проблемами на дежурствах, и рассчитано на практикующих специалистов, а не на новичков.</t>
  </si>
  <si>
    <t>Дэвис Дженнифер; Дэниелс Кэтрин</t>
  </si>
  <si>
    <t>Filosofia_DevOps.pdf</t>
  </si>
  <si>
    <t>Книга «Философия DevOps» посвящена методологии DevOps, рассматриваемой не как набор техник, а как философия управления IT, объединяющая разработку и операционное управление. Ключевые концепции включают налаживание связей между разработчиками и системными администраторами, внедрение простых конфигураций, обдуманных метрик и доработку продукта для удобства пользователей. Издание охватывает технические, культурные и управленческие аспекты DevOps-культуры, а также содержит практические примеры и истории успеха. Книга предназначена для широкого круга IT-специалистов, от новичков до опытных разработчиков и сисадминов, желающих организовать работу с удовольствием от разработки и поддержки ПО.</t>
  </si>
  <si>
    <t>Алгоритмы ГИС</t>
  </si>
  <si>
    <t>Нинчуань Сяо</t>
  </si>
  <si>
    <t>Алгоритмы/ГИС</t>
  </si>
  <si>
    <t>Алгоритмы</t>
  </si>
  <si>
    <t>ГИС</t>
  </si>
  <si>
    <t>Алгоритмы ГИС-реализация на Python.pdf</t>
  </si>
  <si>
    <t>C:\Users\alexa\YandexDisk\Книги\Алгоритмы\ГИС</t>
  </si>
  <si>
    <t>Эта книга посвящена фундаментальным алгоритмам, лежащим в основе геоинформационных систем (ГИС), и их практической реализации на языке Python. В ней рассматриваются геометрические алгоритмы, методы индексирования пространственных данных, а также пространственный анализ и моделирование. Издание предназначено для специалистов по анализу данных, разработчиков и студентов, желающих углубленно разобраться в принципах работы ГИС.</t>
  </si>
  <si>
    <t>Алгоритмы ГИС.pdf</t>
  </si>
  <si>
    <t>Книга посвящена фундаментальным алгоритмам, лежащим в основе географических информационных систем (ГИС), и их применению для работы с пространственными данными. В ней рассматриваются геометрические алгоритмы, методы индексирования пространственных данных, а также пространственный анализ и моделирование, причем теоретический материал подкрепляется примерами кода на Python. Издание предназначено для специалистов по анализу данных, разработчиков и студентов, желающих разобраться в принципах работы ГИС.</t>
  </si>
  <si>
    <t>Графовые алгоритмы</t>
  </si>
  <si>
    <t>Марк Нидхем;Эми Ходлер</t>
  </si>
  <si>
    <t>Алгоритмы/Графы и Топология</t>
  </si>
  <si>
    <t>Графы и Топология</t>
  </si>
  <si>
    <t>Графовые алгоритмы.pdf</t>
  </si>
  <si>
    <t>C:\Users\alexa\YandexDisk\Книги\Алгоритмы\Графы и Топология</t>
  </si>
  <si>
    <t>Книга Марка Нидхема и Эми Ходлер представляет собой практическое руководство по графовым алгоритмам, предназначенное для разработчиков приложений и аналитиков данных. В ней объясняется, как с помощью анализа графов выявлять скрытые закономерности, улучшать модели машинного обучения и решать задачи от построения динамических сетей до предсказания поведения. Ключевые разделы включают изучение популярных графовых алгоритмов, их применение на платформах Apache Spark и Neo4j, а также полный цикл создания машиннообучаемой модели. Издание рассчитано на специалистов, желающих освоить графовые технологии, и предполагает наличие опыта работы с Apache Spark или Neo4j.</t>
  </si>
  <si>
    <t>Графы. Алгоритмы на языке С</t>
  </si>
  <si>
    <t>В. В. Прут</t>
  </si>
  <si>
    <t>МФТИ</t>
  </si>
  <si>
    <t>ГРАФЫ. АЛГОРИТМЫ НА ЯЗЫКЕ С 2017.pdf</t>
  </si>
  <si>
    <t>Данный фрагмент представляет собой введение к учебному пособию «Графы. Алгоритмы на языке С» В. В. Прута, посвященному теории графов и базовым алгоритмам их обработки. Ключевые концепции включают определение графа как совокупности вершин и ребер, а также историю развития этой дисциплины от задачи о кенигсбергских мостах Эйлера до современных приложений. Пособие предназначено для студентов 1-го курса (уровень новичок) и содержит С-функции для большинства алгоритмов, что позволяет использовать полученные знания на практике.</t>
  </si>
  <si>
    <t>Совершенный алгоритм. Графовые алгоритмы и структуры данных</t>
  </si>
  <si>
    <t>Тим Рафгарден</t>
  </si>
  <si>
    <t>Рафгарден Совершенный алгоритм - графы.pdf</t>
  </si>
  <si>
    <t>Фрагмент книги Тима Рафгардена «Совершенный алгоритм. Графовые алгоритмы и структуры данных» посвящен основам теории графов и алгоритмам их обработки. Ключевые концепции включают терминологию графов, способы их представления (списки и матрицы смежности), а также алгоритмы поиска в ширину и глубину для решения задач, таких как поиск кратчайших путей и выделение связных компонент. Издание предназначено для читателей с опытом программирования, желающих углубить понимание алгоритмов и структур данных, и основано на популярном онлайн-курсе автора.</t>
  </si>
  <si>
    <t>125 Problems in Text Algorithms</t>
  </si>
  <si>
    <t>Maxime Crochemore; Thierry Lecroq</t>
  </si>
  <si>
    <t>Алгоритмы/Обработка текста</t>
  </si>
  <si>
    <t>Обработка текста</t>
  </si>
  <si>
    <t>125_Problems_in_Text_Algorithms_with_Solutions_by_Maxime_Crochemore.pdf</t>
  </si>
  <si>
    <t>C:\Users\alexa\YandexDisk\Книги\Алгоритмы\Обработка текста</t>
  </si>
  <si>
    <t>Эта книга представляет собой сборник из 125 задач и упражнений по алгоритмам обработки текстов и комбинаторике слов, охватывающий как классические, так и современные темы. Ключевые разделы включают поиск образцов (алгоритмы Кнута-Морриса-Пратта и Бойера-Мура), эффективные структуры данных (суффиксные деревья и массивы), регулярности в словах (периоды и серии) и сжатие текста (методы Хаффмана, Лемпеля-Зива и Барроуза-Уилера). Издание предназначено для аспирантов и исследователей, желающих углубить понимание предмета через решение практических задач с готовыми решениями.</t>
  </si>
  <si>
    <t>Algorithms on Strings</t>
  </si>
  <si>
    <t>Maxime Crochemore;Thierry Lecroq;Wojciech Rytter</t>
  </si>
  <si>
    <t>Алгоритмы_обработки_текста_125_задач_с_решениями 2021.pdf</t>
  </si>
  <si>
    <t>Книга представляет собой сборник из 125 задач с решениями, посвящённый алгоритмам обработки текстов и комбинаторным свойствам слов. В ней рассматриваются такие ключевые темы, как поиск строк в тексте (включая алгоритмы Кнута-Морриса-Пратта и Бойера-Мура), эффективные структуры данных (суффиксные деревья и массивы), а также методы сжатия текста (Хаффмана, Лемпеля-Зива и Барроуза-Уилера). Издание предназначено для студентов и исследователей, желающих углублённо изучить и практически освоить концепции повышенного уровня, и будет полезно при подготовке к олимпиадам по информатике.</t>
  </si>
  <si>
    <t>Алгоритмы сжатия данных без потерь</t>
  </si>
  <si>
    <t>Е. Р. Пантелеев; А. Л. Алыкова</t>
  </si>
  <si>
    <t>Алгоритмы_сжатия_данных_без_потерь.pdf</t>
  </si>
  <si>
    <t>Учебное пособие посвящено алгоритмам сжатия данных без потерь, их классификации, концептуальному описанию и программной реализации. Ключевые разделы охватывают словарные алгоритмы (RLE, LZW) и частотные методы (Шеннона-Фано, Хаффмана, арифметическое кодирование), а также вспомогательные алгоритмы, такие как преобразование Бэрроуза-Уилера. Книга предназначена для бакалавров направления «Программная инженерия», предполагая знание алгоритмических языков и навыков объектно-ориентированного программирования.</t>
  </si>
  <si>
    <t>Алгоритмы_сжатия_данных_без_потерь_2021_Пантелеев,_Алыкова.pdf</t>
  </si>
  <si>
    <t>Это учебное пособие, посвященное алгоритмам сжатия данных без потерь. В книге рассматриваются словарные методы (RLE, LZW) и частотные алгоритмы (Шеннона-Фано, статический и адаптивный Хаффман, арифметическое кодирование), а также смежные вопросы, такие как работа с двоичными данными и объектно-ориентированная реализация. Пособие предназначено для бакалавров направления «Программная инженерия», уже владеющих основами алгоритмических языков и объектно-ориентированного программирования.</t>
  </si>
  <si>
    <t>Maxime Crochemore; Thierry Lecroq; Wojciech Rytter</t>
  </si>
  <si>
    <t>Крошемор_М_,_Лекрок_Т_,_Риттер_В_Алгоритмы_обработки текста_125.pdf</t>
  </si>
  <si>
    <t>Книга представляет собой сборник из 125 задач с решениями по алгоритмам обработки текста, охватывающий как классические, так и современные темы. Ключевые разделы включают комбинаторные свойства слов (слова Фибоначчи и Туэ-Морса), алгоритмы поиска строк (Кнута-Морриса-Пратта, Бойера-Мура), эффективные структуры данных (суффиксные деревья и массивы) и методы сжатия текста (Хаффмана, Лемпеля-Зива, Барроуза-Уилера). Издание предназначено для студентов, исследователей и участников олимпиад по информатике, желающих углублённо изучить и практически освоить концепции повышенного уровня в этой области.</t>
  </si>
  <si>
    <t>The Algorithm Design Manual</t>
  </si>
  <si>
    <t>Steven S. Skiena</t>
  </si>
  <si>
    <t>Springer</t>
  </si>
  <si>
    <t>Алгоритмы/Общие вопросы</t>
  </si>
  <si>
    <t>!! Алгоритмы_Руководство_по_разработке_3_изд_2022_Стивен_Скиена.pdf</t>
  </si>
  <si>
    <t>C:\Users\alexa\YandexDisk\Книги\Алгоритмы\Общие вопросы</t>
  </si>
  <si>
    <t>Книга является наиболее полным руководством по разработке эффективных алгоритмов, разделенным на две части: практические рекомендации по разработке (включая анализ, структуры данных, сортировку, графы, комбинаторный поиск и динамическое программирование) и каталог из 75 распространенных алгоритмических задач с программными реализациями. Третье издание дополнено рандомизированными алгоритмами, хешированием, аппроксимацией и квантовыми вычислениями, а также более чем 100 новыми задачами. Книга предназначена для программистов, исследователей и студентов соответствующих специальностей, выступая как справочник и учебное пособие.</t>
  </si>
  <si>
    <t>40 алгоритмов, которые должен знать каждый программист на Python</t>
  </si>
  <si>
    <t>Имран Ахмад</t>
  </si>
  <si>
    <t>40 алгоритмов на Python.pdf</t>
  </si>
  <si>
    <t>Книга Имрана Ахмада представляет собой практическое руководство по 40 ключевым алгоритмам, которые необходимо знать каждому программисту на Python. Она охватывает широкий спектр тем: от базовых алгоритмов сортировки и поиска до графовых алгоритмов, методов машинного обучения (включая нейронные сети и обработку естественного языка), криптографии и крупномасштабных вычислений. Издание предназначено для программистов и разработчиков, желающих углубить понимание логики и математики алгоритмов и научиться применять их для решения реальных прикладных задач, от прогнозов погоды до рекомендательных систем.</t>
  </si>
  <si>
    <t>Algorithmic Thinking</t>
  </si>
  <si>
    <t>Daniel Zingaro</t>
  </si>
  <si>
    <t>Algorithmic_Thinking_A_Problem_Based_Introduction.pdf</t>
  </si>
  <si>
    <t>Книга «Algorithmic Thinking» Дэниела Зингаро представляет собой практическое введение в алгоритмы, построенное на решении задач. Ключевые концепции включают хеш-таблицы, деревья, рекурсию, динамическое программирование, графы, бинарный поиск, структуры данных (кучи, деревья отрезков) и систему непересекающихся множеств. Издание ориентировано на читателей, уже имеющих базовые навыки программирования, и стремится развить алгоритмическое мышление через разбор конкретных проблем.</t>
  </si>
  <si>
    <t>Algorithms For Dummies, 2nd Edition</t>
  </si>
  <si>
    <t>John Paul Mueller; Luca Massaron</t>
  </si>
  <si>
    <t>Algorithms For Dummies, 2nd Edition 2022.pdf</t>
  </si>
  <si>
    <t>Это книга Джона Пола Мюллера «Алгоритмы для чайников» (2-е издание), представляющая собой вводное руководство по алгоритмам и структурам данных. Ключевые разделы охватывают основы проектирования алгоритмов, работу с данными в Python, сортировку и поиск, а также теорию графов и обработку больших данных. Издание предназначено для новичков, желающих понять фундаментальные концепции алгоритмов без глубокого погружения в сложную математику.</t>
  </si>
  <si>
    <t>Algorithms for Decision Making</t>
  </si>
  <si>
    <t>Mykel J. Kochenderfer; Tim A. Wheeler; Kyle H. Wray</t>
  </si>
  <si>
    <t>Algorithms_for_Decision_Making_Mykel_J_Kochenderfer,_Tim_A_Wheeler.pdf</t>
  </si>
  <si>
    <t>Эта книга представляет собой всесторонний учебник по алгоритмам для принятия решений в условиях неопределенности, охватывающий как теоретические основы, так и практические методы. Ключевые разделы включают вероятностное рассуждение (байесовские сети, вывод), решение последовательных задач (марковские процессы принятия решений, обучение с подкреплением) и работу с неопределенностью модели (исследование и эксплуатация, обучение по подражанию). Издание предназначено для студентов старших курсов и специалистов в области компьютерных наук, инженерии и смежных дисциплин, уже имеющих базовую математическую подготовку.</t>
  </si>
  <si>
    <t>First Course in Algorithms Through Puzzles</t>
  </si>
  <si>
    <t>Ryuhei Uehara</t>
  </si>
  <si>
    <t>Springer Nature Singapore Pte Ltd.</t>
  </si>
  <si>
    <t>First Course in Algo... by Uehara  Ryuhei.epub</t>
  </si>
  <si>
    <t>Эта книга представляет собой введение в алгоритмы, объясняющее, что алгоритм — это способ решения задачи, и демонстрирующее, что совершенствование методов решения зачастую эффективнее развития аппаратного обеспечения. Ключевые разделы охватывают рекурсивные вызовы, алгоритмы поиска и сортировки, поиск на графах, метод возврата (бэктрекинг) и рандомизированные алгоритмы. Издание предназначено для студентов младших курсов факультетов информатики, не требует предварительных знаний и подходит как для самостоятельного изучения, так и в качестве справочника для начинающих.</t>
  </si>
  <si>
    <t>Grokking Algorithms</t>
  </si>
  <si>
    <t>Aditya Bhargava</t>
  </si>
  <si>
    <t>grokaem-algoritmy.pdf</t>
  </si>
  <si>
    <t>Книга «Грокаем алгоритмы» Адитьи Бхаргавы представляет собой иллюстрированное введение в алгоритмы, объясняющее их простым и наглядным языком. Ключевые концепции включают бинарный поиск, «О-большое» для оценки времени выполнения, массивы и связанные списки, а также сортировку выбором. Издание предназначено для программистов и любопытствующих читателей начального уровня, желающих понять основы алгоритмов без глубоких математических доказательств.</t>
  </si>
  <si>
    <t>Parallel Algorithms</t>
  </si>
  <si>
    <t>M. H. Alsuwaiyel</t>
  </si>
  <si>
    <t>World Scientific</t>
  </si>
  <si>
    <t>Parallel Algorithm.pdf</t>
  </si>
  <si>
    <t>Книга «Parallel Algorithms» М. Х. Алсувайеля представляет собой введение в область параллельных вычислений, посвященное проектированию и анализу эффективных параллельных алгоритмов. Основное внимание уделяется разработке алгоритмов в абстрактном контексте высокоуровневого языка программирования с использованием различных моделей вычислений, а также детальному анализу их производительности. Издание охватывает практические приложения алгоритмов для решения задач, часто встречающихся в науке и технике, и включает примеры, иллюстрации и решения всех упражнений в конце каждой главы. Книга рассчитана на читателей, знакомых с основами дискретной математики, структур данных и последовательных алгоритмов, и подходит как для студентов, так и для специалистов, начинающих изучение параллельных алгоритмов.</t>
  </si>
  <si>
    <t>Pearls of Algorithm Engineering</t>
  </si>
  <si>
    <t>Paolo Ferragina</t>
  </si>
  <si>
    <t>Pearls of Algorithm Engineering.pdf</t>
  </si>
  <si>
    <t>Книга Паоло Ферраджины посвящена инженерии алгоритмов, выходя за рамки классической теории big-O и фокусируясь на достижении предсказуемой практической эффективности при обработке больших данных. Ключевые концепции включают анализ алгоритмов в модели RAM и внешней памяти (для оценки I/O-сложности), а также рассматриваются такие темы, как работа с целыми числами, строками, деревьями, графами, сжатие данных и сжатые структуры данных. Издание предназначено для студентов, исследователей и профессиональных разработчиков, стремящихся углубить свои навыки в проектировании эффективных алгоритмов для реальных задач.</t>
  </si>
  <si>
    <t>The_Algorithm_Design_Manual_Third_Edition_2020_Steven_S_Skiena.pdf</t>
  </si>
  <si>
    <t>Данная книга представляет собой практическое руководство по проектированию алгоритмов, разделённое на две части: «Техники» (общие принципы разработки и анализа алгоритмов) и «Ресурсы» (каталог алгоритмов, реализаций и библиография). Ключевые концепции включают хеширование, рандомизированные алгоритмы, метод «разделяй и властвуй» и алгоритмы аппроксимации. Издание предназначено как для студентов, изучающих компьютерные науки, так и для профессиональных программистов, желающих углубить свои навыки решения алгоритмических задач, в том числе для подготовки к собеседованиям в IT-компаниях.</t>
  </si>
  <si>
    <t>Algoritmy: Vvodnyy kurs</t>
  </si>
  <si>
    <t>Thomas H. Cormen</t>
  </si>
  <si>
    <t>DJVU</t>
  </si>
  <si>
    <t>Tomas_Kh_Kormen_-_Algoritmy_Vvodny_kurs_-_201.djvu</t>
  </si>
  <si>
    <t>Данный фрагмент книги Томаса Кормена «Алгоритмы. Вводный курс» представляет собой введение в фундаментальные концепции алгоритмов и структур данных. Книга охватывает ключевые темы, такие как сортировка, поиск, графовые алгоритмы и анализ сложности, объясняя их на доступных примерах. Она предназначена для начинающих программистов и студентов, не имеющих глубоких математических знаний, и помогает освоить базовые принципы эффективного решения задач.</t>
  </si>
  <si>
    <t>Algorithmic Puzzles</t>
  </si>
  <si>
    <t>Anany Levitin; Maria Levitin</t>
  </si>
  <si>
    <t>Лаборатория знаний</t>
  </si>
  <si>
    <t>Алгоритмические_головоломки_2019_Левитин,_Левитина.pdf</t>
  </si>
  <si>
    <t>Книга представляет собой сборник из 150 алгоритмических головоломок, разделённых по уровню сложности (лёгкие, средние, сложные), с указаниями и решениями. Издание дополнено обучающими разделами по стратегиям разработки и анализа алгоритмов, таким как «Разделяй и властвуй», «Динамическое программирование» и «Жадный подход». Книга предназначена для всех любителей математики, а также для развития аналитического мышления и подготовки к собеседованиям при приёме на работу.</t>
  </si>
  <si>
    <t>Алгоритмические трюки для программистов</t>
  </si>
  <si>
    <t>Алгоритмические_трюки_для_программистов 2014.pdf</t>
  </si>
  <si>
    <t>Книга посвящена продвинутым алгоритмическим техникам и оптимизациям, полезным для практикующих программистов. В ней рассматриваются такие ключевые концепции, как битовые операции, эффективная работа с памятью, нетривиальные методы сортировки и поиска, а также специфические трюки для ускорения вычислений. Материал ориентирован на специалистов среднего и высокого уровня, уже знакомых с основами алгоритмов и стремящихся углубить свои знания для решения сложных задач.</t>
  </si>
  <si>
    <t>Алгоритмы: вводный курс</t>
  </si>
  <si>
    <t>Томас Х. Кормен</t>
  </si>
  <si>
    <t>ООО "И.Д. Вильяме"</t>
  </si>
  <si>
    <t>Алгоритмы - вводный курс 2020.pdf</t>
  </si>
  <si>
    <t>Фрагмент представляет собой выходные данные книги Томаса Х. Кормена «Алгоритмы: вводный курс», которая знакомит читателя с основами алгоритмов и их применением. Ключевые разделы охватывают сортировку, поиск, графы, криптографию, сжатие данных и анализ вычислительной сложности. Книга предназначена для новичков, не требует глубоких математических знаний и объясняет, как алгоритмы решают практические задачи, такие как навигация или защита данных.</t>
  </si>
  <si>
    <t>Алгоритмы: разработка и применение</t>
  </si>
  <si>
    <t>Дж. Клейнберг; Е. Тардос</t>
  </si>
  <si>
    <t>Алгоритмы - разработка и применение - 2016.pdf</t>
  </si>
  <si>
    <t>Эта книга представляет собой авторитетное руководство по разработке и применению алгоритмов, охватывающее как базовые понятия и структуры данных, так и продвинутые методы, включая жадные алгоритмы, динамическое программирование, анализ графов, NP-полноту и рандомизацию. Ключевой акцент сделан на выделении математической сути задачи и выборе подходящего метода проектирования алгоритма на основе её структуры. Издание предназначено для широкой аудитории: от студентов, изучающих computer science, до профессиональных разработчиков и ученых-исследователей.</t>
  </si>
  <si>
    <t>Алгоритмы и модели вычисления</t>
  </si>
  <si>
    <t>Дмитрий Голубенко; Алексей Крошнин; Эдуард Горбунов</t>
  </si>
  <si>
    <t>Московский физико-технический институт (государственный университет)</t>
  </si>
  <si>
    <t>Алгоритмы и модели вычисления.pdf</t>
  </si>
  <si>
    <t>Этот фрагмент представляет собой введение к книге «Алгоритмы и модели вычисления», которая посвящена связи алгоритмов с различными разделами математики, включая теорию чисел, алгебру и теорию графов. Ключевые концепции, затронутые в книге, охватывают асимптотические оценки, сортировки, работу с полиномами, криптографические протоколы, обходы графов и элементы теории сложности (классы P и NP). Книга предназначена для читателей, интересующихся олимпиадным программированием и математикой, и стремится продемонстрировать, как математические задачи лежат в основе классических алгоритмов.</t>
  </si>
  <si>
    <t>Алгоритмы неформально. Инструкция для начинающих питонистов</t>
  </si>
  <si>
    <t>Такфилд Брэдфорд</t>
  </si>
  <si>
    <t>Алгоритмы неформально.pdf</t>
  </si>
  <si>
    <t>Книга Брэдфорда Такфилда «Алгоритмы неформально» представляет собой практическое введение в алгоритмы, написанное для начинающих программистов на Python. Автор охватывает широкий круг тем: от исторических алгоритмов (русское крестьянское умножение, алгоритм Евклида) до современных задач оптимизации, сортировки, геометрии, машинного обучения и искусственного интеллекта. Книга предназначена для новичков, желающих освоить алгоритмы через реализацию на Python 3 и научиться измерять их производительность.</t>
  </si>
  <si>
    <t>Introduction to Algorithms: A Comprehensive Guide for Beginners: Unlocking Computational Thinking</t>
  </si>
  <si>
    <t>Cuantum Technologies</t>
  </si>
  <si>
    <t>Алгоритмы с нуля.pdf</t>
  </si>
  <si>
    <t>Книга «Алгоритмы с нуля» представляет собой вводное руководство по алгоритмам, их проектированию и практическому применению. В ней рассматриваются ключевые концепции, такие как вычислительное мышление, анализ эффективности, псевдокод и блок-схемы, а также основные типы алгоритмов, включая алгоритмы поиска, сортировки и графовые алгоритмы. Издание предназначено как для новичков, желающих освоить основы, так и для профессионалов, стремящихся отточить свои навыки.</t>
  </si>
  <si>
    <t>Алгоритмы. Построение и анализ. Издание 3-е</t>
  </si>
  <si>
    <t>Алгоритмы. Построение и анализ. Издание 3-е [2013, DJVU, Ru].djvu</t>
  </si>
  <si>
    <t>Книга «Алгоритмы. Построение и анализ» (3-е издание) представляет собой фундаментальный учебник по теории и практике алгоритмов, охватывающий как классические структуры данных, так и методы анализа их эффективности. Ключевые разделы включают сортировку, графовые алгоритмы, динамическое программирование, жадные алгоритмы и теорию сложности. Издание предназначено для студентов старших курсов, аспирантов и профессиональных разработчиков, уже знакомых с основами программирования и математики.</t>
  </si>
  <si>
    <t>Алгоритмы. Руководство по разработке</t>
  </si>
  <si>
    <t>Скиена С.</t>
  </si>
  <si>
    <t>Алгоритмы. Руководство по разработке Скиена С..djvu</t>
  </si>
  <si>
    <t>Данный фрагмент книги Стивена Скиены «Алгоритмы. Руководство по разработке» посвящён фундаментальным алгоритмам и структурам данных, их анализу и практическому применению. Ключевые концепции включают сортировку, поиск, графовые алгоритмы и методы оценки вычислительной сложности. Книга предназначена для студентов, начинающих программистов и специалистов, желающих углубить понимание алгоритмического мышления и решения задач.</t>
  </si>
  <si>
    <t>Algorithms in a Nutshell</t>
  </si>
  <si>
    <t>George T. Heineman; Gary Pollice; Stanley Selkow</t>
  </si>
  <si>
    <t>Алгоритмы. Справочник с примерами на C, C++, Java и Python [2017, RU, PDF].pdf</t>
  </si>
  <si>
    <t>Книга «Алгоритмы. Справочник с примерами на C, C++, Java и Python» представляет собой практическое руководство по основным алгоритмам и структурам данных, охватывающее такие темы, как сортировка, поиск, графы, вычислительная геометрия и пространственные структуры. Ключевые концепции включают анализ производительности (наилучший, средний и наихудший случаи), а также стратегии разработки алгоритмов, такие как жадный подход, разделяй и властвуй и динамическое программирование. Издание предназначено для программистов и специалистов среднего уровня, желающих углубить понимание алгоритмов и их реализации на нескольких популярных языках.</t>
  </si>
  <si>
    <t>С. Дасгупта; Х. Пападимитриу; У. Вазирани</t>
  </si>
  <si>
    <t>МЦНМО</t>
  </si>
  <si>
    <t>Алгоритмы.pdf</t>
  </si>
  <si>
    <t>Книга представляет собой учебное пособие по алгоритмам, основанное на лекциях авторов в университетах Сан-Диего и Беркли. В ней подробно разбираются основные методы построения и анализа эффективных алгоритмов, включая такие разделы, как числовые алгоритмы, метод «разделяй и властвуй», декомпозиция графов, жадные алгоритмы, динамическое программирование и линейное программирование. Издание предназначено для студентов математических и программистских специальностей, начиная с младших курсов, но благодаря оригинальному подходу будет интересно и опытным преподавателям.</t>
  </si>
  <si>
    <t>Брэдфорд Такфилд</t>
  </si>
  <si>
    <t>Алгоритмы_неформально_Инструкция_для_начинающих_питонистов.pdf</t>
  </si>
  <si>
    <t>Книга «Алгоритмы неформально» Брэдфорда Такфилда представляет собой практическое введение в алгоритмы, ориентированное на начинающих программистов на Python. Автор рассматривает ключевые концепции, такие как сортировка, поиск, оптимизация, геометрия, машинное обучение и искусственный интеллект, объясняя их через решение реальных задач — от ловли бейсбольного мяча до построения магических квадратов. Издание предназначено для новичков, желающих освоить алгоритмы с нуля, и включает реализацию примеров на Python 3 с акцентом на измерение и оптимизацию производительности.</t>
  </si>
  <si>
    <t>Алгоритмы_неформально_Инструкция_для_начинающих_питонистов_2022.pdf</t>
  </si>
  <si>
    <t>Книга «Алгоритмы неформально» Брэдфорда Такфилда представляет собой практическое введение в алгоритмы, реализованные на языке Python. Она охватывает широкий круг тем: от исторических алгоритмов (русское крестьянское умножение, алгоритм Евклида) до современных областей, таких как машинное обучение, искусственный интеллект, оптимизация и геометрия. Издание предназначено для начинающих питонистов, желающих понять, как алгоритмы применяются для решения реальных задач, и научиться измерять их производительность.</t>
  </si>
  <si>
    <t>Алгоритмы_Руководство_по_разработке.pdf</t>
  </si>
  <si>
    <t>Книга Стивена Скиены «Алгоритмы. Руководство по разработке» (3-е издание) представляет собой исчерпывающий справочник и учебное пособие по проектированию эффективных алгоритмов. Первая часть содержит практические рекомендации по разработке, включая анализ алгоритмов, структуры данных, сортировку, графы, комбинаторный поиск и динамическое программирование, а вторая часть — каталог из 75 распространённых алгоритмических задач с указанием программных реализаций. Издание дополнено новыми разделами по рандомизированным алгоритмам, хешированию, аппроксимации и квантовым вычислениям, а также содержит более 100 новых задач. Книга предназначена для программистов, исследователей и студентов, изучающих алгоритмы.</t>
  </si>
  <si>
    <t>Алгоритмы. С примерами на Python</t>
  </si>
  <si>
    <t>Джордж Хайнеман</t>
  </si>
  <si>
    <t>Алгоритмы_С_примерами_на_Python.pdf</t>
  </si>
  <si>
    <t>Книга Джорджа Хайнемана «Алгоритмы. С примерами на Python» представляет собой практическое руководство по основным алгоритмам, которые помогают создавать быстрые и эффективные программы. В издании последовательно рассматриваются такие ключевые темы, как анализ алгоритмов, хеширование, кучи, сортировка, двоичные деревья и графы. Книга ориентирована на широкий круг IT-специалистов — от разработчиков до тестировщиков и интеграторов, и подойдет как новичкам, так и практикующим программистам, желающим углубить знания.</t>
  </si>
  <si>
    <t>Algorithms</t>
  </si>
  <si>
    <t>Panos Louridas</t>
  </si>
  <si>
    <t>MIT Press</t>
  </si>
  <si>
    <t>Алгоритмы_Самый_краткий_и_понятный_курс.pdf</t>
  </si>
  <si>
    <t>Книга Паноса Луридаса «Алгоритмы. Самый краткий и понятный курс» представляет собой доступное введение в теорию алгоритмов и графов, охватывающее такие ключевые разделы, как алгоритмы поиска, сортировки, ранжирования (PageRank) и глубокое обучение. Издание предназначено для новичков и не требует специальной подготовки, так как материал изложен простым языком, достаточным для понимания при базовом школьном образовании.</t>
  </si>
  <si>
    <t>Алгоритмы_Справочник_с_примерами_на_C,_C++,_Java_и_Python_2017,.pdf</t>
  </si>
  <si>
    <t>Книга представляет собой справочник по алгоритмам, охватывающий ключевые темы: сортировку, поиск, алгоритмы на графах, вычислительную геометрию и пространственные структуры данных. В ней подробно разбираются такие концепции, как анализ производительности (наилучший, средний и наихудший случаи), а также стратегии разработки алгоритмов (жадный подход, разделяй и властвуй, динамическое программирование). Издание предназначено для программистов и специалистов среднего уровня, желающих углубить понимание алгоритмов и их практической реализации на языках C, C++, Java и Python.</t>
  </si>
  <si>
    <t>Бхаргава - Грокаем алгоритмы.pdf</t>
  </si>
  <si>
    <t>Это иллюстрированное пособие по алгоритмам, предназначенное для программистов и всех, кто интересуется этой темой. Книга объясняет ключевые концепции, такие как бинарный поиск, «О-большое» для оценки времени выполнения, сортировка выбором, а также основы работы с массивами и связанными списками. Материал подаётся простым и наглядным языком, что делает его доступным для новичков, но при этом полезным и для опытных специалистов, желающих освежить знания.</t>
  </si>
  <si>
    <t>Guide to Competitive Programming</t>
  </si>
  <si>
    <t>Antti Laaksonen</t>
  </si>
  <si>
    <t>Введение в соревновательное программирование - англ.pdf</t>
  </si>
  <si>
    <t>Это второе издание книги Антти Лааксонена, посвящённое современному соревновательному программированию и совершенствованию алгоритмов через участие в контестах. В новое издание добавлены продвинутые темы, включая вычисление преобразования Фурье, поиск потоков минимальной стоимости в графах и использование автоматов в строковых задачах. Книга предназначена как для новичков, уже знакомых с основами программирования, так и для более опытных читателей, желающих углубить свои знания в области алгоритмов.</t>
  </si>
  <si>
    <t>Введение в теорию алгоритмов и структур данных</t>
  </si>
  <si>
    <t>Бабенко М. А.; Левин М. В.</t>
  </si>
  <si>
    <t>Введение в теорию алгоритмов.pdf</t>
  </si>
  <si>
    <t>Это учебное пособие представляет собой введение в теорию алгоритмов и структур данных, охватывающее классические методы их построения и анализа. Ключевые разделы книги включают сортировку, поиск, кучи, хеширование, системы непересекающихся множеств и динамическое программирование. Издание предназначено для читателей, обладающих базовой подготовкой, и сочетает теоретический материал с практическими задачами, формируя необходимую основу для работы с большими объёмами данных.</t>
  </si>
  <si>
    <t>Введение_в_теорию_алгоритмов_и_структур_данных_2016.pdf</t>
  </si>
  <si>
    <t>Книга представляет собой учебное пособие по теории алгоритмов и структурам данных, охватывающее базовые методы построения и анализа алгоритмов. Ключевые разделы включают сортировку, поиск, кучи, хеширование, системы непересекающихся множеств и динамическое программирование. Издание предназначено для начинающих специалистов и студентов, желающих освоить фундаментальные концепции Computer Science, и дополнено практическими задачами с решениями.</t>
  </si>
  <si>
    <t>Генри С. Уоррен</t>
  </si>
  <si>
    <t>Генри С. Уоррен - Алгоритмические трюки для программистов, 2-е издание.pdf</t>
  </si>
  <si>
    <t>Книга Генри С. Уоррена «Алгоритмические трюки для программистов» посвящена низкоуровневым битовым операциям и эффективным алгоритмам для работы с целыми числами, включая манипуляции с отдельными битами, вычисления с плавающей точкой и оптимизацию кода. Ключевые разделы охватывают такие темы, как подсчёт единичных битов, циклические сдвиги, деление на константы и трюки с использованием двоичного представления чисел. Материал рассчитан на опытных программистов и специалистов, занимающихся системным программированием, разработкой компиляторов или встраиваемыми системами, где критична производительность на уровне машинных инструкций.</t>
  </si>
  <si>
    <t>Грокаем алгоритмы. Иллюстрированное пособие для программистов и любопытствующих (2017).pdf</t>
  </si>
  <si>
    <t>Книга «Грокаем алгоритмы» Адитьи Бхаргавы представляет собой иллюстрированное введение в алгоритмы для начинающих программистов и всех, кто интересуется этой темой. В ней простым языком, с помощью наглядных примеров и рисунков объясняются базовые концепции, такие как бинарный поиск, «О-большое» (оценка времени выполнения), сортировка выбором, а также работа с массивами и связанными списками. Книга ориентирована на новичков и «любопытствующих», не требует глубоких математических знаний и делает изучение алгоритмов доступным и увлекательным.</t>
  </si>
  <si>
    <t>Грокаем алгоритмы</t>
  </si>
  <si>
    <t>Грокаем алгоритмы.zip</t>
  </si>
  <si>
    <t>Книга «Грокаем алгоритмы» представляет собой иллюстрированное введение в алгоритмы и структуры данных, написанное максимально доступным языком. Ключевые концепции включают бинарный поиск, сортировку (например, быструю и сортировку слиянием), графы, рекурсию и динамическое программирование. Издание предназначено для новичков в программировании, которые хотят понять основы алгоритмов без углубления в сложную математику.</t>
  </si>
  <si>
    <t>Дасгупта С., Пападимитриу Х., Вазирани У. - Алгоритмы.pdf</t>
  </si>
  <si>
    <t>Эта книга представляет собой учебник по алгоритмам, основанный на лекциях авторов в университетах Сан-Диего и Беркли. В ней подробно разбираются основные методы построения и анализа эффективных алгоритмов, включая числовые алгоритмы, метод «разделяй и властвуй», декомпозицию графов, жадные алгоритмы, динамическое программирование и линейное программирование. Издание предназначено для студентов математических и программистских специальностей, начиная с младших курсов, но будет интересна и опытным преподавателям благодаря оригинальному подходу и наглядным доказательствам.</t>
  </si>
  <si>
    <t>Анализ алгоритмов. Вводный курс</t>
  </si>
  <si>
    <t>Дж. Макконнелл</t>
  </si>
  <si>
    <t>Дж. Макконелл - Анализ алгоритмов. Вводный курс, 2-е дополненное издание.pdf</t>
  </si>
  <si>
    <t>Книга представляет собой учебное пособие по анализу и разработке алгоритмов, охватывающее такие ключевые разделы, как поиск, сортировка, численные методы, алгоритмы на графах и параллельная обработка. Особое внимание уделяется оценке трудоемкости, рекуррентным соотношениям и современным подходам, включая алгоритмы «разделяй и властвуй». Издание предназначено для широкого круга программистов и научных работников, которые самостоятельно пишут программы, и требует базовых математических знаний, но изложено неформально и подробно.</t>
  </si>
  <si>
    <t>Джордж_Хайнеман_Алгоритмы_С_примерами_на_Python.pdf</t>
  </si>
  <si>
    <t>Эта книга представляет собой практическое руководство по основным алгоритмам, которые помогают писать быстрый и эффективный код. В ней рассматриваются такие ключевые темы, как анализ сложности, хеширование, кучи, сортировка, двоичные деревья и графы. Издание предназначено для профессиональных программистов, тестировщиков и интеграторов, которые хотят применить алгоритмы на практике, а не только изучить теорию.</t>
  </si>
  <si>
    <t>Достаточно ли вы умны чтобы работать в Гугл</t>
  </si>
  <si>
    <t>Достаточно_ли_вы_умны_чтобы_работать_в_Гугл.pdf</t>
  </si>
  <si>
    <t>Книга посвящена анализу нестандартных задач и головоломок, которые используются на собеседованиях в Google, и исследует, какие качества и типы мышления они проверяют. Ключевые концепции включают решение задач на логику, математику и алгоритмы, а также оценку креативности и способности мыслить нешаблонно. Издание предназначено для соискателей в IT-компании, а также для специалистов, желающих развить аналитические навыки и подготовиться к сложным интервью.</t>
  </si>
  <si>
    <t>Once Upon an Algorithm: How Stories Explain Computing</t>
  </si>
  <si>
    <t>Martin Erwig</t>
  </si>
  <si>
    <t>Мартин_Эрвиг_Занимательные_алгоритмы_чему_нас_учат_истории_знаменитых.pdf</t>
  </si>
  <si>
    <t>Книга Мартина Эрвига «Занимательные алгоритмы» объясняет фундаментальные концепции компьютерных наук через аналогии с сюжетами и персонажами известных историй, таких как «Гензель и Гретель», «Шерлок Холмс» и «Гарри Поттер». В первой части рассматриваются алгоритмы, структуры данных и вычислительная сложность, а во второй — языки программирования, грамматики, рекурсия и типы данных. Издание предназначено для широкой аудитории, включая новичков, желающих понять основы вычислений без глубоких технических знаний.</t>
  </si>
  <si>
    <t>Олимпиадное программирование</t>
  </si>
  <si>
    <t>Антти Лааксонен</t>
  </si>
  <si>
    <t>Олимпиадное_программирование_2018.pdf</t>
  </si>
  <si>
    <t>Книга Антти Лааксонена представляет собой всестороннее введение в современное олимпиадное программирование, охватывающее проектирование эффективных алгоритмов и методы решения задач в условиях соревнований. В издании рассматриваются алгоритмы сортировки и двоичного поиска, динамическое программирование, алгоритмы на графах и деревьях, а также продвинутые темы, такие как амортизационный анализ и геометрические алгоритмы. Книга предназначена для читателей, знакомых с основами программирования, и будет полезна как начинающим, так и опытным участникам олимпиад, желающим углубить свои знания алгоритмов.</t>
  </si>
  <si>
    <t>Прикладные структуры данных и алгоритмы. Прокачиваем навыки</t>
  </si>
  <si>
    <t>Джей Венгроу</t>
  </si>
  <si>
    <t>Прикладные структуры данных и алгоритмы.pdf</t>
  </si>
  <si>
    <t>Книга Джея Венгроу «Прикладные структуры данных и алгоритмы. Прокачиваем навыки» посвящена практическому применению структур данных и алгоритмов для повышения производительности и масштабируемости кода. Ключевые концепции включают нотацию «О большое», хеш-таблицы, деревья, графы, рекурсию и динамическое программирование, с примерами на Python, JavaScript и Ruby. Издание предназначено для программистов, желающих перейти от теории к реальным проектам и улучшить свои навыки оптимизации кода.</t>
  </si>
  <si>
    <t>Продвинутые алгоритмы и структуры данных</t>
  </si>
  <si>
    <t>Ла Рокка М.</t>
  </si>
  <si>
    <t>Продвинутые_алгоритмы и структуры данных.epub</t>
  </si>
  <si>
    <t>Книга Марчелло Ла Рокка посвящена продвинутым алгоритмам и структурам данных, которые лежат в основе решения сложных задач в области анализа данных, машинного обучения и графов. Автор сочетает строгую теорию с практическими примерами, рассматривая такие темы, как алгоритмы отображения-свертки, генетические алгоритмы и имитация отжига. Издание предназначено для специалистов по информатике, разработчиков и профессионалов в области обработки данных, уже имеющих базовую подготовку и стремящихся углубить понимание ключевых концепций для применения в реальных проектах и на собеседованиях.</t>
  </si>
  <si>
    <t>Марчелло Ла Рокка</t>
  </si>
  <si>
    <t>Продвинутые_алгоритмы и структуры данных.pdf</t>
  </si>
  <si>
    <t>Книга Марчелло Ла Рокка посвящена продвинутым алгоритмам и структурам данных, необходимым для решения сложных задач в области анализа данных, машинного обучения и работы с графами. В ней рассматриваются такие концепции, как d-кучи, декартовы деревья, фильтры Блума, префиксные деревья, многомерные запросы (k-мерные деревья, поиск ближайших соседей), кластеризация и планарные графы. Издание предназначено для программистов, уже имеющих базовый опыт и желающих расширить свой инструментарий проверенными и эффективными подходами к кодированию.</t>
  </si>
  <si>
    <t>2011</t>
  </si>
  <si>
    <t>Р. Седжвик, К. Уэйн - Алгоритмы на Java, 4-е издание.djvu</t>
  </si>
  <si>
    <t>Книга Роберта Седжвика и Кевина Уэйна представляет собой фундаментальное руководство по структурам данных и алгоритмам, реализованное на языке Java. В ней подробно рассматриваются ключевые концепции, включая сортировку, поиск, графы, строки и анализ сложности алгоритмов. Издание предназначено для студентов, изучающих информатику, а также для практикующих разработчиков среднего и продвинутого уровня, желающих углубить понимание эффективного программирования.</t>
  </si>
  <si>
    <t>Essential Algorithms: A Practical Approach to Computer Algorithms</t>
  </si>
  <si>
    <t>Rod Stephens</t>
  </si>
  <si>
    <t>Р. Стивенс Алгоритмы. Теория и практическое применение.pdf</t>
  </si>
  <si>
    <t>Книга Рода Стивенса «Алгоритмы. Теория и практическое применение» представляет собой практическое руководство по компьютерным алгоритмам и структурам данных. В ней рассматриваются ключевые темы: численные алгоритмы, связные списки, массивы, стеки и очереди, сортировка, поиск, хеш-таблицы, рекурсия, деревья (включая сбалансированные и деревья принятия решений), сетевые и строковые алгоритмы, криптография, теория вычислительной сложности и распределенные алгоритмы. Издание предназначено для широкого круга читателей — от новичков до опытных специалистов, желающих углубить понимание алгоритмов и их применения на практике.</t>
  </si>
  <si>
    <t>Современный алгоритм</t>
  </si>
  <si>
    <t>Рафгарден</t>
  </si>
  <si>
    <t>Рафгарден-Современный алгоритм.zip</t>
  </si>
  <si>
    <t>Книга Тима Рафгардена «Современный алгоритм» посвящена практическому применению алгоритмов и структур данных для решения реальных задач, с акцентом на эффективность и производительность. В ней рассматриваются ключевые концепции, такие как хеширование, графы, поиск подстрок и сжатие данных, а также методы анализа сложности. Издание ориентировано на программистов и специалистов среднего уровня, желающих углубить понимание алгоритмов и научиться выбирать оптимальные решения для своих проектов.</t>
  </si>
  <si>
    <t>Эффективные алгоритмы и сложность вычислений</t>
  </si>
  <si>
    <t>Н. Н. Кузюрин; С. А. Фомин</t>
  </si>
  <si>
    <t>Сложность алгоритмов.pdf</t>
  </si>
  <si>
    <t>Книга Н. Н. Кузюрина и С. А. Фомина посвящена теории сложности вычислений и анализу эффективности алгоритмов. В ней рассматриваются как классические задачи (сортировка, поиск путей в графах), так и продвинутые концепции: NP-полнота, аппроксимационные алгоритмы, вероятностные методы и дерандомизация. Материал охватывает формальные модели вычислений (машины Тьюринга, RAM) и классы сложности (P, NP, BPP). Издание предназначено для студентов и специалистов, уже знакомых с основами программирования и дискретной математики.</t>
  </si>
  <si>
    <t>Algorithms Illuminated. Part 1: The Basics</t>
  </si>
  <si>
    <t>Tim Roughgarden</t>
  </si>
  <si>
    <t>Совершенный алгоритм. Основы.pdf</t>
  </si>
  <si>
    <t>Книга «Совершенный алгоритм. Основы» Тима Рафгардена посвящена фундаментальным алгоритмам и их анализу, являясь введением в computer science. Ключевые концепции включают асимптотический анализ и нотацию «большое О», алгоритмы «разделяй и властвуй», сортировку (включая MergeSort и QuickSort) и линейный выбор. Издание предназначено для программистов с опытом, желающих углубить понимание низкоуровневых концепций и математических основ алгоритмов.</t>
  </si>
  <si>
    <t>Competitive Programming 3: The New Lower Bound of Programming Contests</t>
  </si>
  <si>
    <t>Steven Halim; Felix Halim</t>
  </si>
  <si>
    <t>Спортивное_программирование_Новый_нижний_предел.pdf</t>
  </si>
  <si>
    <t>Книга «Спортивное программирование. Новый нижний предел соревнований по программированию» Стивена и Феликса Халимов посвящена подготовке к олимпиадам по программированию мирового уровня, таким как ACM ICPC и IOI. В ней рассматриваются ключевые темы, включая структуры данных, графы, математику и вычислительную геометрию, а также даются общие рекомендации по классификации задач и анализу алгоритмов. Издание адресовано читателям, готовящимся к соревнованиям или увлекающимся решением задач по информатике, и требует базовых знаний программирования на C/C++ или Java.</t>
  </si>
  <si>
    <t>Стивен С. Скиена</t>
  </si>
  <si>
    <t>Стивен С. Скиена Алгоритмы. Руководство по разработке (2е Издание).djvu</t>
  </si>
  <si>
    <t>Данная книга представляет собой практическое руководство по разработке и анализу алгоритмов, охватывающее как классические структуры данных, так и методы проектирования (например, динамическое программирование, жадные алгоритмы и поиск с возвратом). Особое внимание уделяется не только теории, но и реальному применению алгоритмов для решения конкретных задач, включая каталог вычислительных проблем с готовыми стратегиями их решения. Книга предназначена для студентов, программистов-практиков и специалистов, желающих углубить понимание алгоритмов и научиться эффективно применять их в своей работе.</t>
  </si>
  <si>
    <t>Т. Кормен - Алгоритмы. Вводный курс.pdf</t>
  </si>
  <si>
    <t>Фрагмент представляет собой выходные данные книги Томаса Кормена «Алгоритмы: вводный курс». Книга посвящена основам алгоритмов и их применению для решения практических задач, таких как сортировка, поиск, работа с графами, криптография и сжатие данных. Ключевые разделы включают алгоритмы сортировки и поиска, кратчайшие пути, основы криптографии и сжатие данных. Издание предназначено для новичков, желающих понять, как компьютеры решают задачи, и не требует глубоких предварительных знаний.</t>
  </si>
  <si>
    <t>Т. Кормен; Ч. Лейзерсон; Р. Ривест; К. Штайн</t>
  </si>
  <si>
    <t>Т. Кормен, Ч. Лейзерсон, Р. Ривест, К. Штайн - Алгоритмы. Построение и анализ. Издание 3-е.djvu</t>
  </si>
  <si>
    <t>Данный фрагмент представляет собой классический учебник по алгоритмам, охватывающий их проектирование и анализ. Ключевые концепции включают асимптотический анализ, структуры данных, сортировку, графовые алгоритмы и вычислительную сложность. Книга предназначена для студентов старших курсов и специалистов в области компьютерных наук, имеющих базовую математическую подготовку.</t>
  </si>
  <si>
    <t>Т_Кормен_Алгоритмы_Вводный_курс.pdf</t>
  </si>
  <si>
    <t>Это вводный курс по алгоритмам, написанный Томасом Корменом. Книга охватывает фундаментальные темы, такие как сортировка, поиск, графы, криптография и сжатие данных, объясняя, как компьютеры решают практические задачи. Материал изложен доступно и предназначен для новичков, не требующих глубоких математических знаний, а также для тех, кто хочет понять основы работы алгоритмов без погружения в академические детали.</t>
  </si>
  <si>
    <t>Куликов, Владимир Георгиевич; Евстратов, В.С.</t>
  </si>
  <si>
    <t>Издательство МИСИ – МГСУ</t>
  </si>
  <si>
    <t>Теория алгоритмов.pdf</t>
  </si>
  <si>
    <t>Данный фрагмент представляет собой введение к учебно-методическому пособию по теории алгоритмов для студентов вузов. Книга охватывает классические разделы дисциплины: машины Тьюринга и Поста, рекурсивные функции, нормальные алгоритмы Маркова, а также вопросы сложности и логического синтеза схем. Пособие предназначено для обучающихся по направлению «Информационные системы и технологии» (уровень бакалавриата), то есть для начинающих специалистов.</t>
  </si>
  <si>
    <t>Evolutionary Optimization Algorithms</t>
  </si>
  <si>
    <t>Dan Simon</t>
  </si>
  <si>
    <t>Алгоритмы/Оптимизация</t>
  </si>
  <si>
    <t>Оптимизация</t>
  </si>
  <si>
    <t>Алгоритмы_эволюционной_оптимизации.pdf</t>
  </si>
  <si>
    <t>C:\Users\alexa\YandexDisk\Книги\Алгоритмы\Оптимизация</t>
  </si>
  <si>
    <t>Книга Дэна Саймона «Алгоритмы эволюционной оптимизации» представляет собой фундаментальный труд, посвященный биологически обусловленным и популяционно-ориентированным методам компьютерного интеллекта. В ней подробно рассматриваются теоретические основы, математический аппарат и практическая реализация таких алгоритмов, как генетические алгоритмы, оптимизация роем частиц, дифференциальная эволюция и биогеографическая оптимизация. Издание охватывает различные типы задач оптимизации, включая неограниченную, ограниченную, многокритериальную и комбинаторную. Книга предназначена для студентов старших курсов, программистов, инженеров и всех специалистов, интересующихся принципами построения эволюционных алгоритмов.</t>
  </si>
  <si>
    <t>Algorithms Illuminated: Part 4: Algorithms for NP-Hard Problems</t>
  </si>
  <si>
    <t>Совершенный_алгоритм_Алгоритмы_для_NP_трудных_задач.pdf</t>
  </si>
  <si>
    <t>Книга Тима Рафгардена «Совершенный алгоритм. Алгоритмы для NP-трудных задач» посвящена распознаванию и решению NP-трудных задач — класса задач, для которых не существует быстрых (полиномиальных) алгоритмов. Ключевые концепции включают различие между «легкими» и «трудными» задачами, предположение P ≠ NP, а также практические стратегии решения NP-трудных задач, такие как компромисс между универсальностью, правильностью и скоростью. Книга предназначена для опытных программистов и специалистов, уже знакомых с асимптотическим анализом, жадными алгоритмами и динамическим программированием, которые хотят углубить свои знания.</t>
  </si>
  <si>
    <t>Algorithms Illuminated Part 3: Greedy Algorithms and Dynamic Programming</t>
  </si>
  <si>
    <t>Совершенный_алгоритм_Жадные_алгоритмы.pdf</t>
  </si>
  <si>
    <t>Книга Тима Рафгардена «Совершенный алгоритм. Жадные алгоритмы и динамическое программирование» посвящена двум фундаментальным парадигмам проектирования алгоритмов. В ней подробно разбираются такие ключевые темы, как задача планирования, минимальные остовные деревья, кластеризация, коды Хаффмана, задача о рюкзаке, выравнивание последовательностей и оптимальные деревья поиска. Издание предназначено для читателей, уже имеющих опыт программирования и желающих углубить понимание низкоуровневых концепций и математических основ алгоритмов.</t>
  </si>
  <si>
    <t>Спортивное программирование</t>
  </si>
  <si>
    <t>Стивен Халим; Феликс Халим</t>
  </si>
  <si>
    <t>Алгоритмы/Практика использования</t>
  </si>
  <si>
    <t>Практика использования</t>
  </si>
  <si>
    <t>Спортивное программирование.pdf</t>
  </si>
  <si>
    <t>C:\Users\alexa\YandexDisk\Книги\Алгоритмы\Практика использования (Задачи, системный дизайн, разбор кейсов)</t>
  </si>
  <si>
    <t>Книга «Спортивное программирование» Стивена и Феликса Халимов посвящена подготовке к соревнованиям по программированию мирового уровня, таким как ACM ICPC и IOI. В ней рассматриваются ключевые разделы: структуры данных, графы, математика, вычислительная геометрия, а также даются общие рекомендации по классификации задач, анализу алгоритмов и тестированию кода. Издание предназначено для читателей, готовящихся к олимпиадам, и требует базовых знаний программирования на C/C++ или Java.</t>
  </si>
  <si>
    <t>Algorithms and Data Structures for Massive Datasets (MEAP v8)</t>
  </si>
  <si>
    <t>Dzejla Medjedovic; Emin Tahirovic; Ines Dedovic</t>
  </si>
  <si>
    <t>Алгоритмы/Структуры данных</t>
  </si>
  <si>
    <t>Структуры данных</t>
  </si>
  <si>
    <t>Algorithms and Data Structures for Massive Datasets (MEAP v8) 2022.pdf</t>
  </si>
  <si>
    <t>C:\Users\alexa\YandexDisk\Книги\Алгоритмы\Структуры данных</t>
  </si>
  <si>
    <t>Эта книга посвящена алгоритмам и структурам данных для работы с огромными массивами информации, которые не помещаются в оперативную память. Авторы рассматривают современные методы, такие как хеш-таблицы, фильтры Блума, HyperLogLog и B-деревья, а также затрагивают темы потоковой обработки и внешней сортировки. Книга предназначена для специалистов (разработчиков, инженеров, дата-сайентистов), уже знакомых с базовым анализом сложности и классическими алгоритмами. Главная идея заключается в изучении компромиссов, позволяющих жертвовать точностью ради экономии памяти при работе с большими данными.</t>
  </si>
  <si>
    <t>Introduction to Algorithms &amp; Data Structures 2</t>
  </si>
  <si>
    <t>Bolakale Aremu</t>
  </si>
  <si>
    <t>Ojula Technology Innovations</t>
  </si>
  <si>
    <t>algorithms-datastructures-2.pdf</t>
  </si>
  <si>
    <t>Это второй том серии книг по алгоритмам и структурам данных, посвящённый основам организации и хранения данных. Ключевые разделы охватывают массивы, односвязные, циклические и двусвязные списки, а также операции с ними, включая поиск, вставку и удаление. Книга предназначена для начинающих программистов, желающих улучшить навыки логического мышления и проектирования систем, а также для тех, кто интересуется машинным обучением и анализом данных.</t>
  </si>
  <si>
    <t>Data Structure and Algorithm</t>
  </si>
  <si>
    <t>Raza Khan, Nikhat; Singh, Manmohan; Shukla, Piyush Kumar; Aharwal, Ramesh Prasad</t>
  </si>
  <si>
    <t>Arcler Press</t>
  </si>
  <si>
    <t>Data Structure and Algorithm 2023.pdf</t>
  </si>
  <si>
    <t>Это учебное пособие по структурам данных и алгоритмам, охватывающее фундаментальные темы, такие как массивы, структуры, указатели и динамическое управление памятью, а также более сложные концепции, включая стеки, очереди, списки и деревья. Книга предназначена для студентов и специалистов начального и среднего уровня, изучающих компьютерные науки и программирование.</t>
  </si>
  <si>
    <t>Data Structures and Algorithms Made Easy: Data Structures and Algorithmic Puzzles</t>
  </si>
  <si>
    <t>Narasimha Karumanchi</t>
  </si>
  <si>
    <t>CareerMonk Publications</t>
  </si>
  <si>
    <t>Data_Structures_and_Algorithms_Made_Easy_Data_Structures_and_Algorithmic.pdf</t>
  </si>
  <si>
    <t>Эта книга представляет собой практическое руководство по структурам данных и алгоритмам, ориентированное на решение задач. Автор делает акцент не на теории, а на разборе около 700 задач с множеством вариантов решений — от простейших до оптимальных, с анализом их сложности по времени и памяти. Книга предназначена для студентов, готовящихся к техническим собеседованиям, а также для преподавателей и учащихся, желающих углубить понимание предмета.</t>
  </si>
  <si>
    <t>Grokking Data Structures</t>
  </si>
  <si>
    <t>Marcello La Rocca</t>
  </si>
  <si>
    <t>Grokking Data Structures_Final.pdf</t>
  </si>
  <si>
    <t>Книга Марчелло Ла Рокка «Grokking Data Structures» посвящена фундаментальным структурам данных и их практическому применению. В ней рассматриваются массивы, списки, стеки, очереди, хеш-таблицы, деревья, графы и кучи, а также связанные с ними алгоритмы и оценка эффективности через нотацию Big-O. Издание предназначено для начинающих и практикующих разработчиков, желающих глубже понять, как работают структуры данных и как выбирать их для решения реальных задач.</t>
  </si>
  <si>
    <t>Структуры данных и алгоритмы</t>
  </si>
  <si>
    <t>Структуры данных и алгоритмы.pdf</t>
  </si>
  <si>
    <t>Эта книга посвящена фундаментальным концепциям компьютерных наук — структурам данных и алгоритмам. В ней рассматриваются ключевые темы, такие как анализ сложности (Big O), основные структуры (массивы, списки, деревья, графы) и классические алгоритмы сортировки, поиска и работы с графами. Материал ориентирован на читателей с начальным или средним уровнем подготовки, желающих систематизировать знания для решения практических задач и подготовки к собеседованиям.</t>
  </si>
  <si>
    <t>1С Аналитика. BI-система</t>
  </si>
  <si>
    <t>ООО «1С-Паблишинг»</t>
  </si>
  <si>
    <t>Анализ данных/Big Data</t>
  </si>
  <si>
    <t>Анализ данных</t>
  </si>
  <si>
    <t>Big Data</t>
  </si>
  <si>
    <t>1С Аналитика. BI-система.pdf</t>
  </si>
  <si>
    <t>C:\Users\alexa\YandexDisk\Книги\Анализ данных\Big Data</t>
  </si>
  <si>
    <t>Не удалось определить содержимое.</t>
  </si>
  <si>
    <t>Big Data Concepts, Technologies and Applications</t>
  </si>
  <si>
    <t>Mohd. Shahid Husain; Mohammad Zunnun Khan; Tamanna Siddiqui</t>
  </si>
  <si>
    <t>CRC Press, Taylor and Francis Group</t>
  </si>
  <si>
    <t>Big Data Concepts, Technologies.pdf</t>
  </si>
  <si>
    <t>Книга «Big Data Concepts, Technologies and Applications» под редакцией Мохд. Шахида Хусейна посвящена концепциям, технологиям и приложениям аналитики больших данных. В ней рассматриваются такие ключевые темы, как характеристики больших данных (объем, скорость, разнообразие), современные технологии для их обработки (Hadoop, NoSQL, data lakes, глубокое обучение и блокчейн), а также практическое применение в здравоохранении, бизнесе, социальных медиа и борьбе с мошенничеством. Издание предназначено для исследователей, студентов, специалистов по данным и бизнес-аналитиков, стремящихся получить углубленное понимание парадигмы больших данных.</t>
  </si>
  <si>
    <t>Big Data Using Hadoop and Hive</t>
  </si>
  <si>
    <t>Nitin Kumar</t>
  </si>
  <si>
    <t>Mercury Learning and Information</t>
  </si>
  <si>
    <t>Big Data Using Hadoop and Hive.pdf</t>
  </si>
  <si>
    <t>Эта книга Нитина Кумара представляет собой практическое руководство по работе с большими данными с использованием технологий Apache Hadoop и Hive. В ней подробно рассматриваются архитектура HDFS, управление ресурсами YARN, а также интерфейсы доступа к данным, включая REST API и Java API. Издание предназначено для специалистов, уже знакомых с основами обработки данных, и помогает освоить настройку и администрирование экосистемы Hadoop.</t>
  </si>
  <si>
    <t>Big Data: Concepts, Methodologies, Tools, and Applications</t>
  </si>
  <si>
    <t>Information Resources Management Association</t>
  </si>
  <si>
    <t>IGI Global</t>
  </si>
  <si>
    <t>big-data-concepts-methodologies-tools-apps 2016.pdf</t>
  </si>
  <si>
    <t>Данный фрагмент представляет собой выходные данные и редакционную коллегию справочного издания «Big Data: Concepts, Methodologies, Tools, and Applications» (2016), подготовленного Information Resources Management Association. Книга представляет собой комплексный сборник, охватывающий концепции, методологии, инструменты и приложения в области больших данных, включая такие темы, как количественные исследования, интеллектуальный анализ данных и управление базами данных. Издание предназначено для специалистов и исследователей в области информационных технологий и управления, а также для академических библиотек, о чем свидетельствует наличие редакционного совета и списка авторов с университетской аффилиацией.</t>
  </si>
  <si>
    <t>Big Data Analytics: Tools and Technology for Effective Planning</t>
  </si>
  <si>
    <t>Arun K. Somani; Ganesh Chandra Deka</t>
  </si>
  <si>
    <t>Chapman &amp; Hall/CRC</t>
  </si>
  <si>
    <t>Big_Data_Analytics_Tools_and_Technology_for_Effective_Planning-2018.pdf</t>
  </si>
  <si>
    <t>Книга «Big Data Analytics: Tools and Technology for Effective Planning» под редакцией Аруна К. Сомани и Ганеша Чандры Деки посвящена анализу больших данных, включая инструменты и технологии для эффективного планирования. Ключевые разделы охватывают проблемы больших данных и их анализа, эталонные модели, обзор инструментов для аналитики, а также применение науки о данных в бизнес-аналитике и предиктивном моделировании. Издание предназначено для специалистов и исследователей в области обработки данных, машинного обучения и ИИ, а также для менеджеров, интересующихся практическим применением Big Data.</t>
  </si>
  <si>
    <t>Big Data: Conceptual Analysis and Applications</t>
  </si>
  <si>
    <t>Michael Z. Zgurovsky; Yuriy P. Zaychenko</t>
  </si>
  <si>
    <t>Big_Data_Conceptual_Analysis.pdf</t>
  </si>
  <si>
    <t>Книга посвящена концептуальному анализу больших данных и извлечению скрытых закономерностей для принятия решений в сложных системах. В ней рассматриваются методы самоорганизации вычислительных процессов, нечеткий кластерный анализ и гибридные нейро-нечеткие сети, а также применение глубокого обучения для распознавания 3D-изображений и прогнозирования фондовых рынков. Отдельное внимание уделяется анализу исторических и экономических данных для выявления циклических закономерностей, таких как связь системных конфликтов с циклами Кондратьева. Издание предназначено для специалистов и исследователей в области науки о данных, машинного обучения и искусственного интеллекта.</t>
  </si>
  <si>
    <t>Big Data for Big Decisions; Building a Data-Driven Organization</t>
  </si>
  <si>
    <t>Krishna Pera</t>
  </si>
  <si>
    <t>Big_Data_for_Big_Decisions.pdf</t>
  </si>
  <si>
    <t>Книга Кришны Перы «Big Data for Big Decisions» представляет собой практическое руководство по построению организации, управляемой данными (DDO), и решает проблему того, что более 80% аналитических проектов не приносят ожидаемой ценности. Ключевая концепция книги — фокус на «больших решениях», то есть на 10% решений, которые влияют на 90% бизнес-результатов, с перепроектированием процессов от решения к данным. Автор предлагает пошаговую методологию создания дорожной карты и бизнес-обоснования, уделяя особое внимание управлению данными и вовлечению лиц, принимающих решения. Издание предназначено для практикующих специалистов, менеджеров и CIO, которые стремятся превратить инвестиции в аналитику и ИИ в измеримый бизнес-результат.</t>
  </si>
  <si>
    <t>Big Data: A Revolution That Will Transform How We Live, Work, and Think</t>
  </si>
  <si>
    <t>Viktor Mayer-Schönberger; Kenneth Cukier</t>
  </si>
  <si>
    <t>big_data_революция.pdf</t>
  </si>
  <si>
    <t>Книга Виктора Майер-Шенбергера и Кеннета Кукьера посвящена феномену «больших данных» — способности обрабатывать и анализировать огромные массивы цифровой информации, что позволяет с высокой точностью предсказывать события в различных сферах жизни. Авторы на конкретных примерах (прогнозирование эпидемий, оценка состояния автомобилей по цвету, выявление опасных люков) демонстрируют, как переход от выборочного анализа к работе со всем массивом данных меняет бизнес, здравоохранение, политику и образование. Ключевые темы включают этические вопросы прозрачности, неприкосновенности частной жизни и новые вызовы для общества. Книга рассчитана на широкую аудиторию, включая как новичков, так и специалистов, интересующихся тем, как технологии изменяют нашу жизнь.</t>
  </si>
  <si>
    <t>Elasticsearch, Kibana, Logstash и поисковые системы нового поколения</t>
  </si>
  <si>
    <t>Шукла П.; Кумар Ш.</t>
  </si>
  <si>
    <t>Elasticsearch,_Kibana,_Logstash_и_поисковые_системы_нового_поколения.pdf</t>
  </si>
  <si>
    <t>Книга посвящена Elastic-стеку — набору инструментов для распределенного поиска, анализа данных, ведения логов и визуализации. В ней рассматриваются установка, настройка и практическое применение Elasticsearch, Logstash и Kibana, а также создание плагинов с помощью Kibana и Beats. Издание предназначено для специалистов, интересующихся современными поисковыми системами и обработкой больших данных, и требует базового понимания IT-инфраструктуры.</t>
  </si>
  <si>
    <t>Exploring Hadoop Ecosystem Volume 2 Stream Processing</t>
  </si>
  <si>
    <t>Wei Liu</t>
  </si>
  <si>
    <t>Exploring_Hadoop_Ecosystem_Volume_2_Stream_Processing_Unknown.epub</t>
  </si>
  <si>
    <t>Книга Вэя Лю «Exploring Hadoop Ecosystem Volume 2: Stream Processing» посвящена технологиям потоковой обработки данных в экосистеме Hadoop, с фокусом на Spark Core, Spark SQL, Spark Streaming, Spark Structured Streaming и Kafka. В ней подробно разбираются ключевые концепции: архитектура Spark, работа с DStream и DStreamGraph, оконные операции, механизмы отказоустойчивости, а также сравнение пакетной и потоковой обработки данных. Издание предназначено для специалистов среднего и продвинутого уровня, уже знакомых с основами больших данных и желающих углубиться в практическую реализацию стриминга.</t>
  </si>
  <si>
    <t>Kafka in Action</t>
  </si>
  <si>
    <t>Dylan Scott;Viktor Gamov;Dave Klein</t>
  </si>
  <si>
    <t>Kafka_in_Action_Final_Release_Dylan_Scott,_Viktor_Gamov,_Dave_Klein.pdf</t>
  </si>
  <si>
    <t>Книга «Kafka in Action» представляет собой практическое руководство по Apache Kafka, предназначенное для разработчиков и инженеров данных. Она охватывает ключевые концепции, такие как продюсеры, консумеры, брокеры, топики, партиции и потоковая обработка (Kafka Streams, ksqlDB), а также вопросы управления, безопасности и проектирования проектов. Материал подходит как для новичков, так и для специалистов, желающих углубить понимание работы Kafka в реальных сценариях.</t>
  </si>
  <si>
    <t>Michael_Z_Zgurovsky,_Yuriy_P_Zaychenko_Big_Data_Conceptual_Analysis.pdf</t>
  </si>
  <si>
    <t>Книга посвящена анализу больших данных для извлечения скрытых закономерностей, необходимых для принятия решений в сложных системах. В ней рассматриваются методы самоорганизации вычислительных процессов, четкий и нечеткий кластерный анализ, а также гибридные нейро-нечеткие сети, включая применение глубокого обучения для распознавания 3D-изображений и прогнозирования фондовых рынков. Особое внимание уделяется новым подходам на основе метода группового учета аргументов (МГУА), позволяющим решать проблемы выбора структуры и ускорения обучения глубоких сетей. Издание предназначено для специалистов и исследователей в области науки о данных, машинного обучения и искусственного интеллекта.</t>
  </si>
  <si>
    <t>Spark в действии</t>
  </si>
  <si>
    <t>Spark в действии.pdf</t>
  </si>
  <si>
    <t>Книга «Spark в действии» Жана-Жоржа Перрена посвящена практическому освоению фреймворка Apache Spark для обработки больших данных. В ней рассматриваются ключевые концепции: архитектура Spark, работа с фреймами данных, потребление данных из различных источников (файлы, базы данных, потоки), их преобразование с помощью SQL и пользовательских функций, а также агрегирование. Издание предназначено для разработчиков, начинающих знакомство со Spark, и не требует предварительного опыта работы с этой технологией, Scala или Hadoop.</t>
  </si>
  <si>
    <t>Algorithms and Data Structures for Massive Datasets</t>
  </si>
  <si>
    <t>Dzejla Medjedovic; Emin Tahirovic</t>
  </si>
  <si>
    <t>Алгоритмы и структуры для массивных наборов данных.pdf</t>
  </si>
  <si>
    <t>Книга «Алгоритмы и структуры данных для массивных наборов данных» посвящена методам обработки и анализа больших распределенных данных, которые неэффективны при использовании стандартных алгоритмов. Ключевые концепции включают фильтры Блума, набросок count-min, HyperLogLog, LSM-деревья и согласованное хеширование, а также рассматриваются проблемы производительности, связанные с иерархией памяти и задержками. Издание предназначено для специалистов, желающих освоить мощные алгоритмы для работы с крупными наборами данных в реальных проектах.</t>
  </si>
  <si>
    <t>Большие данные - принципы и практики</t>
  </si>
  <si>
    <t>Большие данные - принципы и практики.pdf</t>
  </si>
  <si>
    <t>Основы Big Data</t>
  </si>
  <si>
    <t>Основы Big Data.pdf</t>
  </si>
  <si>
    <t>Данный фрагмент книги «Основы Big Data» посвящён введению в технологии работы с большими данными. Ключевые концепции, вероятно, включают определение Big Data, его основные характеристики (объём, скорость, разнообразие) и базовые подходы к обработке. Книга ориентирована на новичков, желающих получить начальное представление о предмете, и не требует глубоких технических знаний.</t>
  </si>
  <si>
    <t>Потоковая обработка данных</t>
  </si>
  <si>
    <t>Потоковая обработка данных.pdf</t>
  </si>
  <si>
    <t>Книга посвящена методам и алгоритмам потоковой обработки данных, то есть анализу информации в реальном времени по мере её поступления, без возможности полного сохранения. В ней рассматриваются ключевые концепции, такие как скетчи (вероятностные структуры данных), алгоритмы для подсчёта частот, поиска тяжёлых хитов и оценки количества уникальных элементов. Издание ориентировано на специалистов в области компьютерных наук и инженеров данных, уже знакомых с основами алгоритмов и структур данных.</t>
  </si>
  <si>
    <t>Потоковая обработка данных с Apache Flink</t>
  </si>
  <si>
    <t>Фабиан Уэске; Василики Калаври</t>
  </si>
  <si>
    <t>Потоковая_обработка_данных_с_Apache_Flink_2020_Фабиан_Уэске.pdf</t>
  </si>
  <si>
    <t>Книга посвящена потоковой обработке данных с помощью фреймворка Apache Flink, его архитектуре и отличиям от пакетной обработки. Авторы, являющиеся ключевыми участниками проекта, рассматривают концепции распределенной обработки с учетом состояния, API DataStream, отказоустойчивость и развертывание приложений. Издание предназначено для широкого круга читателей — от начинающих программистов до опытных инженеров по обработке данных.</t>
  </si>
  <si>
    <t>Просто Big Data</t>
  </si>
  <si>
    <t>Жукова М. В.; Деменок С. Л.</t>
  </si>
  <si>
    <t>Страта</t>
  </si>
  <si>
    <t>Просто Big Data.pdf</t>
  </si>
  <si>
    <t>Книга посвящена феномену больших данных (Big Data) как ключевому элементу современного информационного пространства, охватывающему сбор, обработку и анализ огромных массивов структурированной и неструктурированной информации. В ней рассматриваются базовые понятия (данные, алгоритмы, выборочный метод), история возникновения данных, а также практическое применение технологий в торговле, банковском деле, медицине, метеорологии и обеспечении безопасности. Издание предназначено для широкого круга читателей-новичков, желающих понять суть и возможности больших данных без углубления в технические детали.</t>
  </si>
  <si>
    <t>Работа с BigData в облаках. Обработка и хранение данных с примерами из Microsoft Azure</t>
  </si>
  <si>
    <t>Сенько А.</t>
  </si>
  <si>
    <t>Работа с BigData в облаках.pdf</t>
  </si>
  <si>
    <t>Книга посвящена практическим аспектам обработки и хранения больших данных (Big Data) в облачных средах, с акцентом на платформы Microsoft Azure и AWS. В ней рассматриваются все этапы работы с данными, включая облачные хранилища, реляционные и нереляционные базы данных, а также архитектуры облачных систем. Особое внимание уделяется преимуществам облачных технологий и службам SaaS. Издание рассчитано на широкую аудиторию профессионалов, желающих освоить Azure, Docker и современные инструменты для работы с данными в корпоративной среде.</t>
  </si>
  <si>
    <t>Kafka Streams и ksqlDB: данные в реальном времени</t>
  </si>
  <si>
    <t>Митч Сеймур</t>
  </si>
  <si>
    <t>Сеймур_Митч_Kafka_Streams_и_ksqlDB_данные_в_реальном_времени.pdf</t>
  </si>
  <si>
    <t>Книга посвящена потоковой обработке данных в реальном времени с помощью инструментов Kafka Streams и ksqlDB. В ней рассматриваются ключевые концепции, такие как обработка с сохранением состояния и без него, работа с окнами и временем, а также интеграция данных. Издание разделено на части, охватывающие основы Kafka, библиотеку Kafka Streams, платформу ksqlDB и вопросы промышленной эксплуатации. Книга предназначена для специалистов по обработке данных и разработчиков, включая тех, кто не пишет код на Java, и подходит как для новичков, так и для опытных пользователей.</t>
  </si>
  <si>
    <t>Теоретический минимум по Big Data. Всё, что нужно знать о больших данных</t>
  </si>
  <si>
    <t>Анналин Ын; Кеннет Су</t>
  </si>
  <si>
    <t>Теоретический минимум по Big Data.pdf</t>
  </si>
  <si>
    <t>Эта книга представляет собой введение в область больших данных и науки о данных, предназначенное для новичков и специалистов, желающих освоить основы без углубления в математику. Она охватывает ключевые алгоритмы и методы, такие как кластеризация, регрессия, деревья решений и нейронные сети, объясняя их на простых примерах и иллюстрациях. Издание содержит главы по подготовке данных, выбору алгоритмов и оценке результатов, а также рассматривает практические задачи, включая A/B-тестирование и анализ социальных сетей.</t>
  </si>
  <si>
    <t>Методы и технологии обработки больших данных</t>
  </si>
  <si>
    <t>М.М. Железнов</t>
  </si>
  <si>
    <t>Технология_хранения_и_анализа_больших_данных.pdf</t>
  </si>
  <si>
    <t>Данное учебно-методическое пособие посвящено методам и технологиям обработки больших данных (Big Data). В книге рассматриваются ключевые концепции, такие как свойства больших данных (величина, скорость, многообразие), методы их анализа, облачные технологии и перспективы развития, а также приводятся примеры применения в строительстве. Издание предназначено для студентов магистратуры направления «Информатика и вычислительная техника» и подходит для начального и среднего уровня подготовки.</t>
  </si>
  <si>
    <t>Ф. Уэске; В. Калаври</t>
  </si>
  <si>
    <t>Уэске_Ф_,_Калаври_В_Потоковая_обработка_данных_с_Apache_Flink_2021.pdf</t>
  </si>
  <si>
    <t>Книга посвящена потоковой обработке данных с помощью фреймворка Apache Flink, объясняя фундаментальные концепции параллельной потоковой обработки и её отличия от пакетной. Авторы, являющиеся активными участниками проекта Flink, рассматривают системную архитектуру, API DataStream, принципы отказоустойчивости и развертывание кластеров. Издание предназначено как для начинающих, так и для опытных программистов и инженеров по обработке данных, желающих освоить создание масштабируемых потоковых приложений.</t>
  </si>
  <si>
    <t>Big Data For Dummies</t>
  </si>
  <si>
    <t>Judith Hurwitz; Alan Nugent; Dr. Fern Halper; Marcia Kaufman</t>
  </si>
  <si>
    <t>2015</t>
  </si>
  <si>
    <t>Эксмо</t>
  </si>
  <si>
    <t>Халпер Кауфман - о больших данных (Сбербанк).pdf</t>
  </si>
  <si>
    <t>Книга «Просто о больших данных» представляет собой энциклопедическое введение в концепцию Big Data, её технологические основы и бизнес-применение. Авторы объясняют, как преобразовывать большие объёмы информации в полезные инсайты, и рассматривают ключевые темы: типы данных, распределённые вычисления, экосистему Hadoop, облачные сервисы, аналитику и безопасность. Издание предназначено для широкой аудитории — от менеджеров до ИТ-архитекторов и аналитиков, включая новичков, желающих понять суть технических и бизнес-требований к работе с большими данными.</t>
  </si>
  <si>
    <t>Теоретический минимум по BigData</t>
  </si>
  <si>
    <t>Ын Су</t>
  </si>
  <si>
    <t>Ын Су Теоретический минимум по BigData.pdf</t>
  </si>
  <si>
    <t>Эффективный Spark. Масштабирование и оптимизация</t>
  </si>
  <si>
    <t>Холден Карау; Рейчел Уоррен</t>
  </si>
  <si>
    <t>Эффективный Spark.pdf</t>
  </si>
  <si>
    <t>Книга «Эффективный Spark» посвящена масштабированию и оптимизации производительности Apache Spark для работы с большими данными. В ней рассматриваются такие ключевые концепции, как устройство RDD, работа с DataFrame/Dataset, эффективные соединения, преобразования и настройка Spark MLlib. Издание предназначено для программистов, инженеров по данным и системных администраторов, уже имеющих опыт работы со Spark и желающих перейти от решения небольших задач к профессиональной обработке колоссальных объемов данных.</t>
  </si>
  <si>
    <t>Data Science для карьериста</t>
  </si>
  <si>
    <t>Жаклин Нолис; Эмили Робинсон</t>
  </si>
  <si>
    <t>Анализ данных/Наука о данных</t>
  </si>
  <si>
    <t>Наука о данных</t>
  </si>
  <si>
    <t>!! Data_Science_для_карьериста 2021.pdf</t>
  </si>
  <si>
    <t>C:\Users\alexa\YandexDisk\Книги\Анализ данных\Наука о данных</t>
  </si>
  <si>
    <t>Книга «Data Science для карьериста» посвящена построению успешной карьеры в области Data Science, объединяя технические навыки с «мягкими навыками». Ключевые разделы охватывают выбор типа компании (от стартапов до гигантов), приобретение навыков (образование, буткемпы, самообучение), создание портфолио, поиск работы и прохождение интервью. Издание предназначено как для новичков, желающих получить первую работу в Data Science, так и для практикующих специалистов, стремящихся к карьерному росту.</t>
  </si>
  <si>
    <t>DAMA-DMBOK: Data Management Body of Knowledge</t>
  </si>
  <si>
    <t>DAMA International</t>
  </si>
  <si>
    <t>Technics Publications</t>
  </si>
  <si>
    <t>!DMBOK_Свод_знаний_по_управлению_данными-2020.pdf</t>
  </si>
  <si>
    <t>Книга «DAMA-DMBOK: Свод знаний по управлению данными» представляет собой фундаментальное руководство, посвященное управлению данными как корпоративным активом. В ней рассматриваются ключевые концепции, такие как принципы управления данными, стратегии, этика обращения с данными, а также рамочные структуры (включая модель DAMA-DMBOK). Издание предназначено для специалистов по управлению данными, ИТ-специалистов и руководителей, то есть для подготовленной аудитории, уже знакомой с основами работы с информацией.</t>
  </si>
  <si>
    <t>Advancing into Analytics</t>
  </si>
  <si>
    <t>Mount, George</t>
  </si>
  <si>
    <t>Advancing into Analy... by George Mount.pdf</t>
  </si>
  <si>
    <t>Книга Джорджа Маунта «Advancing into Analytics» представляет собой практическое руководство по переходу от аналитики в Excel к использованию языков Python и R. В ней рассматриваются фундаментальные концепции исследовательского анализа данных, теории вероятностей и статистического вывода, с акцентом на практическую работу в Excel. Издание предназначено для специалистов, уже знакомых с Excel, которые хотят углубить свои знания в области анализа данных и освоить более продвинутые инструменты.</t>
  </si>
  <si>
    <t>Практическая статистика для специалистов Data Science: Пер. с англ.</t>
  </si>
  <si>
    <t>П. Брюс; Эндрю Брюс</t>
  </si>
  <si>
    <t>Bruce_Bruce_2018_Practical Statistics for Data Scientists.pdf</t>
  </si>
  <si>
    <t>Книга «Практическая статистика для специалистов Data Science» Питера и Эндрю Брюс посвящена ключевым статистическим понятиям, необходимым для работы с данными. В ней подробно раскрываются такие темы, как разведочный анализ данных, распределения, проверка значимости, регрессия, классификация и машинное обучение. Издание рассчитано на специалистов в области Data Science, уже имеющих опыт работы с языком R и базовое представление о математической статистике.</t>
  </si>
  <si>
    <t>Causal Inference на Python. Причинно-следственные связи в IT-разработке</t>
  </si>
  <si>
    <t>Факур Матеуш</t>
  </si>
  <si>
    <t>Causal Inference на Python.pdf</t>
  </si>
  <si>
    <t>Книга Матеуса Факура посвящена практическому применению причинно-следственного анализа (causal inference) в IT-разработке и бизнесе. В ней рассматриваются ключевые методы, такие как A/B-тесты, линейная регрессия, оценка склонности, разность разностей и синтетический контроль, каждый из которых сопровождается реальными примерами. Издание предназначено для менеджеров, специалистов по данным и бизнес-аналитиков, желающих освоить инструменты для оценки влияния маркетинга, цен и других рычагов на бизнес-показатели.</t>
  </si>
  <si>
    <t>Computational Aspects of Psychometric Methods: With R</t>
  </si>
  <si>
    <t>Patricia Martinková</t>
  </si>
  <si>
    <t>Computational Aspects of Psychometric Methods With R.pdf</t>
  </si>
  <si>
    <t>Эта книга посвящена вычислительным аспектам психометрических методов, используемых для разработки измерительных инструментов и анализа данных в социальных науках. В ней рассматриваются ключевые темы психометрики, такие как валидность, надежность, анализ заданий, модели теории ответа на пункты и компьютеризированное адаптивное тестирование. Особое внимание уделяется статистическим моделям, сравнению методов оценки и их практической реализации на языке R с примерами реальных данных. Издание предназначено для исследователей в области образования, психологии и здравоохранения, а также для специалистов, желающих углубить свои аналитические навыки в работе с поведенческими измерениями.</t>
  </si>
  <si>
    <t>Data Analysis with Microsoft Power BI</t>
  </si>
  <si>
    <t>Brian Larson</t>
  </si>
  <si>
    <t>Data Analysis with Microsoft Power Bi.pdf</t>
  </si>
  <si>
    <t>Книга Брайана Ларсона посвящена практическому освоению Microsoft Power BI для создания интерактивных визуализаций и извлечения бизнес-аналитики из корпоративных данных. Ключевые разделы охватывают архитектуру Power BI, взаимодействие с отчетами и сервисом PowerBI.com, создание визуализаций (от базовых до продвинутых с пользовательскими элементами), а также построение моделей данных, включая загрузку, трансформацию и создание мер и вычисляемых столбцов. Издание предназначено для специалистов начального и среднего уровня, стремящихся освоить самообслуживаемую аналитику и эффективно работать с данными.</t>
  </si>
  <si>
    <t>Data Analysis with Python and PySpark</t>
  </si>
  <si>
    <t>Jonathan Rioux</t>
  </si>
  <si>
    <t>Data Analysis with Python and PySpark (Final Release) 2022.pdf</t>
  </si>
  <si>
    <t>Книга Джонатана Риу «Data Analysis with Python and PySpark» посвящена использованию PySpark для анализа данных. В ней подробно объясняется разница между RDD (независимыми записями) и DataFrame (структурированными колонками), а также рассматриваются основы работы с данными: чтение, трансформация, фильтрация, группировка и объединение таблиц. Издание предназначено для специалистов начального и среднего уровня, желающих освоить масштабируемый анализ данных с помощью PySpark.</t>
  </si>
  <si>
    <t>Data Mining: Concepts and Techniques</t>
  </si>
  <si>
    <t>Jiawei Han; Jian Pei; Hanghang Tong</t>
  </si>
  <si>
    <t>Data Mining Concepts and Techniques 4Ed.pdf</t>
  </si>
  <si>
    <t>Это четвёртое издание фундаментального учебника по интеллектуальному анализу данных (Data Mining), охватывающее полный цикл извлечения знаний из данных. Книга подробно рассматривает ключевые концепции и методы, включая многомерное обобщение, поиск частых паттернов, классификацию, регрессию, кластеризацию, глубокое обучение и анализ выбросов. Издание предназначено для специалистов и исследователей в области Data Science, а также может служить продвинутым учебным пособием для студентов, предполагая наличие базовой подготовки в области статистики и баз данных.</t>
  </si>
  <si>
    <t>Data Mining. Извлечение информации из Facebook, Twitter, LinkedIn, Instagram, GitHub</t>
  </si>
  <si>
    <t>Мэтью Рассел; Михаил Классен</t>
  </si>
  <si>
    <t>Data Mining.pdf</t>
  </si>
  <si>
    <t>Книга посвящена извлечению и анализу данных из популярных социальных сетей (Twitter, Facebook, LinkedIn, Instagram, GitHub), а также веб-страниц, блогов и электронной почты. Ключевые разделы охватывают исследование актуальных тем, анализ дружественных связей, компьютерное зрение, классификацию профессий и обработку текстов. Издание предназначено для исследователей, аналитиков и разработчиков, владеющих Python, и предполагает практическую работу с кодом.</t>
  </si>
  <si>
    <t>Data Science Bookcamp</t>
  </si>
  <si>
    <t>Leonard Apeltsin</t>
  </si>
  <si>
    <t>Data Science Bookcamp.pdf</t>
  </si>
  <si>
    <t>Книга Леонарда Апельцина «Data Science Bookcamp» представляет собой практическое руководство по науке о данных, основанное на пяти сквозных проектах. В ней рассматриваются ключевые алгоритмы машинного обучения и анализа данных, включая кластеризацию (K-means, DBSCAN), снижение размерности (PCA, SVD), обработку текстов (TF-IDF, косинусное сходство), сетевой анализ (PageRank) и контролируемое обучение (логистическая регрессия, случайный лес). Издание предназначено для специалистов, уже имеющих базовые знания Python, и позволяет применить теорию на практике через решение реальных задач, от подсчёта вероятностей до прогнозирования связей в социальных сетях.</t>
  </si>
  <si>
    <t>Data Science in Practice</t>
  </si>
  <si>
    <t>Tom Alby</t>
  </si>
  <si>
    <t>Data Science in Practice.pdf</t>
  </si>
  <si>
    <t>Книга Тома Алби «Data Science in Practice» представляет собой вводное руководство по науке о данных, которое подходит как для новичков, так и для студентов, переходящих к работе с данными. В ней рассматриваются ключевые этапы проектов — от сбора и анализа данных до визуализации, а также даётся введение в язык программирования R и сопутствующие инструменты. Особое внимание уделяется практическим аспектам: методам анализа, типичным ошибкам, этическим вопросам и успешной реализации проектов. Книга предназначена для читателей без глубоких математических знаний и помогает освоить всесторонний подход к работе с данными.</t>
  </si>
  <si>
    <t>Data Science в действии</t>
  </si>
  <si>
    <t>Леонард Апельцин</t>
  </si>
  <si>
    <t>Data Science в действии.pdf</t>
  </si>
  <si>
    <t>Книга Леонарда Апельцина «Data Science в действии» посвящена практическому применению науки о данных и машинного обучения на языке Python через выполнение пяти реальных проектов. Ключевые разделы охватывают вычисление вероятностей, статистический анализ, кластеризацию данных, NLP-анализ текстов и визуализацию, с акцентом на решение типичных проблем, таких как пропущенные данные и несоответствие алгоритмов. Издание предназначено для специалистов уровня «для профессионалов», желающих получить практические навыки и уверенность в работе с реальными проектами.</t>
  </si>
  <si>
    <t>Data Science from Scratch</t>
  </si>
  <si>
    <t>Joel Grus</t>
  </si>
  <si>
    <t>Data Science Наука о данных с нуля.pdf</t>
  </si>
  <si>
    <t>Книга Джоэла Граса «Data Science. Наука о данных с нуля» представляет собой практическое введение в науку о данных, охватывающее основы Python, линейной алгебры, статистики и теории вероятностей. Ключевые разделы включают алгоритмы машинного обучения (k-ближайших соседей, наивный байес, регрессии, деревья решений, нейронные сети), методы обработки естественного языка и анализа социальных сетей, а также работу с базами данных и MapReduce. Второе издание дополнено темами глубокого обучения, этики данных и рекуррентных нейронных сетей. Книга предназначена для начинающих аналитиков данных, желающих освоить предмет с нуля и применить знания на практике.</t>
  </si>
  <si>
    <t>Data Visualization for People of All Ages</t>
  </si>
  <si>
    <t>Nancy Organ</t>
  </si>
  <si>
    <t>Data Visualization for People of All Ages.pdf</t>
  </si>
  <si>
    <t>Книга «Data Visualization for People of All Ages» представляет собой практическое руководство по визуальной грамотности, обучающее основам работы с данными через такие элементы, как цвет, угол, положение и длина. Автор знакомит читателей с традиционными графиками и диаграммами, а также с современными темами, включая сонификацию данных и физическую визуализацию. Издание предназначено для людей любого возраста и уровня подготовки, включая полных новичков, и не требует навыков программирования или работы со сложным программным обеспечением.</t>
  </si>
  <si>
    <t>Data Visualization with Python and JavaScript, 2nd Edition</t>
  </si>
  <si>
    <t>Kyran Dale</t>
  </si>
  <si>
    <t>Data Visualization with Python and JavaScript, 2nd Edition.pdf</t>
  </si>
  <si>
    <t>Книга «Data Visualization with Python and JavaScript» (второе издание) автора Кайрана Дейла посвящена созданию интерактивных веб-визуализаций из необработанных данных с использованием лучших библиотек Python и JavaScript. Ключевая концепция — построение «моста» между двумя языками, что позволяет специалистам, владеющему одним из них, легко освоить другой для решения задач визуализации. В первой главе рассматриваются сходства и различия Python и JavaScript, а также настройка среды обучения и основные синтаксические конструкции. Книга предназначена для специалистов по данным, аналитиков и разработчиков, уже имеющих базовые навыки программирования на одном из этих языков.</t>
  </si>
  <si>
    <t>Data Analysis with Python: Introducing NumPy, Pandas, Matplotlib, and Essential Elements of Python Programming</t>
  </si>
  <si>
    <t>Rituraj Dixit</t>
  </si>
  <si>
    <t>Data.Analysis.with.Python.epub</t>
  </si>
  <si>
    <t>Книга «Data Analysis with Python» Риттураджа Диксита представляет собой вводное руководство по анализу данных с использованием Python, охватывающее основы языка, библиотеки NumPy, Pandas и Matplotlib. Ключевые разделы включают настройку среды, работу с типами данных, циклами, функциями, файлами, а также пошаговый разбор практического кейса анализа данных. Издание предназначено для начинающих, желающих освоить инструменты анализа данных и программирования на Python с нуля.</t>
  </si>
  <si>
    <t>Data Governance: The Definitive Guide</t>
  </si>
  <si>
    <t>Evren Eryurek; Uri Gilad; Valliappa Lakshmanan; Anita Kibunguchy-Grant; Jessi Ashdown</t>
  </si>
  <si>
    <t>Data_Governance_The_Definitive_Guide_People,_Processes,_and_Tool.pdf</t>
  </si>
  <si>
    <t>Книга «Data Governance: The Definitive Guide» посвящена управлению данными и доверию к ним, рассматривая людей, процессы и инструменты для обеспечения качества, защиты и безопасности данных. Ключевые концепции включают целостный подход к управлению, классификацию и контроль доступа, а также отличие управления данными от их обеспечения и безопасности. Издание предназначено для специалистов по данным и руководителей, стремящихся внедрить современные практики управления, и будет полезно как новичкам, так и опытным профессионалам.</t>
  </si>
  <si>
    <t>Data Science for Beginners: 4 Books in 1: Python Programming, Data Analysis, Machine Learning. A Complete Overview for Beginners to Master The Art of Data Science From Scratch Using Python</t>
  </si>
  <si>
    <t>Andrew Park</t>
  </si>
  <si>
    <t>Data_Science_for_Beginners_4_Books_in_1_Python_Programming.epub</t>
  </si>
  <si>
    <t>Эта книга представляет собой комплексное руководство по науке о данных для новичков, охватывающее программирование на Python, анализ данных и машинное обучение. Ключевые разделы включают установку Python, типы данных, переменные, операторы, структуры управления, функции, объектно-ориентированное программирование, деревья решений и работу с файлами. Материал предназначен для начинающих, желающих освоить науку о данных с нуля, и подчеркивает практическую пользу Python для анализа данных и построения моделей ИИ.</t>
  </si>
  <si>
    <t>Data Science from Scratch: First Principles with Python</t>
  </si>
  <si>
    <t>Data_Science_from_Scratch 2019.pdf</t>
  </si>
  <si>
    <t>Это второе издание книги «Data Science from Scratch» Джоэла Груса, посвященное изучению основ науки о данных с нуля с использованием Python. Книга охватывает такие ключевые концепции, как статистика, глубокое обучение и обработка естественного языка, при этом весь код переписан на Python 3.6 с акцентом на чистый код и работу с реальными наборами данных. Издание предназначено для новичков, желающих получить практическое введение в data science, и включает обновленные примеры и исправления по сравнению с первой версией.</t>
  </si>
  <si>
    <t>Нолис Жаклин; Робинсон Эмили</t>
  </si>
  <si>
    <t>Data_Science_для_карьериста_2021_Нолис_Жаклин,_Робинсон_Эмили.pdf</t>
  </si>
  <si>
    <t>Книга «Data Science для карьериста» посвящена построению успешной карьеры в области Data Science, объединяя технические навыки и «мягкие навыки». Ключевые разделы охватывают типы компаний и вакансий, способы получения навыков (образование, буткемпы, самообучение), создание портфолио, а также процесс поиска работы, составления резюме и прохождения интервью. Издание предназначено как для новичков, желающих получить первую работу в Data Science, так и для практикующих специалистов, стремящихся к карьерному росту.</t>
  </si>
  <si>
    <t>Data Science. Инсайдерская информация для новичков. Включая язык R</t>
  </si>
  <si>
    <t>О’Нил Кэти; Шатт Рэйчел</t>
  </si>
  <si>
    <t>Data_Science_Инсайдерская_информация_для_новичков.pdf</t>
  </si>
  <si>
    <t>Книга «Data Science. Инсайдерская информация для новичков. Включая язык R» представляет собой вводный курс по науке о данных, основанный на программе Колумбийского университета. Она охватывает такие ключевые темы, как байесовский метод, статистические алгоритмы, финансовое моделирование, рекомендательные системы, визуализация данных и MapReduce. Издание предназначено для начинающих специалистов-аналитиков, желающих освоить исследование данных для преобразования бизнес-моделей.</t>
  </si>
  <si>
    <t>Data_Science_Наука_о_данных_с_нуля_Грас_2021.pdf</t>
  </si>
  <si>
    <t>Книга «Data Science. Наука о данных с нуля» Джоэла Граса представляет собой практическое введение в науку о данных и машинное обучение с использованием языка Python. В ней рассматриваются ключевые концепции, включая линейную алгебру, статистику, теорию вероятностей, а также алгоритмы машинного обучения, такие как k-ближайшие соседи, наивный байесовский классификатор, линейная и логистическая регрессия, деревья решений, нейронные сети и кластеризация. Второе издание дополнено темами глубокого обучения, обработки естественного языка, рекуррентных нейронных сетей и этики данных. Издание ориентировано на аналитиков данных и новичков, желающих освоить науку о данных с нуля.</t>
  </si>
  <si>
    <t>Pandas. Работа с данными</t>
  </si>
  <si>
    <t>Devpractice Team; Абдрахманов М.И.</t>
  </si>
  <si>
    <t>devpractice.ru</t>
  </si>
  <si>
    <t>Devpractice_Team_Pandas_Работа_с_данными_2_е_изд_2020.pdf</t>
  </si>
  <si>
    <t>Книга посвящена библиотеке pandas для работы с данными на языке Python. В ней рассматриваются ключевые концепции, такие как структуры данных Series и DataFrame, доступ к данным, типы данных, обработка пропусков, а также объединение и группировка данных. Особое внимание уделяется практическим примерам, включая работу с временными рядами, статистикой и визуализацией. Издание ориентировано на читателей, уже имеющих базовые знания Python, и подходит как для новичков, так и для специалистов, желающих углубить навыки анализа данных.</t>
  </si>
  <si>
    <t>Effective Data Analysis</t>
  </si>
  <si>
    <t>Mona Khalil</t>
  </si>
  <si>
    <t>Effective Data Analysis_Final.pdf</t>
  </si>
  <si>
    <t>Книга Моны Халил «Effective Data Analysis» посвящена развитию как технических, так и межличностных навыков, необходимых для карьерного роста аналитика данных. Ключевые разделы охватывают постановку вопросов и проверку гипотез, методы измерения (включая параметрическую и непараметрическую статистику), а также инструментарий аналитика, включая работу с конфиденциальными данными и статистическое моделирование. Издание предназначено для практикующих специалистов и новичков, стремящихся систематизировать знания и ускорить свой карьерный рост в аналитике.</t>
  </si>
  <si>
    <t>Effective Data Science Infrastructure How to make data scientists productive</t>
  </si>
  <si>
    <t>Ville (Villa) Tuulos</t>
  </si>
  <si>
    <t>Effective Data Science Infrastructure How to make data scien 2022.pdf</t>
  </si>
  <si>
    <t>Книга Вилле Туулоса «Effective Data Science Infrastructure» посвящена проектированию инфраструктуры для data science, которая делает разработку и внедрение моделей машинного обучения простыми и доступными. Ключевая концепция — переход от «возможного» к «легкому» через фокус на пользовательском опыте и использование облачных технологий, а основные разделы охватывают полный стек: от инструментов (Metaflow) и вычислительного слоя до продакшена и работы с моделями. Книга предназначена для специалистов по данным и инженеров, стремящихся самостоятельно создавать продуктивные системы, ранее доступные лишь крупным компаниям.</t>
  </si>
  <si>
    <t>Experimentation for Engineers: From A/B testing to Bayesian optimization</t>
  </si>
  <si>
    <t>David Sweet</t>
  </si>
  <si>
    <t>Experimentation for Engineers 2022.pdf</t>
  </si>
  <si>
    <t>Эта книга посвящена экспериментальным методам оптимизации инженерных систем, таким как алгоритмы рекомендаций, рекламы и количественные торговые стратегии. Автор, Дэвид Свит, рассматривает A/B-тестирование, многорукие бандиты, методологию поверхности отклика, контекстные бандиты и байесовскую оптимизацию, подчеркивая их взаимосвязь. Материал представлен в виде текста, математических формул и программного кода, что делает его доступным для инженеров (ML, финансовых и программных), уже имеющих базовый опыт работы с системами.</t>
  </si>
  <si>
    <t>Fundamentals of Data Visualization</t>
  </si>
  <si>
    <t>Claus O. Wilke</t>
  </si>
  <si>
    <t>Fundamentals_of_Data_Visualization_A_Primer_on_Making_Informativ.pdf</t>
  </si>
  <si>
    <t>Книга Клауса Уилке «Основы визуализации данных» представляет собой практическое руководство по созданию информативных и убедительных графиков. В ней рассматриваются концептуальные основы эффективной визуализации, включая отображение данных на эстетические параметры, работу с координатными системами и осями, использование цветовых шкал, а также каталог различных типов графиков (распределения, пропорции, пространственные данные). Издание предназначено как для новичков, желающих освоить базовые принципы, так и для опытных специалистов, стремящихся улучшить свои навыки и понять, почему одни графики работают лучше других.</t>
  </si>
  <si>
    <t>GArtner</t>
  </si>
  <si>
    <t>DOCX</t>
  </si>
  <si>
    <t>GArtner.docx</t>
  </si>
  <si>
    <t>Книга посвящена методологии и практическим подходам к аналитике в бизнесе, с акцентом на использование данных для принятия стратегических решений. Ключевые концепции включают построение аналитических моделей, оценку эффективности бизнес-процессов и применение инструментов прогнозирования. Издание предназначено для специалистов среднего уровня, уже знакомых с основами анализа данных, а также для менеджеров, стремящихся внедрить data-driven подход в управление.</t>
  </si>
  <si>
    <t>Graph Algorithms for Data Science</t>
  </si>
  <si>
    <t>Tomaz Bratanic</t>
  </si>
  <si>
    <t>Graph_Algorithms_for_Data_Science_MEAP6.pdf</t>
  </si>
  <si>
    <t>Эта книга Томажа Братанича посвящена графовым алгоритмам и их применению в анализе данных, начиная с основ теории графов и заканчивая машинным обучением на графах. Ключевые разделы охватывают построение графов из структурированных и неструктурированных данных, использование языка запросов Cypher, алгоритмы PageRank и обнаружения сообществ, а также методы встраивания узлов и графовые нейронные сети. Издание рассчитано на широкую аудиторию — от новичков, не имеющих опыта работы с графами, до более опытных пользователей, желающих углубить свои знания.</t>
  </si>
  <si>
    <t>Gras Data_Science_from_Scratch 2015.pdf</t>
  </si>
  <si>
    <t>Книга Джоэла Груса «Data Science from Scratch» посвящена изучению основ науки о данных и машинного обучения через реализацию алгоритмов с нуля на языке Python. Ключевые разделы охватывают линейную алгебру, статистику, вероятности, а также модели, такие как k-ближайшие соседи, наивный байесовский классификатор, линейная и логистическая регрессия, деревья решений, нейронные сети и кластеризация. Издание предназначено для читателей с базовыми математическими знаниями и навыками программирования, желающих глубоко понять внутреннее устройство инструментов data science, а не просто использовать готовые библиотеки.</t>
  </si>
  <si>
    <t>Learning Pandas 2.0: A Comprehensive Guide to Data Manipulation and Analysis for Data Scientists and Machine Learning Professionals</t>
  </si>
  <si>
    <t>Matthew Rosch</t>
  </si>
  <si>
    <t>GitforGits</t>
  </si>
  <si>
    <t>Learnig Pandas 2-0.pdf</t>
  </si>
  <si>
    <t>Книга «Learning Pandas 2.0» представляет собой практическое руководство по работе с библиотекой Pandas для анализа и манипуляции данными. Она охватывает ключевые концепции, такие как структуры данных (Series и DataFrame), чтение и запись данных в различных форматах, индексацию, объединение таблиц, работу с временными рядами и оптимизацию производительности. Издание предназначено для специалистов по данным и машинному обучению, обладающих базовыми знаниями Python, и подходит как для новичков, так и для практикующих аналитиков.</t>
  </si>
  <si>
    <t>Learning AI Tools in Tableau</t>
  </si>
  <si>
    <t>Ann Jackson</t>
  </si>
  <si>
    <t>Learning_AI_Tools_in_Tableau_True.pdf</t>
  </si>
  <si>
    <t>Книга Энн Джексон «Learning AI Tools in Tableau» посвящена интеграции инструментов искусственного интеллекта — Tableau Pulse и Tableau Agent — в платформу Tableau для улучшения анализа и визуализации данных. Автор объясняет функционал этих инструментов, их развертывание в соответствии с бизнес-целями и рассматривает роль ИИ в стратегических обсуждениях, подкрепляя материал реальными примерами из разных отраслей. Издание предназначено для профессионалов, работающих с аналитическими платформами, и требует базового знакомства с Tableau, но будет полезно как специалистам, так и тем, кто хочет освоить новые возможности ИИ в визуальной аналитике.</t>
  </si>
  <si>
    <t>Tomaž Bratanic</t>
  </si>
  <si>
    <t>Manning.Graph.Algorithms.for.Data.Science.pdf</t>
  </si>
  <si>
    <t>Книга Томажа Братанича «Graph Algorithms for Data Science» посвящена применению графовых алгоритмов и машинного обучения для анализа данных, с практическими примерами на языке Cypher и в среде Neo4j. Ключевые разделы охватывают моделирование графов, социальный сетевой анализ (поиск сообществ, центральных узлов), а также графовое машинное обучение (предсказание связей, классификация узлов). Издание предназначено для специалистов по данным и инженеров, уже имеющих базовые знания в области анализа данных, которые хотят освоить графовый подход к решению задач.</t>
  </si>
  <si>
    <t>Mastering Data Analysis with Python: A Comprehensive Guide to NumPy, Pandas, and Matplotlib</t>
  </si>
  <si>
    <t>Rajender Kumar</t>
  </si>
  <si>
    <t>Mastering.Data.Analysis.with.Python.pdf</t>
  </si>
  <si>
    <t>Эта книга представляет собой практическое руководство по анализу данных на Python, сфокусированное на библиотеках NumPy, Pandas и Matplotlib. Она построена по принципу последовательного изучения глав, содержит примеры, упражнения и кейсы для закрепления материала. Издание предназначено для читателей, увлеченных программированием и технологиями, которые стремятся углубить свои знания в области обработки и визуализации данных. Книга рассчитана на уровень от начинающего до продолжающего специалиста, желающего освоить инструменты для работы с данными.</t>
  </si>
  <si>
    <t>Pandas. Работа с данными.pdf</t>
  </si>
  <si>
    <t>Книга посвящена библиотеке pandas для работы с данными на языке Python. В ней рассматриваются ключевые структуры данных Series и DataFrame, способы доступа к данным, типы данных, работа с пропусками, а также объединение и группировка данных. Издание содержит подробные практические примеры и предназначено для читателей, желающих освоить pandas с нуля или углубить свои знания.</t>
  </si>
  <si>
    <t>Pandas for Everyone: Python Data Analysis, 2nd Edition</t>
  </si>
  <si>
    <t>Daniel Y. Chen</t>
  </si>
  <si>
    <t>Pandas.for.Everyone.Python.Data.Analysis.epub</t>
  </si>
  <si>
    <t>Эта книга представляет собой практическое руководство по использованию библиотеки Pandas на языке Python для автоматизации и выполнения задач анализа данных любого объёма и сложности. Ключевые концепции включают управление данными, обеспечение их достоверности, визуализацию для принятия решений и воспроизводимость анализа на множестве наборов данных. Издание предназначено для аналитиков, желающих освоить Pandas с нуля или углубить свои навыки, и подходит как новичкам, так и специалистам, стремящимся автоматизировать рутинные операции с данными.</t>
  </si>
  <si>
    <t>Pandas.for.Everyone.Python.Data.Analysis.pdf</t>
  </si>
  <si>
    <t>Книга «Pandas for Everyone: Python Data Analysis» Дэниела Чена посвящена автоматизации и управлению анализом данных с помощью библиотеки Pandas в Python. Она охватывает ключевые концепции работы с данными, включая их проверку, визуализацию и воспроизводимый анализ, и структурирована на несколько частей, включая приложения. Издание предназначено как для новичков, так и для опытных программистов на Python, а также для преподавателей, желающих освоить или обучать работе с большими и сложными наборами данных.</t>
  </si>
  <si>
    <t>Pandas_Работа с данными-_2020.pdf</t>
  </si>
  <si>
    <t>Книга представляет собой практическое руководство по библиотеке Pandas для работы с данными на языке Python. В ней рассматриваются основные структуры данных Series и DataFrame, методы доступа к данным, типы данных, обработка пропусков, а также операции удаления, объединения и группировки. Издание ориентировано на читателей, уже имеющих базовые знания Python, и содержит множество подробных примеров для освоения инструментов анализа и визуализации данных.</t>
  </si>
  <si>
    <t>Practical Statistics for Data Scientists</t>
  </si>
  <si>
    <t>Peter Bruce; Andrew Bruce; Peter Gedeck</t>
  </si>
  <si>
    <t>Practical Statistics... by Peter Bruce  Andrew.pdf</t>
  </si>
  <si>
    <t>Это фрагмент книги «Practical Statistics for Data Scientists» (второе издание) Питера Брюса, Эндрю Брюса и Питера Гедека, которая представляет собой практическое руководство по статистике для специалистов по данным. Книга охватывает более 50 ключевых концепций, включая исследовательский анализ данных, оценки положения и изменчивости, а также работу с распределениями и категориальными данными. Издание предназначено для практикующих специалистов и аналитиков, уже знакомых с основами программирования на R или Python, и предлагает прикладные примеры, а не углублённую теорию.</t>
  </si>
  <si>
    <t>Practice R: An interactive textbook</t>
  </si>
  <si>
    <t>Edgar J. Treischl</t>
  </si>
  <si>
    <t>Walter de Gruyter GmbH</t>
  </si>
  <si>
    <t>Practice R_An interactive textbook.pdf</t>
  </si>
  <si>
    <t>Эта книга представляет собой практическое руководство по языку программирования R, ориентированное на социальные науки. Она охватывает полный цикл работы с данными: от первых шагов в R и RStudio до продвинутых тем, таких как автоматизация отчётов, веб-скрапинг и работа с API. Ключевые разделы включают исследование и обработку данных, регрессионный анализ, визуализацию с помощью ggplot2 и создание воспроизводимых отчётов в R Markdown. Учебник предназначен для читателей без предварительных знаний R, но предполагает наличие базовой статистической подготовки.</t>
  </si>
  <si>
    <t>Python and R for the Modern Data Scientist</t>
  </si>
  <si>
    <t>Rick J. Scavetta; Boyan Angelov</t>
  </si>
  <si>
    <t>Python and R for the Modern Data Scientist The Best of Both Worlds (Fourth Early Release) [2021] Rick J. Scavetta, Boyan Angelov.epub</t>
  </si>
  <si>
    <t>Книга «Python and R for the Modern Data Scientist» посвящена эффективному использованию обоих языков программирования в науке о данных, подчеркивая важность гибкого выбора инструментов в зависимости от контекста. Авторы отходят от бесплодных споров «Python против R» и предлагают рассматривать их как взаимодополняющие средства, описывая историю языков и вводя концепцию «современной науки о данных», основанную на принципах коллективности, простоты, доступности и этичности. Издание предназначено для практикующих специалистов по данным из сообществ Python и R, стремящихся расширить свой инструментарий и освоить работу в обеих средах.</t>
  </si>
  <si>
    <t>Python Data Science</t>
  </si>
  <si>
    <t>Chaolemen Borjigin</t>
  </si>
  <si>
    <t>Publishing House of Electronics Industry</t>
  </si>
  <si>
    <t>Python Data Science 2023.pdf</t>
  </si>
  <si>
    <t>Данный фрагмент представляет собой предисловие к учебнику по Python для науки о данных и больших данных. Автор критикует существующие пособия за непонимание специфики Python, избыточность объяснений для тех, кто уже знает Java или C, и перекос в сторону теории. Книга предназначена для читателей, уже имеющих опыт программирования на других языках, и стремится исправить эти недостатки через практико-ориентированный подход.</t>
  </si>
  <si>
    <t>Python Polars: The Definitive Guide</t>
  </si>
  <si>
    <t>Jeroen Janssens; Thijs Nieuwdorp</t>
  </si>
  <si>
    <t>Python Polars подробное руководство.pdf</t>
  </si>
  <si>
    <t>Книга представляет собой подробное руководство по библиотеке Polars для языка Python, предназначенной для высокопроизводительной обработки и анализа данных. В ней рассматриваются ключевые концепции, такие как быстродействие, удобство использования и рациональное использование ресурсов, а также практические примеры, включая процесс ETL (извлечение, преобразование, загрузка) и визуализацию данных. Издание будет полезно широкому кругу специалистов по работе с данными независимо от уровня их квалификации.</t>
  </si>
  <si>
    <t>Python для data science</t>
  </si>
  <si>
    <t>Васильев Юлий</t>
  </si>
  <si>
    <t>Python для data science.pdf</t>
  </si>
  <si>
    <t>Книга Юлия Васильева «Python для data science» представляет собой практическое руководство по использованию Python для анализа данных, охватывающее полный цикл работы: от загрузки и очистки данных до построения моделей машинного обучения. Ключевые разделы включают работу со структурами данных Python, библиотеками NumPy, pandas, scikit-learn и matplotlib, а также агрегирование, объединение датасетов и визуализацию. Издание предназначено для программистов, желающих освоить современные методы анализа данных для решения бизнес-задач, маркетинга и поддержки принятия решений, и подходит как для новичков в data science, так и для специалистов, стремящихся углубить знания.</t>
  </si>
  <si>
    <t>Python для сложных задач: наука о данных. 2-е междунар. изд.</t>
  </si>
  <si>
    <t>Джейк Вандер Плас</t>
  </si>
  <si>
    <t>Python для сложных задач.pdf</t>
  </si>
  <si>
    <t>Эта книга представляет собой подробное руководство по научным вычислениям и анализу данных на языке Python, охватывающее ключевые библиотеки стека: IPython/Jupyter, NumPy, Pandas, Matplotlib и Scikit-Learn. Основное содержание разделено на части, посвященные интерактивной работе и отладке, работе с массивами в NumPy, манипуляциям и обработке данных с помощью Pandas, а также визуализации в Matplotlib. Издание предназначено для специалистов по обработке данных, уже знакомых с Python, которые хотят углубить свои навыки в решении повседневных задач, таких как подготовка данных, построение статистических и ML-моделей.</t>
  </si>
  <si>
    <t>Python for Data Analysis</t>
  </si>
  <si>
    <t>Wes McKinney</t>
  </si>
  <si>
    <t>Python и анализ данных.pdf</t>
  </si>
  <si>
    <t>Книга Уэса Маккинли представляет собой практическое введение в разработку научных приложений на Python для обработки и анализа данных. В ней рассматриваются ключевые библиотеки, такие как IPython, NumPy, pandas и matplotlib, необходимые для решения аналитических задач. Издание предназначено как для начинающих аналитиков, так и для опытных программистов на Python, не знакомых с научными приложениями.</t>
  </si>
  <si>
    <t>Python и наука о данных для чайников</t>
  </si>
  <si>
    <t>python и наука о данных для чайников.djvu</t>
  </si>
  <si>
    <t>Эта книга представляет собой введение в использование языка Python для анализа данных и научных вычислений, ориентированное на начинающих. В ней рассматриваются ключевые библиотеки, такие как NumPy для работы с массивами, Pandas для обработки табличных данных и Matplotlib для визуализации. Также затрагиваются основы машинного обучения и статистического анализа. Материал изложен доступно для читателей без глубоких знаний программирования, желающих освоить data science с нуля.</t>
  </si>
  <si>
    <t>Python и наука о данных для чайников.pdf</t>
  </si>
  <si>
    <t>Данный фрагмент книги «Python и наука о данных для чайников» знакомит читателя с основами использования языка программирования Python для анализа данных. Ключевые концепции включают работу с библиотеками, такими как pandas и NumPy, а также базовые методы обработки и визуализации данных. Книга предназначена для новичков, не имеющих глубоких знаний в программировании или статистике, и предлагает пошаговое введение в науку о данных.</t>
  </si>
  <si>
    <t>Python Data Science Handbook</t>
  </si>
  <si>
    <t>Jake VanderPlas</t>
  </si>
  <si>
    <t>Python.Data.Science.Handbook.pdf</t>
  </si>
  <si>
    <t>Это второе издание практического руководства по ключевым инструментам Python для работы с данными, охватывающее библиотеки IPython, NumPy, pandas, Matplotlib и Scikit-Learn. Книга учит эффективно хранить, обрабатывать, визуализировать данные и строить на их основе статистические и машинно-обучающие модели. Издание предназначено для практикующих учёных и аналитиков, уже знакомых с основами Python, и содержит множество наглядных примеров для решения повседневных задач.</t>
  </si>
  <si>
    <t>Python for Data Science</t>
  </si>
  <si>
    <t>Yuli Vasiliev</t>
  </si>
  <si>
    <t>Python.for.Data.Science.A.Hands-On.Introduction.epub</t>
  </si>
  <si>
    <t>Эта книга представляет собой практическое руководство по использованию Python для анализа данных, охватывающее полный цикл обработки информации: от получения данных из файлов, API и баз данных до их очистки, трансформации, агрегации и визуализации. Ключевые разделы включают работу с библиотеками NumPy, pandas и scikit-learn, а также анализ временных рядов, пространственных данных и извлечение инсайтов с помощью алгоритма Apriori. Издание предназначено для начинающих специалистов, желающих освоить современные методы обработки данных на Python через выполнение практических примеров и упражнений.</t>
  </si>
  <si>
    <t>R in Action, Third Edition</t>
  </si>
  <si>
    <t>Robert I. Kabacoff</t>
  </si>
  <si>
    <t>R in Action, Third Edition 2022.pdf</t>
  </si>
  <si>
    <t>Книга «R in Action, Third Edition» Роберта Кабакоффа представляет собой практическое руководство по статистическому анализу и визуализации данных с использованием языка R и пакетов Tidyverse. Она охватывает полный цикл работы с данными: от установки R и RStudio, очистки и управления данными до построения графиков с помощью ggplot2, а также включает продвинутые методы, такие как регрессия, анализ временных рядов и машинное обучение. Издание предназначено как для новичков, желающих освоить R с нуля, так и для опытных специалистов, стремящихся углубить свои знания в области статистического моделирования и программирования.</t>
  </si>
  <si>
    <t>R in Action: Data Analysis and Graphics with R and Tidyverse</t>
  </si>
  <si>
    <t>Москва</t>
  </si>
  <si>
    <t>R в действии.pdf</t>
  </si>
  <si>
    <t>Книга «R в действии» Роберта Кабакова представляет собой практическое руководство по статистическому анализу и визуализации данных с использованием языка R и пакетов Tidyverse. Она охватывает широкий спектр тем: от основ работы с данными и построения базовых диаграмм до методов средней и повышенной сложности, включая регрессию, кластерный анализ, классификацию и анализ временных рядов. Издание предназначено для специалистов по обработке данных разного уровня — от новичков, только начинающих знакомство с R, до опытных аналитиков, желающих расширить свои навыки в области машинного обучения и продвинутой визуализации.</t>
  </si>
  <si>
    <t>Forecasting: Principles and Practice</t>
  </si>
  <si>
    <t>Rob J Hyndman; George Athanasopoulos</t>
  </si>
  <si>
    <t>R-прогнозирование_принципы_и_практика.pdf</t>
  </si>
  <si>
    <t>Эта книга представляет собой всестороннее введение в методы прогнозирования, основанное на практическом применении языка R. Авторы, Рон Хайндман и Джордж Атанасопулос, рассматривают ключевые концепции, включая прогнозирование временных рядов, работу с трендами, сезонностью и циклическими закономерностями, а также описывают базовые шаги в задаче прогнозирования. Издание адресовано как специалистам, занимающимся прогнозированием в бизнесе, науке и на производстве, так и студентам и преподавателям, желающим освоить предмет с нуля.</t>
  </si>
  <si>
    <t>R. Книга рецептов</t>
  </si>
  <si>
    <t>Дж. Д. Лонг; Пол Титор</t>
  </si>
  <si>
    <t>R_Книга_рецептов_Проверенные_рецепты_для_статистики,_анализа_и_визуализации.pdf</t>
  </si>
  <si>
    <t>Книга представляет собой практическое руководство по языку R для статистического анализа и визуализации данных, содержащее более 275 рецептов для решения конкретных задач. Основные разделы охватывают работу с векторами, матрицами и фреймами данных, ввод и вывод данных, вероятностные распределения, статистические тесты, построение графиков, линейную регрессию и дисперсионный анализ. Издание предназначено как для новичков, только начинающих знакомство с R, так и для опытных пользователей, желающих расширить свои навыки и работать быстрее.</t>
  </si>
  <si>
    <t>Data Science Concepts and Techniques with Applications</t>
  </si>
  <si>
    <t>Usman Qamar; Muhammad Summair Raza</t>
  </si>
  <si>
    <t>Springer.Data.Science.Concepts.and.Techniques.pdf</t>
  </si>
  <si>
    <t>Книга «Data Science Concepts and Techniques with Applications» представляет собой учебник по науке о данных, охватывающий как введение в дисциплину, так и продвинутые концепции. Ключевые разделы включают предобработку данных, машинное обучение, глубокое обучение, анализ текста и регрессионный анализ, а также практические руководства по Python, R и инструменту WEKA. Издание предназначено для студентов бакалавриата и магистратуры, а также для исследователей и практиков, желающих систематизировать знания в области Data Science.</t>
  </si>
  <si>
    <t>Mathematical Foundations of Data Science</t>
  </si>
  <si>
    <t>Tomas Hrycej; Bernhard Bermeitinger; Matthias Cetto; Siegfried Handschuh</t>
  </si>
  <si>
    <t>Springer.Mathematical.Foundations.of.Data.Science.pdf</t>
  </si>
  <si>
    <t>Книга «Mathematical Foundations of Data Science» посвящена фундаментальным математическим принципам, лежащим в основе науки о данных, таким как подгонка моделей к данным, обобщение и возможности численных алгоритмов. Авторы стремятся восполнить пробел в существующих учебниках, которые часто фокусируются на множестве методов, не объясняя базовые принципы их сравнения и выбора. Издание предназначено для студентов старших курсов бакалавриата и магистратуры в области компьютерных наук, искусственного интеллекта, статистики, а также для специалистов из других дисциплин, решающих задачи Data Science. Книга может использоваться как основа для семестрового курса, дополняясь учебниками по конкретным методам машинного обучения.</t>
  </si>
  <si>
    <t>The Discipline of Data</t>
  </si>
  <si>
    <t>Jerald Savin</t>
  </si>
  <si>
    <t>The Discipline of Data.pdf</t>
  </si>
  <si>
    <t>Книга «The Discipline of Data» Джеролда Савина предназначена для не технических руководителей высшего звена и знакомит их с основами получения и поддержания точных и надежных данных для принятия решений. Автор разбирает фундаментальные концепции работы с данными, включая их генерацию, организацию, хранение, оценку и поддержание качества, а также отвечает на вопросы о характеристиках качественных данных и способах перехода от плохих данных к хорошим. Издание будет полезно C-level руководителям, топ-менеджерам, бизнес-аналитикам и студентам, изучающим аналитику данных.</t>
  </si>
  <si>
    <t>The Kaggle Book</t>
  </si>
  <si>
    <t>Konrad Banachewicz;Luca Massaron</t>
  </si>
  <si>
    <t>The_Kaggle_Book_Data_analysis_and_machine_learning.pdf</t>
  </si>
  <si>
    <t>Книга «The Kaggle Book» посвящена анализу данных и машинному обучению в контексте соревновательного дата-сайенса на платформе Kaggle. Ключевые концепции включают практические стратегии участия в соревнованиях, изучение успешных подходов топ-участников и использование Kaggle для отслеживания актуальных разработок в области ML. Издание предназначено как для новичков, желающих освоить платформу, так и для опытных специалистов, стремящихся повысить свой уровень.</t>
  </si>
  <si>
    <t>Time Series Forecasting in Python</t>
  </si>
  <si>
    <t>Marco Peixeiro</t>
  </si>
  <si>
    <t>Time Series Forecasting in Python.pdf</t>
  </si>
  <si>
    <t>Эта книга посвящена практическому прогнозированию временных рядов с использованием Python. Она охватывает ключевые концепции, такие как стационарность, автокорреляция и дифференцирование, а также пошагово проводит читателя от простых статистических моделей (ARIMA, SARIMA) до методов глубокого обучения (LSTM, CNN) и автоматизации с помощью Prophet. Издание предназначено для специалистов по данным и аналитиков, имеющих базовые знания Python, которые хотят освоить прогнозирование временных рядов от начального до продвинутого уровня.</t>
  </si>
  <si>
    <t>Visualization Techniques for Climate Change with Machine Learning and Artificial Intelligence</t>
  </si>
  <si>
    <t>Srivastav, Arun Lal; Dubey, Ashutosh Kumar; Kumar, Abhishek; Kumar Narang, Sushil; Ali Khan, Moonis</t>
  </si>
  <si>
    <t>Elsevier</t>
  </si>
  <si>
    <t>Visualization Techniques for Climate Change with ML and AI.pdf</t>
  </si>
  <si>
    <t>Книга «Visualization Techniques for Climate Change with Machine Learning and Artificial Intelligence» (2023) под редакцией группы учёных посвящена применению методов визуализации, машинного обучения и ИИ для анализа и смягчения последствий изменения климата. Ключевые разделы охватывают влияние климата на биоразнообразие, водные ресурсы, здоровье человека, а также исторические перспективы и законодательные аспекты, включая использование гибридных моделей для устойчивого управления. Издание предназначено для специалистов и исследователей в области наук о данных, экологии и климатологии, имеющих базовую подготовку в соответствующих дисциплинах.</t>
  </si>
  <si>
    <t>WEB-АНАЛИТИКА НА PYTHON</t>
  </si>
  <si>
    <t>В.В. Мокеев</t>
  </si>
  <si>
    <t>Издательский центр ЮУрГУ</t>
  </si>
  <si>
    <t>WEB-АНАЛИТИКА НА PYTHON.pdf</t>
  </si>
  <si>
    <t>Практикум посвящен применению языка Python для задач веб-аналитики и машинного обучения. Ключевые разделы охватывают анализ и визуализацию данных, методы классификации (деревья решений и Random Forest), а также парсинг веб-сайтов с использованием библиотек Beautiful Soup и Parsel. Книга предназначена для студентов направления «Бизнес-информатика», изучающих проектирование информационных систем и методы анализа, то есть для начинающих специалистов.</t>
  </si>
  <si>
    <t>Руководство по подготовке к Data Science интервью</t>
  </si>
  <si>
    <t>Alimbekov Renat; Ренат Алимбеков</t>
  </si>
  <si>
    <t>_! Руководство по подготовке к DS.pdf</t>
  </si>
  <si>
    <t>Этот фрагмент из руководства Рената Алимбекова посвящён подготовке к собеседованию по Data Science, с акцентом на статистику и теорию вероятности. Ключевые концепции включают центральную предельную теорему, статистическую мощность, методы обработки пропущенных данных, а также подробный разбор нормального распределения, его свойств и способов проверки (правило 68-95-99.7, Z-преобразование). Материал предназначен для соискателей и специалистов начального уровня, готовящихся к техническим интервью.</t>
  </si>
  <si>
    <t>Предварительная подготовка данных в Python: Том 1. Инструменты и валидация</t>
  </si>
  <si>
    <t>Груздев А. В.</t>
  </si>
  <si>
    <t>А_Груздев_Предварительная_подготовка_данных_в_Python,_1_том.pdf</t>
  </si>
  <si>
    <t>Книга Артема Груздева посвящена предварительной подготовке данных в Python и является первым томом двухтомного издания, охватывающего инструменты и методы валидации для задач машинного обучения. В ней рассматриваются ключевые концепции: основы математики (функции, градиентный спуск), структуры данных Python, работа с библиотеками NumPy, IPython и Jupyter Notebook, а также стратегии валидации моделей. Издание предназначено для специалистов по анализу данных, но может быть полезно и широкому кругу читателей, интересующихся машинным обучением.</t>
  </si>
  <si>
    <t>Введение в Google Analytics</t>
  </si>
  <si>
    <t>Петроченков А.</t>
  </si>
  <si>
    <t>А_С_Петроченков_Введение_в_Google аналитику.pdf</t>
  </si>
  <si>
    <t>Книга Александра Петроченкова представляет собой практическое руководство по веб-аналитике с использованием Google Analytics. Основное внимание уделяется анализу поведения пользователей на сайте, работе с воронкой продаж и выявлению проблемных этапов, где теряются клиенты. В издании подробно разбираются принципы работы системы, настройка счетчика, фильтры, UTM-метки, интеграция с рекламными сервисами и определение ключевых показателей эффективности (KPI). Материал ориентирован на начинающих пользователей, которые хотят самостоятельно освоить инструмент и контролировать работу своего веб-ресурса без привлечения наемных специалистов.</t>
  </si>
  <si>
    <t>Алгоритмы Data Science и их практическая реализация на Python</t>
  </si>
  <si>
    <t>Протодьяконов Андрей Владимирович; Пылов Пётр Андреевич; Садовников Владимир Евгеньевич</t>
  </si>
  <si>
    <t>Алгоритмы Data Science и их реализация на Python.pdf</t>
  </si>
  <si>
    <t>Книга посвящена полному каскаду разработки моделей искусственного интеллекта и практической реализации алгоритмов Data Science на языке Python. В ней рассматриваются ключевые концепции машинного обучения, включая подготовку данных, оптимизацию гиперпараметров, метрики и расстояния, а также линейную регрессию и методы оценки моделей. Издание предназначено для студентов, изучающих информационные технологии, и будет полезно как начинающим программистам, так и специалистам высокого уровня.</t>
  </si>
  <si>
    <t>Инфра-Инженерия</t>
  </si>
  <si>
    <t>Алгоритмы_Data_Science_и_их_практическая_реализация_на_Python_2022.pdf</t>
  </si>
  <si>
    <t>Книга посвящена полному каскаду разработки моделей искусственного интеллекта в области Data Science, с акцентом на практическую реализацию алгоритмов машинного обучения на языке Python. В ней рассматриваются такие ключевые концепции, как процесс машинного обучения, подготовка данных, линейная и полиномиальная регрессия, методы оптимизации и метрики оценки моделей. Издание предназначено для студентов, изучающих информационные технологии, и будет полезно как начинающим программистам, так и специалистам высокого уровня.</t>
  </si>
  <si>
    <t>Analyzing Data with Microsoft Power BI and Power Pivot for Excel</t>
  </si>
  <si>
    <t>Alberto Ferrari; Marco Russo</t>
  </si>
  <si>
    <t>Анализ данных Exxcel Pivot.pdf</t>
  </si>
  <si>
    <t>Эта книга посвящена базовым техникам моделирования данных в Excel и Power BI, с акцентом на решение реальных бизнес-задач. Ключевые разделы охватывают работу с одной и множественными таблицами, схему «звезда», фильтрацию через измерения, а также расчеты с датами, календарями и валютами. Издание предназначено как для новичков, так и для специалистов в области моделирования данных, владеющих Excel на среднем или продвинутом уровне.</t>
  </si>
  <si>
    <t>Data-Driven Science and Engineering: Machine Learning, Dynamical Systems, and Control</t>
  </si>
  <si>
    <t>Steven L. Brunton; J. Nathan Kutz</t>
  </si>
  <si>
    <t>Анализ данных_.pdf</t>
  </si>
  <si>
    <t>Книга посвящена применению методов машинного обучения, динамических систем и теории управления для анализа данных в науке и технике. Ключевые концепции включают понижение размерности (например, сингулярное разложение и метод главных компонент), регрессию и работу с многомерными данными. Издание предназначено для студентов старших курсов и аспирантов инженерных и физических специальностей, начиная с вводного уровня и заканчивая современными исследованиями.</t>
  </si>
  <si>
    <t>Behavioral Data Analysis with R and Python</t>
  </si>
  <si>
    <t>Florent Buisson</t>
  </si>
  <si>
    <t>Анализ поведенческих данных.pdf</t>
  </si>
  <si>
    <t>Книга Флорана Бюиссона посвящена анализу поведенческих данных с использованием языков R и Python для улучшения бизнес-результатов. Ключевая концепция — применение причинно-следственного анализа вместо корреляционного, чтобы понять, что движет поведением людей, и избежать ошибок, связанных со спутывающими факторами. Издание предназначено для бизнес-аналитиков и специалистов по данным, уже знакомых с линейной и логистической регрессией.</t>
  </si>
  <si>
    <t>Анализ социальных медиа на Python</t>
  </si>
  <si>
    <t>Анализ социальных медиа на Python.pdf</t>
  </si>
  <si>
    <t>Книга «Анализ социальных медиа на Python» посвящена методам сбора, обработки и анализа данных из социальных сетей с использованием языка программирования Python. В ней рассматриваются ключевые концепции, такие как работа с API социальных платформ, извлечение текстовой информации, сентимент-анализ и визуализация результатов. Издание ориентировано на специалистов и разработчиков, уже имеющих базовые навыки программирования на Python, и стремится дать практические инструменты для решения задач в области data science.</t>
  </si>
  <si>
    <t>Байесовский анализ на Python</t>
  </si>
  <si>
    <t>Освальдо Мартин</t>
  </si>
  <si>
    <t>Байесовский_анализ_на_Python_2020_Освальдо_Мартин.pdf</t>
  </si>
  <si>
    <t>Книга Освальдо Мартина «Байесовский анализ на Python» представляет собой введение в байесовскую статистику и вероятностное программирование с использованием библиотек PyMC3 и ArviZ. В ней рассматриваются основные концепции байесовского вывода, а также практическое построение различных моделей, включая обобщенные линейные, иерархические и смешанные модели. Издание предназначено для специалистов по анализу данных, желающих освоить байесовское моделирование для решения научных задач.</t>
  </si>
  <si>
    <t>The Big Book of Dashboards</t>
  </si>
  <si>
    <t>Steve Wexler; Jeffrey Shaffer; Andy Cotgreave</t>
  </si>
  <si>
    <t>Большая книга дашбордов.pdf</t>
  </si>
  <si>
    <t>Книга посвящена созданию эффективных дашбордов для визуализации данных в реальных бизнес-сценариях. В ней рассматриваются ключевые концепции визуализации, такие как преаттентивные атрибуты, типы данных и работа с цветом, а также разбираются конкретные примеры дашбордов с пояснением выбранных решений. Издание предназначено для специалистов, отвечающих за разработку и применение дашбордов, и будет полезно как новичкам, так и опытным аналитикам.</t>
  </si>
  <si>
    <t>Наука о данных с нуля (Python)</t>
  </si>
  <si>
    <t>Грас</t>
  </si>
  <si>
    <t>Грас Наука о данных с нуля (Python) - превод издания 2015.pdf</t>
  </si>
  <si>
    <t>Книга Дэвида Граса «Наука о данных с нуля» представляет собой введение в науку о данных и машинное обучение с использованием языка Python. В ней последовательно разбираются ключевые концепции, такие как статистика, линейная алгебра, вероятностные распределения, а также алгоритмы машинного обучения, включая регрессию, деревья решений и нейронные сети. Издание ориентировано на новичков, желающих освоить практические основы анализа данных и программирования с нуля.</t>
  </si>
  <si>
    <t>Данные: визуализируй, расскажи, используй. Сторителлинг в аналитике</t>
  </si>
  <si>
    <t>Коул Нассбаумер Нафлик</t>
  </si>
  <si>
    <t>Данные визуализируй расскажи.pdf</t>
  </si>
  <si>
    <t>Книга Коул Нассбаумер Нафлик посвящена сторителлингу в аналитике — искусству превращать данные в убедительные визуальные истории. Ключевые концепции включают важность контекста, выбор эффективных типов визуализации, борьбу с информационным мусором, управление вниманием аудитории и применение принципов дизайна. Издание предназначено для всех, кто работает с аналитикой и создает презентации на основе данных, от новичков до опытных специалистов.</t>
  </si>
  <si>
    <t>Наука о данных: Базовый курс</t>
  </si>
  <si>
    <t>Джон Келлехер; Брендан Тирни</t>
  </si>
  <si>
    <t>Джон_Келлехер_Наука_о_данных_Базовый_курс.epub</t>
  </si>
  <si>
    <t>Эта книга представляет собой введение в науку о данных, объясняя её цель — улучшение принятия решений на основе анализа больших массивов информации. Ключевые разделы охватывают фундаментальные понятия данных, инфраструктуру для работы с большими данными (включая Hadoop), популярные алгоритмы машинного обучения (нейронные сети, глубокое обучение, деревья решений), а также этические вопросы и защиту конфиденциальности. Издание предназначено для новичков, желающих получить принципиальное понимание предмета и его основных элементов.</t>
  </si>
  <si>
    <t>Learning Data Science</t>
  </si>
  <si>
    <t>Sam Lau; Joseph Gonzalez; Deborah Nolan</t>
  </si>
  <si>
    <t>Изучаем Data Science.pdf</t>
  </si>
  <si>
    <t>Книга «Изучаем Data Science» представляет собой практическое руководство по полному циклу анализа данных: от сбора и обработки до построения моделей машинного обучения на Python. Ключевые разделы охватывают работу с pandas и SQL, статистические методы (доверительные интервалы, проверка гипотез), конструирование признаков, а также логистическую регрессию и оптимизацию моделей для классификации текстов. Издание предназначено для начинающих специалистов в области Data Science, аналитиков данных и широкого круга ИТ-специалистов.</t>
  </si>
  <si>
    <t>Изучаем Pandas</t>
  </si>
  <si>
    <t>Изучаем Pandas 2019.pdf</t>
  </si>
  <si>
    <t>Книга «Изучаем Pandas» представляет собой учебное пособие по библиотеке Pandas для языка Python, предназначенное для анализа данных и машинного обучения. В ней рассматриваются ключевые концепции, такие как обработка и анализ данных, работа с временными рядами, а также взаимодействие с другими библиотеками Python (NumPy, SciPy, scikit-learn, matplotlib). Издание ориентировано на читателей, изучающих машинное обучение и анализ данных, и подходит как для новичков, так и для практикующих специалистов.</t>
  </si>
  <si>
    <t>Инженерия данных в Python: Основы анализа данных с помощью Pandas, NumPy и Scikit-learn</t>
  </si>
  <si>
    <t>Инженерия данных в Python.pdf</t>
  </si>
  <si>
    <t>Книга посвящена инженерии данных и подготовке сырых данных к анализу с помощью машинного и глубокого обучения, используя библиотеки Pandas, NumPy и Scikit-learn. В ней рассматриваются такие ключевые концепции, как заполнение пропущенных значений, вычисление скользящих средних, оптимизация типов данных и построение эффективных рабочих процессов. Издание предназначено как для новичков, делающих первые шаги в науке о данных, так и для практикующих специалистов, желающих улучшить свои навыки.</t>
  </si>
  <si>
    <t>Интеллектуальный анализ данных на языке Python</t>
  </si>
  <si>
    <t>Демидова Л. А.</t>
  </si>
  <si>
    <t>МИРЭА – Российский технологический университет</t>
  </si>
  <si>
    <t>Интеллектуальный анализ данных на языке Python.pdf</t>
  </si>
  <si>
    <t>Это учебно-методическое пособие посвящено интеллектуальному анализу данных, а именно поиску ассоциативных правил в базах данных транзакций с использованием языка Python. В книге подробно рассматриваются два ключевых алгоритма — Apriori и FPGrowth, а также их программная реализация и визуализация результатов. Пособие предназначено для магистрантов направления «Программная инженерия» и предполагает выполнение как ручных расчётов, так и экспериментов с реальными наборами данных.</t>
  </si>
  <si>
    <t>Be Data Literate: The Data Literacy Skills Everyone Needs to Succeed</t>
  </si>
  <si>
    <t>Jordan Morrow</t>
  </si>
  <si>
    <t>Kogan Page</t>
  </si>
  <si>
    <t>Как вытащить из данных максимум.pdf</t>
  </si>
  <si>
    <t>Книга Джордана Морроу «Как вытащить из данных максимум» посвящена дата-грамотности — способности читать, работать, анализировать данные и общаться на их языке, что является ключевым навыком в современном цифровом мире. Автор знакомит читателя с четырьмя базовыми уровнями аналитики (описательный, диагностический, предсказательный и предписывающий) и объясняет, как эти методы применяются для принятия эффективных решений. Издание предназначено для неспециалистов и новичков, которые хотят уверенно ориентироваться в данных и извлекать из них максимум пользы для бизнеса и повседневной жизни.</t>
  </si>
  <si>
    <t>Женя</t>
  </si>
  <si>
    <t>Келлехер_Тирни-Наука о данных.pdf</t>
  </si>
  <si>
    <t>Книга «Наука о данных» Джона Келлехера и Брендана Тирни знакомит с основами науки о данных — области, направленной на улучшение принятия решений через анализ больших массивов данных. В ней рассматриваются ключевые концепции: отличие науки о данных от машинного обучения и глубинного анализа, этапы проектов (от бизнес-целей до внедрения), инфраструктура для работы с большими данными (включая Hadoop и гибридные системы), популярные алгоритмы (нейронные сети, деревья решений), а также этические вопросы и регулирование. Издание предназначено для новичков, желающих получить принципиальное понимание предмета без глубокого погружения в технические детали.</t>
  </si>
  <si>
    <t>The Data Science Design Manual</t>
  </si>
  <si>
    <t>Наука о данных учебный курс.pdf</t>
  </si>
  <si>
    <t>Фрагмент представляет собой введение и оглавление книги Стивена Скиены «Наука о данных: учебный курс». Книга охватывает широкий круг тем от основ науки о данных, математики и статистики до машинного обучения, визуализации и работы с большими данными. Ключевые разделы включают манипулирование данными, регрессионный анализ, методы ранжирования и алгоритмы машинного обучения. Издание предназначено для читателей, желающих получить систематическое учебное руководство по науке о данных, начиная с базовых концепций.</t>
  </si>
  <si>
    <t>Кэти О’Нил; Рэйчел Шатт</t>
  </si>
  <si>
    <t>О НИЛ Data Science Инсайдерская информация для новичков.pdf</t>
  </si>
  <si>
    <t>Книга «Data Science. Инсайдерская информация для новичков» Кэти О’Нил и Рэйчел Шатт представляет собой вводный курс по науке о данных, основанный на программе Колумбийского университета. Она охватывает ключевые концепции, такие как байесовский метод, статистические алгоритмы, финансовое моделирование, рекомендательные системы, визуализация данных и MapReduce. Издание предназначено для начинающих специалистов-аналитиков, желающих освоить практические аспекты работы с данными, включая язык R.</t>
  </si>
  <si>
    <t>George Mount; Джордж Маунт</t>
  </si>
  <si>
    <t>Погружение в аналитику данных.pdf</t>
  </si>
  <si>
    <t>Книга Джорджа Маунта «Погружение в аналитику данных» представляет собой практическое руководство по анализу данных, начиная с работы в Excel и переходя к языкам программирования Python и R. Ключевые разделы охватывают разведочный анализ данных (EDA), исследование категориальных и количественных переменных, а также перенос навыков из Excel в более мощные инструменты для статистического анализа и проверки гипотез. Издание предназначено для аналитиков данных начального и среднего уровня, желающих освоить программирование для углублённой работы с данными.</t>
  </si>
  <si>
    <t>построение индекса</t>
  </si>
  <si>
    <t>построение индекса.docx</t>
  </si>
  <si>
    <t>Данный фрагмент посвящен построению индексов в контексте науки о данных и машинного обучения. Ключевые концепции, вероятно, включают методы индексации данных для ускорения поиска и обработки, а также их роль в эффективной работе алгоритмов. Книга предназначена для специалистов и практиков, уже знакомых с основами машинного обучения и анализа данных.</t>
  </si>
  <si>
    <t>Потоковая обработка данных. Конвейер</t>
  </si>
  <si>
    <t>Анализ данных/Потоковая обработка</t>
  </si>
  <si>
    <t>Потоковая обработка</t>
  </si>
  <si>
    <t>Потоковая_обработка_данных_Конвейер.pdf</t>
  </si>
  <si>
    <t>Книга посвящена архитектуре и реализации конвейеров потоковой обработки данных, рассматривая принципы построения масштабируемых и отказоустойчивых систем реального времени. Ключевые концепции включают модели потоков, оконные операции, управление состоянием и гарантии доставки сообщений. Издание ориентировано на специалистов среднего и продвинутого уровня, знакомых с основами распределенных вычислений и желающих углубить знания в области стриминга.</t>
  </si>
  <si>
    <t>Практическая_статистика_для_специалистов_Data_Science_2_е_изд 2021.pdf</t>
  </si>
  <si>
    <t>Книга представляет собой практическое руководство по статистике для специалистов в области Data Science, в котором объясняются ключевые понятия, важные для анализа данных. В ней подробно раскрываются такие темы, как разведочный анализ данных, распределения, статистические эксперименты, регрессия, классификация и машинное обучение. Издание рассчитано на аналитиков данных, уже имеющих некоторый опыт работы с R или Python и базовое понимание математической статистики.</t>
  </si>
  <si>
    <t>Practical Time Series Analysis: Prediction with Statistics and Machine Learning</t>
  </si>
  <si>
    <t>Aileen Nielsen</t>
  </si>
  <si>
    <t>Практический_анализ_временных_рядов_Прогнозирование_со_статистикой.pdf</t>
  </si>
  <si>
    <t>Книга Эйлин Нильсен «Практический анализ временных рядов» представляет собой практическое руководство по прогнозированию временных рядов с использованием как классических статистических методов, так и машинного обучения. Ключевые разделы охватывают обработку и очистку данных, статистические модели (например, ARIMA), модели пространства состояний, генерацию признаков, а также применение глубокого обучения и оценку ошибок. Издание предназначено для специалистов и аналитиков, уже имеющих базовую подготовку в области анализа данных и программирования.</t>
  </si>
  <si>
    <t>Предварительная_подготовка_данных_в_Python_1_том_2023_Артем_Груздев.pdf</t>
  </si>
  <si>
    <t>Книга Артема Груздева посвящена предварительной подготовке данных в Python и применению классических методов машинного обучения. Первый том охватывает инструментарий: основные библиотеки, классы и функции для работы с данными, построения моделей и валидации, начиная с основ математики и структур данных Python. Издание рассчитано на специалистов по анализу данных и всех, кто интересуется машинным обучением.</t>
  </si>
  <si>
    <t>Предиктивное моделирование на практике</t>
  </si>
  <si>
    <t>Предиктивное_моделирование_на_практике.pdf</t>
  </si>
  <si>
    <t>Причинно-следственный анализ для смелых и честных</t>
  </si>
  <si>
    <t>Факур М.; Груздев А. В.</t>
  </si>
  <si>
    <t>Причинно-следственный анализ для смелых и честных.pdf</t>
  </si>
  <si>
    <t>Книга Матеуса Факура и Артема Груздева посвящена причинно-следственному анализу — статистическому методу, позволяющему выявлять, как одно событие влияет на другое. В ней рассматриваются ключевые концепции, такие как смещение (confounding bias и selection bias), рандомизированные эксперименты, графовые каузальные модели и применение линейной регрессии для неслучайных данных. Издание предназначено для специалистов по анализу данных, бизнес-аналитиков и инженеров, то есть для читателей, уже имеющих базовую подготовку в этой области.</t>
  </si>
  <si>
    <t>Работа с данными</t>
  </si>
  <si>
    <t>Работа с данными.pdf</t>
  </si>
  <si>
    <t>Эта книга посвящена науке о данных, которую автор сравнивает с искусством рассказывания историй, где данные служат строительными блоками для повествования. Ключевая концепция — пятиэтапный процесс обработки и анализа данных, который структурирует проекты и обеспечивает их логическое завершение. Издание предназначено для абсолютных новичков, в том числе специалистов из других областей, и фокусируется на понимании методов и интуиции, стоящей за аналитическими моделями, а не на написании кода.</t>
  </si>
  <si>
    <t>Becoming a Data Head: How to Think, Speak, and Understand Data Science, Statistics, and Machine Learning</t>
  </si>
  <si>
    <t>Alex J. Gutman; Jordan Goldmeier</t>
  </si>
  <si>
    <t>John Wiley &amp; Sons</t>
  </si>
  <si>
    <t>Разберись в Data Science.pdf</t>
  </si>
  <si>
    <t>Это книга-руководство по основам Data Science, которая учит мыслить статистически, правильно формулировать вопросы к данным и избегать типичных ошибок. Ключевые разделы охватывают постановку задач, типы и сбор данных, разведочный анализ, теорию вероятностей и статистический вывод. Книга предназначена для новичков и специалистов, желающих освоить язык науки о данных и научиться принимать обоснованные решения.</t>
  </si>
  <si>
    <t>Рекомендательные системы на практике</t>
  </si>
  <si>
    <t>Ким Фальк</t>
  </si>
  <si>
    <t>Рекомендательные_системы_на_практике_2020_Ким_Фальк.pdf</t>
  </si>
  <si>
    <t>Книга Кима Фалька «Рекомендательные системы на практике» представляет собой практическое руководство по созданию и внедрению рекомендательных систем, которые собирают данные о пользователях и формируют персонализированные предложения. В ней рассматриваются ключевые алгоритмы, методы оценки эффективности, а также тонкости настройки систем для максимально точного учета интересов пользователей, включая примеры программного кода. Издание предназначено для широкого круга разработчиков и специалистов по анализу данных, обладающих базовыми знаниями в этой области.</t>
  </si>
  <si>
    <t>Роман с Data Science. Как монетизировать большие данные</t>
  </si>
  <si>
    <t>Роман Зыков</t>
  </si>
  <si>
    <t>Роман_с_Data_Science_Как_монетизировать_большие_данные.pdf</t>
  </si>
  <si>
    <t>Книга Романа Зыкова посвящена практическим аспектам внедрения и монетизации анализа данных (Data Science) в бизнесе. Автор рассматривает ключевые концепции, такие как принятие решений на основе данных, артефакты анализа и машинного обучения, а также организацию работы аналитического отдела с нуля. Издание предназначено для широкой аудитории: менеджеров, инвесторов, начинающих специалистов и основателей стартапов, желающих разобраться в управлении аналитикой без углубления в математику и программный код.</t>
  </si>
  <si>
    <t>Основы Data_Science и Big_Data Python</t>
  </si>
  <si>
    <t>Силен</t>
  </si>
  <si>
    <t>Силен Основы Data_Science и Big_Data Python 2017.pdf</t>
  </si>
  <si>
    <t>Книга посвящена основам Data Science и Big Data с практическим применением языка Python. В ней рассматриваются ключевые концепции: сбор и очистка данных, статистический анализ, машинное обучение и визуализация. Издание предназначено для новичков и специалистов, начинающих свой путь в аналитике данных.</t>
  </si>
  <si>
    <t>Основы Data Science и Big Data. Python</t>
  </si>
  <si>
    <t>Силен Основы Data_Science_i_Big_Data_Python.pdf</t>
  </si>
  <si>
    <t>Этот фрагмент книги Дэвида Силена и соавторов посвящён основам Data Science и Big Data с практическим применением языка Python. Ключевые концепции включают работу с большими данными, методы машинного обучения и анализ данных с использованием библиотек Python. Материал ориентирован на новичков и специалистов начального уровня, желающих освоить инструменты и подходы современной науки о данных.</t>
  </si>
  <si>
    <t>Модельное мышление</t>
  </si>
  <si>
    <t>Скотт Пейдж</t>
  </si>
  <si>
    <t>Скотт_Пейдж_Модельное_мышление_Как_анализировать_сложные_явления.epub</t>
  </si>
  <si>
    <t>Книга Скотта Пейджа «Модельное мышление» посвящена использованию множества математических и логических моделей (от линейных уравнений до марковских цепей) для анализа сложных явлений в бизнесе, науке и повседневной жизни. Ключевые концепции включают применение десятков различных моделей для выявления скрытых закономерностей, прогнозирования и принятия решений в условиях неопределенности. Издание предназначено для широкой аудитории — от новичков до специалистов, стремящихся структурировать данные и находить в них практические смыслы.</t>
  </si>
  <si>
    <t>Статистический анализ и визуализация данных с помощью R</t>
  </si>
  <si>
    <t>Мастицкий С. Э.; Шитиков В. К.</t>
  </si>
  <si>
    <t>Статистический_анализ_и_визуализация_данных_с_помощью_R.pdf</t>
  </si>
  <si>
    <t>Книга представляет собой практическое руководство по языку R, ведущей свободно распространяемой системе статистического анализа и визуализации данных. В ней рассматриваются такие ключевые темы, как типы данных, работа с векторами, матрицами и таблицами, импорт данных, написание функций и циклов, а также базовые графические возможности (гистограммы, диаграммы размахов и рассеяния). Издание адресовано студентам, аспирантам и ученым, желающим освоить современные методы анализа данных, и подходит как для новичков, так и для практикующих специалистов.</t>
  </si>
  <si>
    <t>Тёмные данные. Практическое руководство по принятию правильных решений в мире недостающих данных</t>
  </si>
  <si>
    <t>Дэвид Хэнд</t>
  </si>
  <si>
    <t>Альпина Паблишер</t>
  </si>
  <si>
    <t>Тёмные данные. 2021.pdf</t>
  </si>
  <si>
    <t>Книга британского статистика Дэвида Хэнда посвящена «тёмным данным» — информации, которая отсутствует, скрыта или искажена, но критически важна для принятия правильных решений. Автор выделяет 15 типов таких данных, объясняя, как их игнорирование приводит к заблуждениям и катастрофическим последствиям в науке, бизнесе и политике. В первой части рассматриваются происхождение и влияние этих данных, а затем предлагаются методы их выявления и использования для улучшения анализа. Книга предназначена для широкого круга читателей, интересующихся дата-сайенс, статистикой и программированием, включая как новичков, так и специалистов.</t>
  </si>
  <si>
    <t>Технологии извлечения и интеллектуального анализа данных в научных исследованиях</t>
  </si>
  <si>
    <t>Кононова Ольга Витальевна; Прокудин Д.Е.</t>
  </si>
  <si>
    <t>Университет ИТМО</t>
  </si>
  <si>
    <t>Технологии извлечения и интеллектуального анализа.pdf</t>
  </si>
  <si>
    <t>Учебное пособие посвящено вопросам анализа текстовых данных в научно-исследовательской работе, методам и средствам обработки контекстного знания. Ключевые разделы охватывают информационно-коммуникационные технологии в науке, научный информационный поиск, электронные ресурсы и библиографическую работу, а также теоретические подходы к определению и таксономии знаний. Книга предназначена для магистрантов, обучающихся по направлению «Прикладная информатика», и может использоваться как в учебных, так и в профессиональных научных целях.</t>
  </si>
  <si>
    <t>Ценность ваших данных</t>
  </si>
  <si>
    <t>Александр Константинов; Сергей Кузнецов; Николай Скворцов</t>
  </si>
  <si>
    <t>Альпина ПРО</t>
  </si>
  <si>
    <t>Ценность ваших данных.pdf</t>
  </si>
  <si>
    <t>Книга «Ценность ваших данных» посвящена управлению данными как ценным активом организации, рассматривая их от появления до практического применения. В первой части анализируется эволюция отношения к данным от научных революций до современности, а вторая описывает методы устранения барьеров на пути извлечения ценности на всех этапах жизненного цикла данных. Издание будет полезно как новичкам, так и опытным специалистам, желающим систематизировать знания и получить инструменты для создания высокоэффективной организации.</t>
  </si>
  <si>
    <t>R for Data Science</t>
  </si>
  <si>
    <t>Hadley Wickham; Garrett Grolemund</t>
  </si>
  <si>
    <t>Диалектика</t>
  </si>
  <si>
    <t>Язык R в задачах науки о данных.pdf</t>
  </si>
  <si>
    <t>Эта книга представляет собой практическое руководство по языку R для решения задач науки о данных, охватывающее полный цикл работы с данными: от импорта и подготовки до визуализации и моделирования. Ключевые разделы включают предварительный анализ с помощью пакетов ggplot2 и dplyr, подготовку данных (tibble, readr, tidyr), программирование (функции, векторы, purrr) и моделирование (modelr, broom). Издание предназначено для специалистов, уже знакомых с основами программирования и статистики, которые хотят освоить современные инструменты экосистемы tidyverse для эффективной обработки и анализа данных.</t>
  </si>
  <si>
    <t>Google Analytics для googлят: Практическое руководство по веб-аналитике</t>
  </si>
  <si>
    <t>Осипенков Яков</t>
  </si>
  <si>
    <t>Яков_Осипенков_Google_Analytics.pdf</t>
  </si>
  <si>
    <t>Книга Якова Осипенкова представляет собой практическое руководство по веб-аналитике с использованием Google Analytics, охватывающее все этапы работы: от теории воронки продаж и UTM-меток до настройки аккаунта, фильтров, целей и событий. Ключевые разделы включают историю создания инструмента, работу с файлами cookie, интерфейс и регулярные выражения, а также настройки электронной торговли. Издание предназначено для широкой аудитории — от начинающих интернет-маркетологов и владельцев бизнеса до опытных аналитиков, желающих углубить понимание инструмента.</t>
  </si>
  <si>
    <t>Data Mesh in Action MEAP V04</t>
  </si>
  <si>
    <t>Marian Siwiak;Jacek Majchrzak;Sven Balnojan;Mariusz Sieraczkiewicz</t>
  </si>
  <si>
    <t>Анализ данных/Построение систем обработки данных</t>
  </si>
  <si>
    <t>Построение систем обработки данных</t>
  </si>
  <si>
    <t>Data Mesh in Action (MEAP V04) 2022.pdf</t>
  </si>
  <si>
    <t>C:\Users\alexa\YandexDisk\Книги\Анализ данных\Построение систем обработки данных</t>
  </si>
  <si>
    <t>Книга «Data Mesh in Action» посвящена практическому внедрению парадигмы Data Mesh — децентрализованного подхода к управлению данными, который устраняет узкие места традиционных централизованных систем. Авторы делают акцент на прикладных примерах, сквозном кейсе вымышленной компании и гибком подходе без фиксированных ролей и догм. Ключевые разделы охватывают четыре принципа Data Mesh: предметное владение данными, данные как продукт, федеративное вычислительное управление и самообслуживаемая платформа. Книга предназначена для архитекторов, руководителей, разработчиков и аналитиков, уже вовлечённых в создание и использование данных в организации, то есть для специалистов среднего и продвинутого уровня.</t>
  </si>
  <si>
    <t>Data Quality Fundamentals</t>
  </si>
  <si>
    <t>Barr Moses; Lior Gavish; Molly Vorwerck</t>
  </si>
  <si>
    <t>Monte Carlo Data</t>
  </si>
  <si>
    <t>Data Quality Fundamentals.pdf</t>
  </si>
  <si>
    <t>Эта книга посвящена фундаментальным проблемам качества данных и явлению «даунтайма данных» — периодам, когда данные отсутствуют, неточны или ошибочны, что приводит к устаревшим дашбордам и неверным решениям. Авторы объясняют, почему даже при передовой инфраструктуре компании сталкиваются с парадоксом «хорошие пайплайны, плохие данные», и как это ежегодно обходится бизнесу в миллионы долларов. Книга предназначена для практикующих специалистов по данным — аналитиков и инженеров, которые хотят перейти от реактивного решения проблем к построению надежных и заслуживающих доверия конвейеров данных.</t>
  </si>
  <si>
    <t>Data Management at Scale</t>
  </si>
  <si>
    <t>Piethein Strengholt</t>
  </si>
  <si>
    <t>Data_Management_at_Scale_Best_Practices_for_Enterprise_Architecture.pdf</t>
  </si>
  <si>
    <t>Книга Питейна Стренгхолта «Data Management at Scale» посвящена современным подходам к управлению данными в крупных корпоративных архитектурах. Автор анализирует проблемы фрагментации данных, устаревших архитектур и необходимости интеграции операционных и аналитических систем, предлагая масштабируемую архитектуру на основе принципов предметно-ориентированного проектирования и шаблонов интеграции. Ключевые разделы включают критику традиционных хранилищ данных и озер данных, а также внедрение концепций «золотых источников» и контрактов на обмен данными. Книга предназначена для специалистов в области архитектуры данных, инженеров и руководителей, уже знакомых с основами управления данными.</t>
  </si>
  <si>
    <t>Event Streams in Action: Real-time event systems with Kafka and Kinesis</t>
  </si>
  <si>
    <t>Alexander Dean; Valentin Crettaz</t>
  </si>
  <si>
    <t>Event Streams in Action Real-time event systems with Kafka 2022.pdf</t>
  </si>
  <si>
    <t>Книга посвящена построению систем реального времени на основе событийных потоков (event streams) с использованием Apache Kafka и Amazon Kinesis. В ней рассматриваются ключевые концепции, такие как унифицированный лог, обработка событий с сохранением состояния, работа со схемами данных и аналитика на основе потоков. Издание предназначено для разработчиков и инженеров данных, уже знакомых с основами программирования, но желающих освоить практические аспекты создания масштабируемых событийно-ориентированных приложений.</t>
  </si>
  <si>
    <t>Fundamentals of Data Engineering</t>
  </si>
  <si>
    <t>Joe Reis; Matt Housley</t>
  </si>
  <si>
    <t>Fundamentals_of_Data_Engineering_Plan_and_Build_Robust_Data_Systems.pdf</t>
  </si>
  <si>
    <t>Эта книга посвящена фундаментальным концепциям инженерии данных, а не конкретным инструментам или технологиям. Ключевой идеей является жизненный цикл данных, включающий этапы генерации, хранения, приёма, трансформации и предоставления данных. Авторы делают акцент на облачном подходе и принципах, которые останутся актуальными с течением времени. Издание предназначено для технических специалистов (инженеров, разработчиков, дата-сайентистов) среднего и старшего уровня, желающих получить целостное понимание предмета.</t>
  </si>
  <si>
    <t>Grokking Streaming Systems: Real-time event processing</t>
  </si>
  <si>
    <t>Josh Fischer;Ning Wang</t>
  </si>
  <si>
    <t>Grokking Streaming Systems Real-time event processing.pdf</t>
  </si>
  <si>
    <t>Книга "Grokking Streaming Systems" Джоша Фишера и Нина Вана посвящена основам систем потоковой обработки данных в реальном времени. В ней рассматриваются ключевые концепции, такие как параллелизм, группировка данных, оконные вычисления, операции соединения (join), обратное давление и графы потоков (DAG). Издание предназначено для разработчиков и инженеров, начинающих знакомство с потоковой обработкой, и предлагает практический подход с примерами и архитектурными схемами.</t>
  </si>
  <si>
    <t>Kafka в действии</t>
  </si>
  <si>
    <t>Дилан Скотт; Виктор Гамов; Дейв Клейн</t>
  </si>
  <si>
    <t>Kafka в действии.pdf</t>
  </si>
  <si>
    <t>Книга «Kafka в действии» представляет собой практическое руководство по использованию распределенной потоковой платформы Apache Kafka для решения бизнес-задач. В ней подробно рассматривается устройство Kafka, её основные компоненты, такие как клиенты, кластер, брокеры, темы и разделы, а также вопросы управления, безопасности и потоковой обработки данных с помощью Kafka Streams и ksqlDB. Издание адресовано разработчикам, желающим освоить потоковую обработку данных, и предполагает базовые знания командной строки и навыки программирования на Java.</t>
  </si>
  <si>
    <t>Kafka Connect: Build and Run Data Pipelines</t>
  </si>
  <si>
    <t>Mickael Maison; Kate Stanley</t>
  </si>
  <si>
    <t>OReilly.Kafka.Connect.Build.and.Run.pdf</t>
  </si>
  <si>
    <t>Книга Микаэля Мейсона и Кейт Стэнли посвящена инструменту Kafka Connect, который является частью платформы Apache Kafka и предназначен для построения надежных и масштабируемых конвейеров данных. Авторы объясняют, как с помощью Kafka Connect можно легко передавать данные в кластеры Kafka и из них, а также зеркалировать данные между кластерами, не требуя написания кода. Ключевые разделы охватывают проектирование отказоустойчивых конвейеров, захват изменений баз данных, развертывание и мониторинг кластеров в production, а также написание собственных коннекторов. Издание рассчитано на инженеров данных, специалистов по надежности сайтов и разработчиков приложений, желающих освоить создание современных потоковых конвейеров данных.</t>
  </si>
  <si>
    <t>Data Pipelines Pocket Reference</t>
  </si>
  <si>
    <t>James Densmore</t>
  </si>
  <si>
    <t>Конвейеры данных.pdf</t>
  </si>
  <si>
    <t>Книга Джеймса Денсмора посвящена передовым методам построения конвейеров данных для аналитики, охватывая полный цикл от сбора и извлечения данных до их преобразования, загрузки в хранилище и оркестровки. Ключевые разделы включают обзор современной инфраструктуры данных, сравнение шаблонов ETL и ELT, а также практические примеры извлечения данных из различных источников (MySQL, PostgreSQL, MongoDB, REST API) с использованием Python и SQL. Издание предназначено для специалистов по обработке данных, уже знакомых с основами SQL и Python, и стремящихся углубить знания в области построения надежных и масштабируемых конвейеров.</t>
  </si>
  <si>
    <t>Масштабируемые данные. Лучшие шаблоны высоконагруженных архитектур</t>
  </si>
  <si>
    <t>Питхейн Стренгхольт</t>
  </si>
  <si>
    <t>Масштабируемые_данные_Лучшие_шаблоны_высоконагруженных_архитектур.pdf</t>
  </si>
  <si>
    <t>Книга Питхейна Стренгхольта посвящена проектированию масштабируемых архитектур для управления данными в условиях высоких нагрузок. В ней рассматриваются ключевые шаблоны, такие как архитектура хранилищ только для чтения, API-архитектура и потоковая обработка событий, а также вопросы безопасности и демократизации данных. Издание предназначено для архитекторов и аналитиков данных, а также специалистов по управлению, стремящихся перевести сложный ландшафт данных предприятия на гибкую и современную архитектуру.</t>
  </si>
  <si>
    <t>Данная книга посвящена построению конвейеров потоковой обработки данных, то есть архитектуре и инструментам для работы с непрерывно поступающей информацией в реальном времени. Ключевые концепции включают в себя принципы отказоустойчивости, обработки событий и интеграции с такими системами, как Apache Kafka и Spark Streaming. Издание ориентировано на специалистов среднего и продвинутого уровня, уже знакомых с основами программирования и обработки данных, которые хотят освоить масштабируемые решения для аналитики в реальном времени.</t>
  </si>
  <si>
    <t>Getting Started with Enterprise Architecture</t>
  </si>
  <si>
    <t>Eric Jager</t>
  </si>
  <si>
    <t>Архитектура/Архитектура организации</t>
  </si>
  <si>
    <t>Архитектура организации</t>
  </si>
  <si>
    <t>!!!!Getting Started with Enterprise Architecture.pdf</t>
  </si>
  <si>
    <t>C:\Users\alexa\YandexDisk\Книги\Архитектура\Архитектура организации</t>
  </si>
  <si>
    <t>Книга Эрика Ягера представляет собой практическое введение в основы корпоративной архитектуры (Enterprise Architecture), предназначенное для новичков. В ней рассматриваются происхождение архитектуры, ключевые фреймворки (Zachman, TOGAF), определение и домены архитектуры, а также роли специалистов. Основное внимание уделяется прагматичному подходу к изучению базовых концепций без углубления в сложные детали. Издание будет полезно тем, кто только начинает знакомство с дисциплиной и хочет получить структурированное понимание её основ.</t>
  </si>
  <si>
    <t>Team Topologies: Organizing Business and Technology Teams for Fast Flow</t>
  </si>
  <si>
    <t>Matthew Skelton; Manuel Pais</t>
  </si>
  <si>
    <t>Team_Topologies_Organizing_Business_and_Technology_Teams_for_Fast.epub</t>
  </si>
  <si>
    <t>Книга «Team Topologies» Мэттью Скелтона и Мануэля Паиса посвящена организационному дизайну ИТ-команд для обеспечения быстрого и непрерывного потока создания ценности. Ключевые концепции включают четыре фундаментальных типа команд и три паттерна взаимодействия между ними, а также подход к снижению когнитивной нагрузки и формированию «командных API». Издание предназначено для руководителей, инженеров и архитекторов, уже знакомых с DevOps и agile-практиками, и предлагает практическую, адаптивную модель для реорганизации команд.</t>
  </si>
  <si>
    <t>Programming Big Data Applications: Scalable Tools and Frameworks for Your Needs</t>
  </si>
  <si>
    <t>Domenico Talia; Paolo Trunfio; Fabrizio Marozzo; Loris Belcastro; Riccardo Cantini; Alessio Orsino</t>
  </si>
  <si>
    <t>Большие данные. Современные фреймворки и разработка приложений.pdf</t>
  </si>
  <si>
    <t>Книга посвящена моделям, системам и фреймворкам для обработки и анализа больших данных, включая такие парадигмы, как MapReduce, рабочие потоки и SQL-подобные модели. В ней рассматриваются практические примеры использования инструментов Hadoop, Spark, Storm и MPI, а также вопросы хранения данных в NoSQL-системах (MongoDB, Cassandra, Neo4j) и облачные вычисления. Издание предназначено для разработчиков приложений, исследователей и профессионалов, уже владеющих Java, Python или Scala и знакомых с основами параллельного программирования.</t>
  </si>
  <si>
    <t>ИТ-архитектура от А до Я: Теоретические основы</t>
  </si>
  <si>
    <t>Вадим Алджанов</t>
  </si>
  <si>
    <t>Ridero</t>
  </si>
  <si>
    <t>ИТ_архитектура_от_А_до_Я_Теоретические_основы.pdf</t>
  </si>
  <si>
    <t>Книга Вадима Алджанова представляет собой теоретическое руководство по ИТ-архитектуре, охватывающее такие области, как архитектура предприятия, информационная безопасность, управление сервисами, проектами и бизнес-процессами. Ключевые разделы включают модели расчёта стоимости владения ИТ и организационные аспекты управления. Издание предназначено для менеджеров и руководителей ИТ-отделов, желающих систематизировать знания, и подходит как для методичного изучения, так и для использования в качестве справочного пособия.</t>
  </si>
  <si>
    <t>Фундаментальный подход к программной архитектуре: паттерны, свойства, проверенные методы</t>
  </si>
  <si>
    <t>Марк Ричардc; Нил Форд</t>
  </si>
  <si>
    <t>Архитектура/Архитектура ПО</t>
  </si>
  <si>
    <t>Архитектура ПО</t>
  </si>
  <si>
    <t>!!!!Фундаментальный_подход_к_программной_архитектуре_Паттерны,_свойства.pdf</t>
  </si>
  <si>
    <t>C:\Users\alexa\YandexDisk\Книги\Архитектура\Архитектура ПО</t>
  </si>
  <si>
    <t>Книга Марка Ричардса и Нила Форда «Фундаментальный подход к программной архитектуре» представляет собой всеобъемлющее руководство по архитектуре программного обеспечения, охватывающее паттерны, свойства и проверенные методы. Ключевые разделы включают основы архитектурного мышления и модульности, обзор различных архитектурных стилей (многоуровневая, микросервисная, событийно-управляемая и другие), а также технические приемы и гибкие навыки, такие как анализ рисков и лидерство. Издание предназначено как для начинающих, так и для состоявшихся архитекторов ПО, стремящихся применить принципы, актуальные для любых технологических стеков.</t>
  </si>
  <si>
    <t>arc42-template-RU-withhelp-asciidoc.zip</t>
  </si>
  <si>
    <t>Данный фрагмент представляет собой шаблон документации по архитектуре программного обеспечения под названием arc42. Книга описывает структурированный фреймворк для описания и документирования архитектуры IT-систем, включая такие ключевые разделы, как цели и ограничения, контекст системы, решения и риски. Материал предназначен для архитекторов, разработчиков и технических специалистов, имеющих базовый опыт в проектировании систем, то есть для уровня от начинающего до продвинутого.</t>
  </si>
  <si>
    <t>Architecture Modernization</t>
  </si>
  <si>
    <t>Nicholas Tune; Jean-Georges Perrin</t>
  </si>
  <si>
    <t>Architecture Modern Socio-technical alignment of software.pdf</t>
  </si>
  <si>
    <t>Книга «Architecture Modernization» Ника Тьюна и Жана-Жоржа Перрена посвящена комплексной модернизации программной архитектуры, выходящей за рамки простого переписывания кода. Авторы предлагают социотехнический подход, объединяющий стратегию бизнеса, структуру команд и технологии, с акцентом на модернизацию доменной модели, пользовательского интерфейса и технического стека. Ключевые разделы охватывают такие концепции, как Wardley Mapping, EventStorming, Team Topologies и Data Mesh, а также стратегическое портфолио и внутренние платформы разработчиков. Издание предназначено для опытных архитекторов, технических лидеров и специалистов, стремящихся к глубокому пониманию эволюционных изменений в крупных системах.</t>
  </si>
  <si>
    <t>Flow Architectures: The Future of Streaming and Event-Driven Integration</t>
  </si>
  <si>
    <t>James Urquhart</t>
  </si>
  <si>
    <t>Flow_Architectures_The_Future_of_Streaming_and_Event_Driven_Inte.pdf</t>
  </si>
  <si>
    <t>Книга Джеймса Уркхарта «Flow Architectures» посвящена будущему потоковой и событийно-ориентированной интеграции в программной архитектуре. Автор исследует концепцию «потока» (flow) как подхода к обработке данных в реальном времени, рассматривая бизнес-кейсы для его внедрения, такие как улучшение клиентского опыта и эффективности организаций, а также анализирует цепочку создания ценности потока с помощью методов вроде Wardley Mapping. Ключевые разделы охватывают введение в поток, его бизнес-обоснование и понимание ценности потока. Издание предназначено для ИТ-специалистов и архитекторов, уже знакомых с основами распределенных систем и ищущих углубленные знания о современных подходах к интеграции.</t>
  </si>
  <si>
    <t>Functional event-driven architecture</t>
  </si>
  <si>
    <t>Gabriel Volpe</t>
  </si>
  <si>
    <t>Functional event-driven architecture.pdf</t>
  </si>
  <si>
    <t>Книга «Functional event-driven architecture» Габриэля Вольпе посвящена проектированию событийно-ориентированных систем с использованием функционального программирования на Scala 3. В ней рассматриваются ключевые концепции, такие как CQRS/ES, распределённые системы, идемпотентность, атомарность, а также практические аспекты работы с брокерами сообщений (Apache Kafka, Pulsar) и функциональными потоками данных. Издание предназначено для опытных разработчиков и архитекторов, уже знакомых с основами Scala и микросервисной архитектуры.</t>
  </si>
  <si>
    <t>Head First Software Architecture</t>
  </si>
  <si>
    <t>Raju Gandhi;Mark Richards;Neal Ford</t>
  </si>
  <si>
    <t>Head First Software Architecture_True.pdf</t>
  </si>
  <si>
    <t>Книга «Head First Software Architecture» знакомит с основами архитектуры программного обеспечения, объясняя её ключевые аспекты: архитектурные характеристики, логические компоненты, архитектурные решения и стили (включая слоистую, модульную монолитную, микросервисную и событийно-ориентированную архитектуры). Авторы подчёркивают, что архитектура — это всегда компромисс, и учат различать архитектурное и дизайнерское мышление. Издание предназначено для разработчиков, которые хотят перейти на уровень архитектора и освоить стратегическое проектирование систем.</t>
  </si>
  <si>
    <t>Raju Gandhi; Mark Richards; Neal Ford</t>
  </si>
  <si>
    <t>Head First. Архитектура ПО.pdf</t>
  </si>
  <si>
    <t>Книга «Head First. Архитектура ПО» представляет собой увлекательное и доступное введение в программную архитектуру, написанное авторами бестселлера «Фундаментальный подход к программной архитектуре». В ней рассматриваются ключевые концепции, такие как архитектурные характеристики, логические компоненты, различные архитектурные стили (включая многоуровневую, модульную, микроядерную, микросервисную и событийно-управляемую архитектуры), а также фундаментальные законы, основанные на компромиссах. Издание предназначено для разработчиков, стремящихся перейти на уровень архитектора, и подходит как для начинающих, так и для специалистов, желающих систематизировать свои знания.</t>
  </si>
  <si>
    <t>Infographic DDD enterp 16_9</t>
  </si>
  <si>
    <t>Infographic DDD enterp 16_9.pdf</t>
  </si>
  <si>
    <t>Фрагмент книги посвящён архитектуре программного обеспечения, в частности концепции «Явной архитектуры» (Explicit Architecture), основанной на принципах предметно-ориентированного проектирования (DDD). Ключевые концепции включают разделение на уровни (Application Core, Domain Layer), использование портов и адаптеров (Primary/Driving и Secondary/Driven Adapters) для изоляции бизнес-логики от инфраструктуры, а также применение шин команд и событий (Command/Query Bus, Event Bus). Материал предназначен для специалистов среднего и продвинутого уровня, знакомых с DDD и проектированием сложных корпоративных систем.</t>
  </si>
  <si>
    <t>Smart Trajectories: Metamodeling, Reactive Architecture for Analytics, and Smart Applications</t>
  </si>
  <si>
    <t>Azedine Boulmakoul</t>
  </si>
  <si>
    <t>Smart_Trajectories_Metamodeling_Reactive_Architecture.pdf</t>
  </si>
  <si>
    <t>Книга посвящена представлению и обработке «умных траекторий» в интеллектуальных системах, а также реактивной распределенной архитектуре для аналитики. Ключевые концепции включают метамоделирование траекторий, обработку сложных событий, анализ больших траекторных данных, а также технологии edge-fog-cloud и NoSQL. Издание состоит из трех частей, охватывающих основы пространственных систем, моделирование и архитектуру, а также прикладные примеры, такие как анализ дорожных заторов. Книга предназначена для студентов магистратуры в области компьютерной инженерии и ГИС, а также для практикующих инженеров и городских менеджеров.</t>
  </si>
  <si>
    <t>Software Architect</t>
  </si>
  <si>
    <t>Michael Bell</t>
  </si>
  <si>
    <t>Software Architect.pdf</t>
  </si>
  <si>
    <t>Книга Майкла Белла «Software Architect» посвящена архитектуре программного обеспечения и карьерному планированию для специалистов в этой области. Ключевые разделы включают модель компетенций архитектора ПО, классификацию типов архитекторов и стратегии построения карьеры. Издание предназначено для практикующих специалистов и руководителей, стремящихся систематизировать знания и развить навыки в области проектирования сложных систем.</t>
  </si>
  <si>
    <t>The Fundamentals Of Event-Driven Architecture Using Apache Kafka</t>
  </si>
  <si>
    <t>Conrad, Mathew</t>
  </si>
  <si>
    <t>The_Fundamentals_Of_Event_Driven_Architecture_Using_Apache_Kafka.epub</t>
  </si>
  <si>
    <t>Книга Мэтью Конрада посвящена основам событийно-ориентированной архитектуры (Event-Driven Architecture, EDA) с практической реализацией на платформе Apache Kafka. В работе подробно разбираются ключевые концепции: события, брокеры сообщений, продюсеры и консьюмеры, а также паттерны обработки данных, такие как потоковая передача и CQRS. Издание ориентировано на разработчиков и архитекторов программного обеспечения, имеющих базовый опыт работы с распределёнными системами и желающих освоить современные подходы к построению асинхронных и масштабируемых приложений.</t>
  </si>
  <si>
    <t>Архитектура программного обеспечения на практике</t>
  </si>
  <si>
    <t>Архитектура программного обеспечения на практике  2006.pdf</t>
  </si>
  <si>
    <t>Книга «Архитектура программного обеспечения на практике» посвящена фундаментальным принципам и подходам к проектированию программных систем. Ключевые концепции включают анализ архитектурных решений, документирование архитектуры и оценку качества системы. Издание предназначено для практикующих разработчиков и архитекторов, уже имеющих опыт в разработке ПО, то есть для специалистов среднего и продвинутого уровня.</t>
  </si>
  <si>
    <t>Архитектура сложных веб приложений</t>
  </si>
  <si>
    <t>Adel F</t>
  </si>
  <si>
    <t>Архитектура сложных Веб-приложений.pdf</t>
  </si>
  <si>
    <t>Книга посвящена архитектуре сложных веб-приложений, в первую очередь на примере PHP и фреймворка Laravel. Автор разбирает ключевые концепции, такие как внедрение зависимостей, принцип единственной ответственности, обработка ошибок, валидация, событийная модель и CQRS, а также уделяет внимание unit-тестированию и рефакторингу. Материал ориентирован на практикующих разработчиков среднего и продвинутого уровня, стремящихся улучшить качество и поддерживаемость своего кода.</t>
  </si>
  <si>
    <t>Архитектура_программного_обеспечения_на_практике.pdf</t>
  </si>
  <si>
    <t>Книга «Архитектура программного обеспечения на практике» посвящена принципам и методам проектирования программных систем, рассматривая архитектуру как ключевой элемент успешной разработки. В ней подробно разбираются такие концепции, как архитектурные стили, нефункциональные требования, анализ компромиссов и документирование архитектуры. Издание ориентировано на практикующих разработчиков, архитекторов и технических специалистов среднего и продвинутого уровня, стремящихся систематизировать свои знания и применять их в реальных проектах.</t>
  </si>
  <si>
    <t>Введение в архитектуру ПО</t>
  </si>
  <si>
    <t>Введение в архитектуру ПО.pdf</t>
  </si>
  <si>
    <t>Книга «Введение в архитектуру ПО» посвящена основам проектирования программных систем, её ключевые разделы охватывают архитектурные стили, паттерны, принципы модульности и методы оценки качества архитектуры. Материал ориентирован на начинающих разработчиков и специалистов, желающих систематизировать знания в области построения масштабируемых и поддерживаемых приложений.</t>
  </si>
  <si>
    <t>Enterprise Integration Patterns: Designing, Building, and Deploying Messaging Solutions</t>
  </si>
  <si>
    <t>Gregor Hohpe; Bobby Wolf</t>
  </si>
  <si>
    <t>2007</t>
  </si>
  <si>
    <t>Вульф Хоп Шаблоны интеграции корпоративных приложений.pdf</t>
  </si>
  <si>
    <t>Эта книга посвящена проектированию, созданию и развертыванию решений для интеграции корпоративных приложений на основе асинхронного обмена сообщениями. В ней рассматриваются ключевые концепции, такие как каналы сообщений, маршрутизаторы, преобразование сообщений и шаблоны проектирования, а также приводятся практические примеры и практикумы. Издание ориентировано на разработчиков программного обеспечения и системных интеграторов, имеющих опыт работы с различными технологиями обмена сообщениями.</t>
  </si>
  <si>
    <t>Information Architecture for the World Wide Web</t>
  </si>
  <si>
    <t>Louis Rosenfeld; Peter Morville</t>
  </si>
  <si>
    <t>2005</t>
  </si>
  <si>
    <t>Символ-Плюс</t>
  </si>
  <si>
    <t>Информационная архитектура в Интернете.pdf</t>
  </si>
  <si>
    <t>Книга Луиса Розенфельда и Питера Морвиля «Информационная архитектура в Интернете» является фундаментальным руководством по проектированию структуры крупных веб-сайтов и интрасетей. Авторы подробно рассматривают системы организации, навигации и поиска, а также вопросы корпоративной политики и пользовательского опыта. Издание охватывает как теоретические основы, так и практические примеры проектов, помогая создавать удобные, расширяемые и легко поддерживаемые сайты. Книга подойдет как для начинающих менеджеров и специалистов, так и для опытных информационных архитекторов в качестве справочника.</t>
  </si>
  <si>
    <t>The Art of Immutable Architecture</t>
  </si>
  <si>
    <t>Michael L. Perry</t>
  </si>
  <si>
    <t>Искусство_неизменяемой_архитектуры.pdf</t>
  </si>
  <si>
    <t>Книга Майкла Л. Перри посвящена теории и практике использования неизменяемых объектов в распределенных системах для решения проблем, связанных с сетевыми задержками, ненадежностью и совместным изменяемым состоянием. В первой части рассматриваются причины отказа от изменяемых состояний, ошибки распределенных вычислений и примеры неизменяемой архитектуры (Git, блокчейн, Docker). Издание предназначено для архитекторов программного обеспечения, опытных разработчиков и аналитиков бизнес-систем.</t>
  </si>
  <si>
    <t>Непрерывное развитие API. Правильные решения в изменчивом технологическом ландшафте</t>
  </si>
  <si>
    <t>Мехди Меджуи; Эрик Уайлд; Ронни Митра; Майк Амундсен</t>
  </si>
  <si>
    <t>Непрерывное_развитие_API_Правильные_решения_в_изменчивом_технологическом.pdf</t>
  </si>
  <si>
    <t>Книга посвящена управлению API как продуктами с непрерывным жизненным циклом в условиях меняющегося технологического ландшафта. Ключевые концепции включают руководство API, десять столпов API, непрерывное улучшение, жизненный цикл продукта с API и построение команд и систем для управления API. Издание предназначено для разработчиков ПО, руководителей продуктов и проектов, то есть для специалистов, уже работающих с API и стремящихся повысить их ценность и эффективность.</t>
  </si>
  <si>
    <t>Современный подход к программной архитектуре: сложные компромиссы</t>
  </si>
  <si>
    <t>Нил Форд; Марк Ричардс; Прамод Садаладж; Жамак Дехгани</t>
  </si>
  <si>
    <t>Современный подход к программной архитектуре сложные компромиссы.pdf</t>
  </si>
  <si>
    <t>Книга посвящена сложным компромиссам в архитектуре программного обеспечения, в частности распределенным системам. Авторы на примере вымышленной группы Sysops Squad рассматривают ключевые концепции: разделение компонентов, гранулярность сервисов, управление распределенными транзакциями и рабочими процессами, а также оптимизацию характеристик вроде масштабируемости. Издание предназначено для опытных архитекторов и специалистов, сталкивающихся с неоднозначными решениями при проектировании сложных систем.</t>
  </si>
  <si>
    <t>Марк Ричардс; Нил Форд</t>
  </si>
  <si>
    <t>Фундаментальный подход к программной архитектуре.pdf</t>
  </si>
  <si>
    <t>Эта книга представляет собой всеобъемлющее руководство по программной архитектуре, охватывающее паттерны, свойства и проверенные методы проектирования. Ключевые разделы включают основы архитектурного мышления и модульности, обзор основных архитектурных стилей (от многоуровневой до микросервисов), а также технические приемы и гибкие навыки, такие как анализ рисков и лидерство. Издание предназначено как для начинающих разработчиков, стремящихся стать архитекторами, так и для уже состоявшихся специалистов, желающих систематизировать знания с учетом современных подходов.</t>
  </si>
  <si>
    <t>Чистая архитектура. Искусство разработки программного обеспечения</t>
  </si>
  <si>
    <t>Роберт Мартин</t>
  </si>
  <si>
    <t>Чистая_архитектура_Искусство_разработки_программного_обеспечения.pdf</t>
  </si>
  <si>
    <t>Книга Роберта Мартина «Чистая архитектура» посвящена принципам проектирования и построения программного обеспечения с акцентом на долгосрочную гибкость и снижение стоимости изменений. Ключевые концепции включают разделение поведения и архитектуры, обзор парадигм программирования (структурное, объектно-ориентированное, функциональное) и их влияние на дизайн. Издание предназначено для разработчиков всех уровней, системных аналитиков и архитекторов, стремящихся повысить профессионализм и качество создаваемых систем.</t>
  </si>
  <si>
    <t>Чистый дизайн. Практика эмпирического проектирования ПО</t>
  </si>
  <si>
    <t>Кент Бек</t>
  </si>
  <si>
    <t>Чистый дизайн.pdf</t>
  </si>
  <si>
    <t>Книга Кента Бека «Чистый дизайн» посвящена эмпирическому проектированию программного обеспечения и практическим методам очистки кода. Ключевые разделы охватывают конкретные техники рефакторинга (охранные выражения, извлечение функций), управление процессом изменений и теоретические основы дизайна, такие как сцепление, связность и экономическая ценность во времени. Издание предназначено для программистов и специалистов среднего и продвинутого уровня, стремящихся улучшить структуру существующего кода.</t>
  </si>
  <si>
    <t>Эволюционная архитектура. Автоматизированное управление программным обеспечением</t>
  </si>
  <si>
    <t>Нил Форд; Ребекка Парсонс; Патрик Куа; Прамод Садаладж</t>
  </si>
  <si>
    <t>Эволюционная архитектура.pdf</t>
  </si>
  <si>
    <t>Книга «Эволюционная архитектура» Нила Форда и соавторов посвящена созданию программных систем, способных адаптироваться к постоянно меняющимся требованиям. В ней вводятся ключевые концепции, такие как фитнес-функции для автоматизированной проверки архитектурных характеристик, а также рассматриваются управляемые и инкрементные изменения. Издание предназначено для специалистов в области разработки ПО, архитекторов и технических лидеров, стремящихся внедрить практики долгосрочного планирования и предотвращения деградации системы.</t>
  </si>
  <si>
    <t>Распределенные системы. Паттерны и парадигмы для масштабируемых и надежных систем на основе Kubernetes</t>
  </si>
  <si>
    <t>Брендан Бёрнс</t>
  </si>
  <si>
    <t>Распределенные системы.pdf</t>
  </si>
  <si>
    <t>C:\Users\alexa\YandexDisk\Книги\Архитектура\Архитеткура распределенных систем</t>
  </si>
  <si>
    <t>Книга Брендана Бёрнса посвящена паттернам проектирования распределенных систем, работающих на основе Kubernetes, и направлена на создание масштабируемых и надежных приложений. Второе издание охватывает одноузловые паттерны (Sidecar, Ambassador), паттерны обслуживающих систем (репликация, шардирование) и пакетных вычислений, а также новые главы по мониторингу и применению искусственного интеллекта. Издание предназначено для разработчиков ПО и системных архитекторов, стремящихся освоить устоявшиеся практики и повысить качество своих распределенных систем.</t>
  </si>
  <si>
    <t>Распределенные системы. Паттерны проектирования</t>
  </si>
  <si>
    <t>Бёрнс Б.</t>
  </si>
  <si>
    <t>Распределенные_системы_Паттерны_проектирования.pdf</t>
  </si>
  <si>
    <t>Эта книга Брендана Бёрнса посвящена проектированию распределенных систем и описывает фундаментальные, неустаревающие паттерны для их создания, поддержки и эксплуатации. Материал структурирован по трем частям: одноузловые паттерны (Sidecar, Ambassador), паттерны обслуживающих систем (репликация, шардирование) и паттерны пакетных вычислений (очереди задач, событийная обработка). Издание предназначено для специалистов, уже имеющих опыт разработки, которые хотят систематизировать знания и научиться уверенно проектировать распределенные системы как с нуля, так и модернизировать существующие.</t>
  </si>
  <si>
    <t>Herman Zapf &amp; His Design Philosophy</t>
  </si>
  <si>
    <t>Herman Zapf</t>
  </si>
  <si>
    <t>Издательство Студии Артемия Лебедева</t>
  </si>
  <si>
    <t>Архитектура/Дизайн</t>
  </si>
  <si>
    <t>Дизайн</t>
  </si>
  <si>
    <t>Философия дизайна Германа Цапфа.pdf</t>
  </si>
  <si>
    <t>C:\Users\alexa\YandexDisk\Книги\Архитектура\Дизайн</t>
  </si>
  <si>
    <t>Книга представляет собой сборник избранных статей и лекций выдающегося дизайнера Германа Цапфа, посвященных каллиграфии, шрифтовому дизайну и типографике. Ключевые разделы охватывают эволюцию шрифтового искусства от металлического набора до цифровых технологий, размышления о будущем каллиграфии, проблемы защиты авторских прав в дизайне шрифта и влияние электроники на типографику. Издание адресовано профессиональным шрифтовикам, дизайнерам, оформителям и художникам книги, то есть специалистам в области визуальных коммуникаций.</t>
  </si>
  <si>
    <t>Эмоциональный веб-дизайн</t>
  </si>
  <si>
    <t>Аарон Уолтер</t>
  </si>
  <si>
    <t>Эмоциональный_веб_дизайн.pdf</t>
  </si>
  <si>
    <t>Книга Аарона Уолтера «Эмоциональный веб-дизайн» посвящена созданию сайтов, которые вызывают у пользователей сильные положительные эмоции и формируют долгосрочную лояльность. Автор проводит параллели между промышленной революцией и современным веб-дизайном, подчеркивая ценность ручного труда и «человеческого» подхода в противовес массовому производству. Ключевая концепция заключается в том, что подлинный успех приходит не от кратковременных вирусных эффектов, а от умения доставить пользователю глубокое удовольствие, которым он захочет поделиться. Издание содержит тщательно подобранные примеры сайтов, демонстрирующие, как с помощью дизайна создать уютную атмосферу и повлиять на принятие решений аудиторией. Книга предназначена для веб-дизайнеров и специалистов, стремящихся вывести свои проекты на новый уровень, сочетая теорию с практическими советами.</t>
  </si>
  <si>
    <t>Mastering API Architecture</t>
  </si>
  <si>
    <t>James Gough; Daniel Bryant; Matthew Auburn</t>
  </si>
  <si>
    <t>Архитектура/Интеграция сиcтем (API)</t>
  </si>
  <si>
    <t>Интеграция сиcтем (API)</t>
  </si>
  <si>
    <t>Mastering_API_Architecture_Third_Early_Release_James_Gough,_Daniel.pdf</t>
  </si>
  <si>
    <t>C:\Users\alexa\YandexDisk\Книги\Архитектура\Интеграция сиcтем (API)</t>
  </si>
  <si>
    <t>Эта книга посвящена проектированию, созданию, эксплуатации и эволюции API-архитектур для распределенных систем и микросервисов. Авторы делятся рекомендациями и подходами, включая использование шаблонов проектирования (ADR) для принятия решений, и рассматривают как синхронные (REST, gRPC), так и асинхронные протоколы обмена данными. Издание предназначено для опытных разработчиков и «случайных архитекторов», которые хотят углубить свои знания в области построения эффективных и безопасных API.</t>
  </si>
  <si>
    <t>Проектирование архитектуры API.pdf</t>
  </si>
  <si>
    <t>Книга «Проектирование архитектуры API» Джеймса Гофа, Дэниэла Брайанта и Мэтью Оберна представляет собой фундаментальное руководство по разработке и реализации программных интерфейсов приложений. В ней рассматриваются базовые вопросы обмена информацией в микросервисной архитектуре, обработка запросов в парадигме REST, а также методы поступательного развития существующих API без их переписывания. Книга предназначена для архитекторов программного обеспечения, разработчиков и специалистов, желающих освоить создание API любой сложности с учетом возможностей и ограничений конкретной системы.</t>
  </si>
  <si>
    <t>Проектирование веб-API</t>
  </si>
  <si>
    <t>Проектирование веб-API.pdf</t>
  </si>
  <si>
    <t>Эта книга посвящена проектированию веб-API, рассматривая как устоявшиеся стандарты (REST, OpenAPI), так и современные подходы (GraphQL, gRPC). Ключевые темы включают характеристики правильно разработанного API, принцип безопасного проектирования, а также вопросы документирования, изменения и проверки API. Издание предназначено для разработчиков, обладающих минимальным опытом в создании и использовании API-интерфейсов.</t>
  </si>
  <si>
    <t>Создание веб-API Python с помощью FastAPI</t>
  </si>
  <si>
    <t>Абдулазиз Абдулазиз Адешина</t>
  </si>
  <si>
    <t>Создание веб-API Python с помощью FastAPI.pdf</t>
  </si>
  <si>
    <t>Эта книга представляет собой практическое руководство по созданию высокопроизводительных веб-API на Python с использованием фреймворка FastAPI. В ней рассматриваются ключевые концепции, такие как маршрутизация, валидация данных с помощью Pydantic, обработка ошибок, работа с шаблонами Jinja, а также подключение к базам данных (SQL и MongoDB) и структурирование приложений. Издание предназначено для разработчиков Python, желающих освоить современный и эффективный инструмент для создания API с минимальным количеством шаблонного кода.</t>
  </si>
  <si>
    <t>Building Microservices</t>
  </si>
  <si>
    <t>Sam Newman</t>
  </si>
  <si>
    <t>Архитектура/Микросервисы</t>
  </si>
  <si>
    <t>Микросервисы</t>
  </si>
  <si>
    <t>Building Microservices 2nd Ed 2Rev.pdf</t>
  </si>
  <si>
    <t>C:\Users\alexa\YandexDisk\Книги\Архитектура\Микросервисы</t>
  </si>
  <si>
    <t>Книга Сэма Ньюмена «Building Microservices» (второе издание) посвящена проектированию и внедрению мелкозернистых распределённых систем — микросервисов. В ней рассматриваются ключевые концепции, такие как независимое развёртывание, моделирование вокруг бизнес-доменов, владение собственным состоянием, а также сравниваются монолитные и микросервисные архитектуры. Отдельные разделы охватывают технологические основы (контейнеры, Kubernetes, стриминг, облачные сервисы), преимущества (гетерогенность, масштабируемость, устойчивость) и болевые точки микросервисов. Книга предназначена для специалистов среднего и продвинутого уровня, уже знакомых с основами разработки и желающих освоить практические аспекты построения микросервисных систем.</t>
  </si>
  <si>
    <t>Building Microservices Designing.pdf</t>
  </si>
  <si>
    <t>Книга Сэма Ньюмена «Building Microservices» (второе издание) представляет собой практическое руководство по проектированию и внедрению мелкозернистых распределённых систем. Ключевые концепции включают независимую развёртываемость, моделирование вокруг бизнес-доменов, владение собственным состоянием, а также сравнение с монолитами и анализ технологий вроде контейнеров и Kubernetes. Издание предназначено для разработчиков и архитекторов, уже знакомых с основами разработки ПО, которые хотят углубить знания в области микросервисной архитектуры.</t>
  </si>
  <si>
    <t>Microservice APIs</t>
  </si>
  <si>
    <t>José Haro Peralta</t>
  </si>
  <si>
    <t>Microservice APIs_Using Python, Flask, FastAPI.pdf</t>
  </si>
  <si>
    <t>Книга «Microservice APIs» Хосе Аро Перальты посвящена проектированию, разработке и развертыванию микросервисных API с использованием Python, Flask и FastAPI. В ней рассматриваются ключевые концепции, такие как документационно-ориентированная разработка (Documentation-driven development), принципы проектирования REST API, работа с OpenAPI, а также построение GraphQL API и вопросы безопасности. Издание предназначено для разработчиков, уже имеющих базовый опыт в Python и веб-технологиях, и стремящихся углубить знания в области микросервисной архитектуры.</t>
  </si>
  <si>
    <t>Principles of Web API Design: Delivering Value with APIs and Microservices</t>
  </si>
  <si>
    <t>James Higginbotham</t>
  </si>
  <si>
    <t>Principles_of_Web_API_Design_Delivering_Value_with_APIs_and_Microservices.pdf</t>
  </si>
  <si>
    <t>Книга Джеймса Хиггинботама «Principles of Web API Design» посвящена практическим принципам и процессам проектирования веб-API и микросервисов, ориентированным на создание бизнес-ценности. Ключевые концепции включают структурированный метод анализа, проектирования и документирования API, а также вопросы безопасности, событийности и отказоустойчивости. Издание входит в серию под редакцией Воана Вернона и предназначено для архитекторов и специалистов, уже знакомых с API-дисциплиной, но желающих внедрить повторяемый и эффективный процесс разработки.</t>
  </si>
  <si>
    <t>RESTful Web API паттерны и практики</t>
  </si>
  <si>
    <t>Майк Амундсен</t>
  </si>
  <si>
    <t>RESTful Web API паттерны и практики.pdf</t>
  </si>
  <si>
    <t>Книга Майка Амундсена посвящена проектированию и интеграции RESTful Web API с использованием принципов гипермедиа. Основное внимание уделяется практическим рецептам и паттернам для создания масштабируемых, безопасных и надежных приложений, объединяющих разрозненные сторонние сервисы. Ключевые разделы охватывают проектирование гипермедиа, разработку клиентов и сервисов, управление распределенными данными и организацию рабочих потоков. Издание предназначено для разработчиков программного обеспечения и архитекторов, уже имеющих опыт работы с API и стремящихся углубить свои знания в области интеграции и координации сервисов.</t>
  </si>
  <si>
    <t>Создание микросервисов</t>
  </si>
  <si>
    <t>Ньюмен С.</t>
  </si>
  <si>
    <t>Sem_Nyumen_-_Sozdanie_mikroservisov_-_2016.pdf</t>
  </si>
  <si>
    <t>Книга Сэма Ньюмена посвящена проектированию и разработке программного обеспечения в виде микросервисов — небольших, автономных и слабосвязанных компонентов. Ключевые разделы охватывают моделирование сервисов, интеграцию, разбиение монолита, развертывание, тестирование, мониторинг и безопасность. Издание предназначено для специалистов, стремящихся улучшить архитектуру приложений, избежать громоздкого кода и научиться масштабировать сложные проекты.</t>
  </si>
  <si>
    <t>Spring Microservices in Action</t>
  </si>
  <si>
    <t>Джон Карнелл; Иллари Уайлупо Санчес</t>
  </si>
  <si>
    <t>Микросервисы Spring в действии 2021.pdf</t>
  </si>
  <si>
    <t>Эта книга посвящена созданию приложений на основе микросервисов с использованием Java и Spring, начиная с простых служб и заканчивая развертыванием в облаке. Ключевые концепции включают управление конфигурацией, обнаружение служб, шаблоны устойчивости с Resilience4j, маршрутизацию через Spring Cloud Gateway, безопасность, событийно-ориентированную архитектуру и распределенную трассировку. Издание предназначено для разработчиков на Java, уже имеющих опыт создания распределенных приложений и использования Spring.</t>
  </si>
  <si>
    <t>John Carnell; Illary Huaylupo Sánchez</t>
  </si>
  <si>
    <t>Микросервисы SPRING.pdf</t>
  </si>
  <si>
    <t>Книга посвящена созданию микросервисных приложений на Java с использованием экосистемы Spring Cloud. В ней рассматриваются ключевые концепции: управление конфигурацией, обнаружение служб, маршрутизация через Spring Cloud Gateway, обеспечение устойчивости с помощью Resilience4j, безопасность, событийно-ориентированная архитектура и распределенная трассировка. Издание предназначено для Java-разработчиков, имеющих опыт создания распределенных приложений и работы со Spring.</t>
  </si>
  <si>
    <t>Микросервисы и API</t>
  </si>
  <si>
    <t>Микросервисы и API.pdf</t>
  </si>
  <si>
    <t>Фрагмент книги Хосе Аро Перальты «Микросервисы и API» посвящен методологии разработки через документирование (documentation-driven development) для API, а также основам проектирования REST API с использованием конечных точек и HTTP-семантики. Ключевые концепции включают последовательность: проектирование и документирование API, разработка сервера и клиента на основе спецификации, а затем тестирование на соответствие этой спецификации, что снижает риски интеграции. Книга предназначена для разработчиков, уже знакомых с основами программирования (уровень от начинающего до специалиста), и содержит практические примеры на Python с использованием Flask, FastAPI и OpenAPI.</t>
  </si>
  <si>
    <t>Микросервисы. От архитектуры до релиза</t>
  </si>
  <si>
    <t>Ронни Митра; Иракли Надареишвили</t>
  </si>
  <si>
    <t>Микросервисы.pdf</t>
  </si>
  <si>
    <t>Книга представляет собой пошаговое руководство по построению эффективной микросервисной архитектуры, охватывающее полный цикл от проектирования до релиза. Ключевые разделы включают разработку операционной модели, определение границ сервисов, работу с данными, создание инфраструктуры и управление изменениями. Издание предназначено для архитекторов и инженеров, уже имеющих базовые знания и стремящихся внедрить проверенные методы для создания масштабируемых систем.</t>
  </si>
  <si>
    <t>Микросервисы. Паттерны разработки и рефакторинга</t>
  </si>
  <si>
    <t>Крис Ричардсон</t>
  </si>
  <si>
    <t>Микросервисы_Паттерны_разработки.pdf</t>
  </si>
  <si>
    <t>Эта книга Криса Ричардсона посвящена проектированию, разработке и рефакторингу приложений с использованием микросервисной архитектуры. В ней рассматриваются ключевые концепции, такие как стратегии декомпозиции монолита, межпроцессное взаимодействие, управление транзакциями, тестирование и развертывание микросервисов. Издание предназначено для разработчиков и архитекторов программного обеспечения, работающих в крупных корпорациях и стремящихся ускорить процессы разработки и доставки приложений.</t>
  </si>
  <si>
    <t>Микросервисы_Паттерны_разработки_и_рефакторинга 2019.pdf</t>
  </si>
  <si>
    <t>Книга Криса Ричардсона посвящена проектированию, разработке и рефакторингу приложений с использованием микросервисной архитектуры. В ней рассматриваются ключевые концепции, такие как стратегии декомпозиции монолита, межпроцессное взаимодействие, управление транзакциями через повествования, тестирование и развертывание сервисов. Издание предназначено для разработчиков и архитекторов из крупных корпораций, уже знакомых с разработкой, которые хотят ускорить процессы непрерывной разработки и доставки сложных приложений.</t>
  </si>
  <si>
    <t>Monolith to Microservices</t>
  </si>
  <si>
    <t>От монолита к микросервисам (2) (2).pdf</t>
  </si>
  <si>
    <t>Книга Сэма Ньюмена «От монолита к микросервисам» посвящена практическим методам и шаблонам миграции существующих монолитных систем на микросервисную архитектуру без остановки работы организации. Ключевые концепции включают декомпозицию приложений и баз данных, анализ сопряженности и связности, а также стратегии независимого развертывания. Издание предназначено для системных архитекторов, разработчиков и ИТ-специалистов, уже знакомых с основами микросервисов и ищущих проверенные подходы к рефакторингу.</t>
  </si>
  <si>
    <t>От монолита к микросервисам (2).pdf</t>
  </si>
  <si>
    <t>Книга Сэма Ньюмена «От монолита к микросервисам» посвящена практическому руководству по эволюционной миграции существующих монолитных систем на микросервисную архитектуру без остановки работы организации. Ключевые концепции включают определение микросервисов (независимая развертываемость, владение данными, моделирование вокруг бизнес-домена), анализ типов монолитов и их трудностей, а также разбор видов сопряженности (имплементационной, временной, доменной). Издание предназначено для системных архитекторов, разработчиков и ИТ-специалистов, уже знакомых с основами архитектуры и стремящихся к практической миграции.</t>
  </si>
  <si>
    <t>От монолита к микросервисам.pdf</t>
  </si>
  <si>
    <t>Книга Сэма Ньюмена посвящена проверенным методам и шаблонам миграции существующей монолитной архитектуры на микросервисы. Ключевые концепции включают независимую развертываемость, моделирование вокруг бизнес-домена, владение собственными данными, а также анализ сопряженности и связности системы. Издание предназначено для системных архитекторов, разработчиков и ИТ-специалистов, уже знакомых с основами микросервисов и желающих освоить практические стратегии декомпозиции приложений и баз данных.</t>
  </si>
  <si>
    <t>Сэм Ньюмен</t>
  </si>
  <si>
    <t>Создание микросервисов.pdf</t>
  </si>
  <si>
    <t>Книга Сэма Ньюмена «Создание микросервисов» представляет собой практическое руководство по проектированию, разработке и эксплуатации распределенных систем на основе микросервисной архитектуры. Второе издание охватывает полный жизненный цикл: от моделирования и интеграции сервисов до тестирования, развертывания, мониторинга и обеспечения безопасности, а также затрагивает организационные аспекты и роль эволюционного архитектора. Издание предназначено для широкого круга ИТ-специалистов — от разработчиков и архитекторов до тестировщиков и инженеров эксплуатации, имеющих базовый опыт работы с распределенными системами.</t>
  </si>
  <si>
    <t>Создание событийно-управляемых микросервисов: Пер. с англ.</t>
  </si>
  <si>
    <t>Беллемар А.</t>
  </si>
  <si>
    <t>Создание_событийно_управляемых_микросервисов.pdf</t>
  </si>
  <si>
    <t>Книга Адама Беллемара посвящена созданию событийно-управляемых микросервисов для обработки больших объемов данных. В ней рассматриваются ключевые концепции, такие как предметно-ориентированное проектирование, ограниченные контексты и асинхронные коммуникационные структуры, а также сравниваются преимущества событийно-управляемой архитектуры перед синхронными микросервисами. Издание предназначено для системных архитекторов, разработчиков и ИТ-специалистов, имеющих опыт в проектировании программных систем.</t>
  </si>
  <si>
    <t>Основы web дизайна Разработка, создание и сопровождение</t>
  </si>
  <si>
    <t>laral</t>
  </si>
  <si>
    <t>Архитектура/Основы и принципы построения архитектуры</t>
  </si>
  <si>
    <t>Основы и принципы построения архитектуры</t>
  </si>
  <si>
    <t>Основы_web_дизайна_Разработка,_создание_и_сопровождение.pdf</t>
  </si>
  <si>
    <t>C:\Users\alexa\YandexDisk\Книги\Архитектура\Основы и принципы построения архитектуры</t>
  </si>
  <si>
    <t>Устойчивый веб-дизайн</t>
  </si>
  <si>
    <t>Jeremy Keith</t>
  </si>
  <si>
    <t>Устойчивый веб-дизайн.pdf</t>
  </si>
  <si>
    <t>Книга Джереми Кейта «Устойчивый веб-дизайн» представляет собой не практическое руководство, а скорее учебник по истории и философии веба, исследующий идеи и подходы, которые доказали свою устойчивость. Ключевые концепции включают важность основ (разметки, стилей), прогрессивное улучшение, многослойность разработки и необходимость извлекать уроки из прошлого для создания сайтов будущего. Книга предназначена для веб-дизайнеров и front-end разработчиков любого уровня, интересующихся не только кодом, но и фундаментальными принципами ремесла.</t>
  </si>
  <si>
    <t>Foundations of Scalable Systems</t>
  </si>
  <si>
    <t>Ian Gorton</t>
  </si>
  <si>
    <t>Архитектура/Системная архитектура</t>
  </si>
  <si>
    <t>Системная архитектура</t>
  </si>
  <si>
    <t>Foundations of Scalable Systems.pdf</t>
  </si>
  <si>
    <t>C:\Users\alexa\YandexDisk\Книги\Архитектура\Системная архитектура</t>
  </si>
  <si>
    <t>Книга Яна Гортона «Foundations of Scalable Systems» посвящена принципам проектирования масштабируемых распределенных систем. В ней рассматриваются ключевые концепции, такие как репликация, управление состоянием, балансировка нагрузки и кэширование, а также отдельные разделы посвящены масштабированию баз данных, микросервисов и систем потоковой обработки событий. Издание предназначено для архитекторов и разработчиков программного обеспечения, уже имеющих практический опыт и желающих освоить компромиссы и технологии, необходимые для быстрого и экономичного масштабирования приложений.</t>
  </si>
  <si>
    <t>Solutions Architect’s Handbook</t>
  </si>
  <si>
    <t>Saurabh Shrivastava; Neelanjali Srivastav</t>
  </si>
  <si>
    <t>Solutions architect Архитектура.pdf</t>
  </si>
  <si>
    <t>Книга представляет собой третье издание практического руководства по архитектуре ИТ-решений, написанное экспертами AWS. Она охватывает ключевые концепции, такие как облачно-ориентированные архитектуры, инженерия данных, модернизация мейнфреймов, а также применение генеративного ИИ и больших языковых моделей. Издание включает пошаговое описание процесса проектирования, анализ функциональных и нефункциональных требований, работу со стейкхолдерами и развитие гибких навыков. Книга предназначена для практикующих и начинающих архитекторов решений, а также для специалистов, стремящихся углубить знания в области проектирования современных ИТ-систем.</t>
  </si>
  <si>
    <t>Solutions Architect's Handbook</t>
  </si>
  <si>
    <t>solutions-architects-handbook-kick-start-architecture.pdf</t>
  </si>
  <si>
    <t>Это фрагмент книги «Solutions Architect's Handbook», которая представляет собой практическое руководство по началу карьеры архитектора решений. Книга охватывает ключевые принципы проектирования, включая высокую доступность, надежность, производительность, безопасность и оптимизацию затрат, а также углубляется в облачные архитектуры, DevOps и машинное обучение. Издание предназначено для IT-специалистов, желающих перейти на роль архитектора решений, и основано на личном опыте авторов.</t>
  </si>
  <si>
    <t>The Elements of Computing Systems: Building a Modern Computer from First Principles</t>
  </si>
  <si>
    <t>Noam Nisan; Shimon Schocken</t>
  </si>
  <si>
    <t>Архитектура компьютерных систем.pdf</t>
  </si>
  <si>
    <t>Книга «Архитектура компьютерных систем» Ноама Нисана и Шимона Шокена предлагает практический подход к изучению вычислительных систем через построение современного компьютера с нуля. Она охватывает как аппаратное обеспечение (булева логика, арифметика, память, машинный язык и архитектура), так и программное (виртуальные машины, компиляторы, высокоуровневый язык Jack и операционная система). Ключевая концепция — последовательное конструирование от простейшего логического элемента Nand до полноценной работающей платформы. Книга предназначена для студентов и специалистов, желающих получить целостное понимание компьютерных систем, и подходит как для новичков, так и для опытных разработчиков.</t>
  </si>
  <si>
    <t>Архитектура вычислительных систем и компьютерных сетей</t>
  </si>
  <si>
    <t>Лиманова Н.И.</t>
  </si>
  <si>
    <t>ПГУТИ</t>
  </si>
  <si>
    <t>Архитектура_вычислительных_систем_и_компьютерных_сетей.pdf</t>
  </si>
  <si>
    <t>Учебное пособие Н.И. Лимановой посвящено архитектуре вычислительных систем и компьютерных сетей, охватывая эволюцию вычислительной техники от ENIAC до современных суперкомпьютеров. Ключевые разделы включают историю и классификацию вычислительных машин, арифметические и логические основы их организации, типы процессоров и многопроцессорных систем, а также принципы организации памяти и ввода-вывода. Книга предназначена для студентов и аспирантов технических направлений подготовки, соответствующих Государственному стандарту РФ, то есть для уровня начинающих специалистов.</t>
  </si>
  <si>
    <t>Масштабирование приложений. Выращивание сложных систем</t>
  </si>
  <si>
    <t>Масштабирование_приложений_Выращивание_сложных_систем.pdf</t>
  </si>
  <si>
    <t>Книга посвящена принципам и практикам масштабирования программных приложений, рассматривая рост системы как эволюционный процесс. В ней разбираются ключевые концепции, такие как архитектурные паттерны, балансировка нагрузки, кэширование и управление базами данных. Издание ориентировано на разработчиков и системных архитекторов среднего и продвинутого уровня, стремящихся создавать отказоустойчивые и производительные системы.</t>
  </si>
  <si>
    <t>Книга Питхейна Стренгхольта посвящена методам построения масштабируемых архитектур для управления данными в условиях высоких нагрузок. В ней рассматриваются ключевые концепции, такие как организация данных в масштабе, архитектура хранилищ только для чтения, API и потоковая обработка событий, а также вопросы безопасности и демократизации данных через метаданные. Издание предназначено для архитекторов и аналитиков данных, а также специалистов по управлению и соблюдению требований, то есть для профессионалов, уже знакомых с предметной областью.</t>
  </si>
  <si>
    <t>Платформа LAMP</t>
  </si>
  <si>
    <t>Платформа_LAMP.pdf</t>
  </si>
  <si>
    <t>Фрагмент описывает систему автоматизации работы с документами, внедренную в компании «Газпром нефть», которая включает распознавание типов документов, извлечение ключевых данных, маршрутизацию по отделам, выявление рисков и противоречий, а также совместное редактирование. Ключевые разделы посвящены определению типа документа и заполнению карточки, маршрутизации, извлечению ссылок и сущностей, выявлению рисков, разработке документов с онлайн-редактором и поиску по базе знаний. Материал предназначен для специалистов, работающих с договорами и документооборотом, а также для IT-аналитиков и юристов, интересующихся автоматизацией бизнес-процессов.</t>
  </si>
  <si>
    <t>Системная инженерия для «чайников»</t>
  </si>
  <si>
    <t>Шамие, Кэтлин; Брауна, Барклая; Гормана, Грега; Хофмана, Ханса-Питера; Нолана, Брайана Т.; Шоафа, Стива</t>
  </si>
  <si>
    <t>Системная инженерия-для чайников.PDF</t>
  </si>
  <si>
    <t>Не удалось определить содержимое</t>
  </si>
  <si>
    <t>Соглашение о моделировании архитектуры государственной информационной системы, цифрового продукта или сервиса на Единой цифровой платформе Российской Федерации «ГосТех»</t>
  </si>
  <si>
    <t>Дмитрий Николаевич Слуцков</t>
  </si>
  <si>
    <t>Соглашение_о_моделировании_ИС_ГосТех_v_1_2.pdf</t>
  </si>
  <si>
    <t>Данный документ представляет собой официальное соглашение по моделированию архитектуры государственных информационных систем, цифровых продуктов и сервисов, создаваемых на платформе «ГосТех». Ключевые разделы включают принципы создания архитектурных описаний, методологию, а также восемь архитектурных точек зрения (от общеархитектурной до системной) с соответствующими моделями и представлениями. Соглашение предназначено для специалистов, участвующих во всех этапах жизненного цикла систем, и направлено на обеспечение согласованности, стандартизацию описаний и соответствие требованиям платформы «ГосТех».</t>
  </si>
  <si>
    <t>К. Розенталь; Н. Джонс</t>
  </si>
  <si>
    <t>Хаос_инжиниринг_2020_Розенталь_Джонс.pdf</t>
  </si>
  <si>
    <t>Книга Кейси Розенталя и Норы Джонс посвящена хаос-инжинирингу — методологии повышения устойчивости сложных распределенных систем путем активного выявления уязвимостей до того, как они приведут к отказам. Авторы, пионеры этого направления из Netflix, объясняют фундаментальные принципы, работу со сложностью и переход от теории к практике, включая организацию автоматизированных экспериментов. Издание содержит реальные кейсы от экспертов Google, Microsoft, Slack и LinkedIn, а также рассматривает применение хаос-инжиниринга за пределами традиционного ПО. Книга предназначена для разработчиков и инженеров по эксплуатации, стремящихся повысить надежность корпоративных систем для достижения бизнес-целей.</t>
  </si>
  <si>
    <t>Проектирование веб-интерфейсов</t>
  </si>
  <si>
    <t>Билл Скотт; Тереза Нейл</t>
  </si>
  <si>
    <t>Архитектура/Шаблоны проектирования</t>
  </si>
  <si>
    <t>Шаблоны проектирования</t>
  </si>
  <si>
    <t>Проектирование_веб_интерфейсов.pdf</t>
  </si>
  <si>
    <t>C:\Users\alexa\YandexDisk\Книги\Архитектура\Шаблоны проектирования</t>
  </si>
  <si>
    <t>Книга Билла Скотта и Терезы Нейл «Проектирование веб-интерфейсов» посвящена созданию удобных и интерактивных веб-приложений с использованием современных шаблонов взаимодействия. В ней рассматриваются шесть ключевых принципов, включая прямые действия, перетаскивание и контекстные инструменты, а также более 75 готовых шаблонов для решения типовых задач. Издание содержит множество примеров с реальных сайтов и будет полезно как начинающим, так и опытным веб-дизайнерам и разработчикам.</t>
  </si>
  <si>
    <t>Шаблоны проектирования для облачной среды</t>
  </si>
  <si>
    <t>Шаблоны_проектирования_для_облачной_среды.pdf</t>
  </si>
  <si>
    <t>Книга посвящена проектированию облачных приложений (cloud-native), которые обеспечивают нулевое время простоя, масштабируемость и отказоустойчивость. В ней рассматриваются фундаментальные шаблоны и методы, включая жизненный цикл приложений, управление конфигурацией, обновление без простоев, обнаружение служб и динамическую маршрутизацию. Издание предназначено для разработчиков, обладающих базовыми навыками проектирования ПО и пониманием кода на Java или аналогичных языках.</t>
  </si>
  <si>
    <t>Cassandra: The Definitive Guide</t>
  </si>
  <si>
    <t>Jeff Carpenter; Eben Hewitt</t>
  </si>
  <si>
    <t>Базы данных/Cassandra</t>
  </si>
  <si>
    <t>Базы данных</t>
  </si>
  <si>
    <t>Cassandra</t>
  </si>
  <si>
    <t>Cassandra Полное руководство.pdf</t>
  </si>
  <si>
    <t>C:\Users\alexa\YandexDisk\Книги\Базы данных\Cassandra</t>
  </si>
  <si>
    <t>Книга «Cassandra. Полное руководство» (второе издание) Джеффа Карпентера и Эбена Хьюитта посвящена системе управления базами данных Apache Cassandra, предназначенной для работы с распределёнными данными в масштабе веба. В ней рассматриваются ключевые концепции: отказ от реляционной модели в пользу нереляционного дизайна, эластичная масштабируемость, высокая доступность, настраиваемая согласованность и работа в нескольких ЦОДах. Издание охватывает версию Cassandra 3.0 и содержит технические детали, практические примеры и рекомендации по моделированию данных. Книга предназначена для разработчиков, администраторов баз данных и архитекторов, работающих с «большими данными» и решающих задачи масштабирования.</t>
  </si>
  <si>
    <t>Cassandra.pdf</t>
  </si>
  <si>
    <t>Книга «Cassandra. Полное руководство» Джеффа Карпентера и Эбена Хьюитта посвящена системе управления базами данных Apache Cassandra, предназначенной для работы с большими данными в распределённой среде. В ней рассматриваются ключевые концепции NoSQL, включая децентрализованную архитектуру, эластичную масштабируемость, высокую доступность и настраиваемую согласованность, а также практические аспекты моделирования данных и установки. Издание предназначено для разработчиков, администраторов баз данных и архитекторов, уже знакомых с реляционными СУБД и стремящихся решить проблемы масштабирования веб-приложений.</t>
  </si>
  <si>
    <t>Elasticsearch in Action, Second Edition</t>
  </si>
  <si>
    <t>Madhusudhan Konda</t>
  </si>
  <si>
    <t>Базы данных/Elasticsearch</t>
  </si>
  <si>
    <t>Elasticsearch</t>
  </si>
  <si>
    <t>Elasticsearch.in.Action.pdf</t>
  </si>
  <si>
    <t>C:\Users\alexa\YandexDisk\Книги\Базы данных\Elasticsearch</t>
  </si>
  <si>
    <t>Книга «Elasticsearch in Action, Second Edition» Мадхусудхана Конды посвящена работе с поисковым и аналитическим движком Elasticsearch, который является ядром стека Elastic Stack. В ней подробно рассматриваются ключевые концепции: архитектура, маппинг, работа с документами, текстовый анализ, различные типы поиска (терминальный, полнотекстовый, составные запросы), агрегации и администрирование. Издание предназначено как для новичков, желающих освоить современные системы поиска, так и для специалистов, стремящихся к углубленному пониманию инструмента.</t>
  </si>
  <si>
    <t>Elasticsearch_in_Action_2Ed_Eng.pdf</t>
  </si>
  <si>
    <t>Книга «Elasticsearch in Action, Second Edition» представляет собой практическое руководство по изучению Elasticsearch — распределённой поисковой системы и аналитического движка. В ней рассматриваются ключевые концепции: архитектура, маппинг, работа с документами, текстовый анализ, различные типы поиска (терминальный, полнотекстовый, составной), агрегации и администрирование. Издание предназначено для разработчиков, DevOps-инженеров и архитекторов любого уровня — от новичков до опытных специалистов, желающих освоить Elasticsearch на практике с помощью множества примеров и упражнений.</t>
  </si>
  <si>
    <t>Релевантный поиск с использованием Elasticsearch и Solr</t>
  </si>
  <si>
    <t>Релевантный_поиск_с_использованием_Elasticsearch_и_Solr_2018.pdf</t>
  </si>
  <si>
    <t>Книга посвящена практическому применению технологий релевантного поиска с использованием систем Elasticsearch и Solr. В ней рассматриваются ключевые концепции построения поисковых индексов, настройки анализаторов, ранжирования результатов и оптимизации запросов для повышения точности выдачи. Издание ориентировано на разработчиков и IT-специалистов, уже знакомых с основами работы с поисковыми движками, и предлагает углублённые методы настройки поиска под конкретные бизнес-задачи.</t>
  </si>
  <si>
    <t>Mongo DB полное руководство</t>
  </si>
  <si>
    <t>Шеннон Брэдшоу; Йон Брэзил; Кристина Ходоров</t>
  </si>
  <si>
    <t>Базы данных/MongoDB</t>
  </si>
  <si>
    <t>MongoDB</t>
  </si>
  <si>
    <t>Mongo DB полное руководство.pdf</t>
  </si>
  <si>
    <t>C:\Users\alexa\YandexDisk\Книги\Базы данных\MongoDB</t>
  </si>
  <si>
    <t>Книга представляет собой исчерпывающее руководство по MongoDB 4.2 — мощной документоориентированной системе управления базами данных. В ней подробно рассматриваются операции записи и сложные запросы, индексация, агрегация данных, транзакции, настройка наборов реплик и кластеров шардинга, а также аспекты администрирования, включая аутентификацию, мониторинг и резервное копирование. Издание предназначено для разработчиков баз данных и системных администраторов, работающих с масштабируемыми проектами, и подходит как для новичков, так и для опытных специалистов.</t>
  </si>
  <si>
    <t>MongoDB в действии</t>
  </si>
  <si>
    <t>mongodb-в действии-.pdf</t>
  </si>
  <si>
    <t>Книга «MongoDB в действии» посвящена практическому применению документоориентированной СУБД MongoDB. В ней рассматриваются ключевые концепции, такие как модель данных на основе документов, индексирование, агрегация, репликация и шардирование для обеспечения масштабируемости. Издание предназначено для разработчиков и администраторов баз данных, уже имеющих базовый опыт работы с реляционными базами данных и желающих освоить NoSQL-подход.</t>
  </si>
  <si>
    <t>The Little MongoDB Book</t>
  </si>
  <si>
    <t>Karl Seguin</t>
  </si>
  <si>
    <t>Маленькая книга о MongoDB.pdf</t>
  </si>
  <si>
    <t>Этот фрагмент из «Маленькой книги о MongoDB» представляет собой введение в NoSQL и документо-ориентированную СУБД MongoDB. Книга объясняет, что NoSQL — это не единая технология, а набор специализированных инструментов для хранения данных, и позиционирует MongoDB как универсальную альтернативу реляционным базам данных. В отрывке также описывается структура драйверов MongoDB (официальные низкоуровневые и созданные сообществом высокоуровневые) и даются инструкции по установке. Материал ориентирован на новичков, желающих освоить базовые возможности MongoDB через работу с консолью и примеры.</t>
  </si>
  <si>
    <t>Introducing Microsoft SQL Server 2019</t>
  </si>
  <si>
    <t>Kellyn Gorman;Allan Hirt;Dave Noderer;James Rowland-Jones;Arun Sirpal;Dustin Ryan;Buck Woody</t>
  </si>
  <si>
    <t>Базы данных/MS SQLServer</t>
  </si>
  <si>
    <t>MS SQLServer</t>
  </si>
  <si>
    <t>MS_SQL-2019.pdf</t>
  </si>
  <si>
    <t>C:\Users\alexa\YandexDisk\Книги\Базы данных\MS SQLServer</t>
  </si>
  <si>
    <t>Книга «Introducing Microsoft SQL Server 2019» представляет собой руководство по новой версии СУБД от Microsoft, освещающее такие ключевые аспекты, как надежность, масштабируемость и безопасность при работе как на локальных серверах, так и в облаке. В издании рассматриваются концепции Big Data Clusters, виртуализации данных и интеграции с Azure, а также приводятся практические рекомендации по оптимизации и администрированию. Материал ориентирован на ИТ-специалистов и администраторов баз данных среднего и продвинутого уровня, желающих освоить возможности SQL Server 2019.</t>
  </si>
  <si>
    <t>SQL Server. Наладка и оптимизация для профессионалов</t>
  </si>
  <si>
    <t>Дмитрий Короткевич</t>
  </si>
  <si>
    <t>SQL_Server_Наладка_и_оптимизация_для_профессионалов.pdf</t>
  </si>
  <si>
    <t>Книга Дмитрия Короткевича посвящена углублённым методам диагностики, наладки и оптимизации производительности Microsoft SQL Server. Ключевые разделы охватывают настройку системы, анализ статистики ожиданий, работу с дисковой подсистемой, памятью, блокировками, журналом транзакций, группами доступности AlwaysOn, а также особенности работы в виртуальных и облачных средах. Издание предназначено для опытных специалистов по базам данных, включая разработчиков и администраторов, стремящихся системно выявлять и устранять проблемы производительности.</t>
  </si>
  <si>
    <t>Инновации SQL Server 2019. Использование технологий больших данных и машинного обучения</t>
  </si>
  <si>
    <t>Боб Уорд (Bob Ward)</t>
  </si>
  <si>
    <t>Инновации SQL Server 2019.pdf</t>
  </si>
  <si>
    <t>Книга «Инновации SQL Server 2019» Боба Уорда посвящена обзору новых функций и возможностей одноименной СУБД, включая работу с кластерами больших данных и машинным обучением. Ключевые разделы охватывают интеллектуальную настройку производительности, новые механизмы безопасности (например, Always Encrypted с защищенными областями) и повышение непрерывной доступности для критически важных систем. Издание адресовано разработчикам и ИТ-специалистам, уже знакомым с базовыми функциями SQL Server.</t>
  </si>
  <si>
    <t>Mastering MySQL for the Web: A Beginner’s Guide</t>
  </si>
  <si>
    <t>Sufyan bin Uzayr</t>
  </si>
  <si>
    <t>Базы данных/MySQL</t>
  </si>
  <si>
    <t>MySQL</t>
  </si>
  <si>
    <t>Mastering MySQL for Web A Beginners Guide.pdf</t>
  </si>
  <si>
    <t>C:\Users\alexa\YandexDisk\Книги\Базы данных\MySQL</t>
  </si>
  <si>
    <t>Книга «Mastering MySQL for the Web: A Beginner’s Guide» представляет собой вводное руководство по работе с СУБД MySQL, предназначенное для обработки больших объёмов данных в веб-приложениях. Она охватывает ключевые концепции, включая установку и настройку MySQL, моделирование данных (создание таблиц, связей и хранимых процедур), разработку SQL-скриптов и администрирование сервера (управление пользователями, ролями и несколькими экземплярами). Издание рассчитано на начинающих пользователей, желающих освоить основы MySQL для веб-разработки.</t>
  </si>
  <si>
    <t>MySQL 8 for Big Data</t>
  </si>
  <si>
    <t>Shabbir Challawala; Jaydip Lakhatariya; Chintan Mehta; Kandarp Patel</t>
  </si>
  <si>
    <t>MySQL 8 для больших данных 2018.pdf</t>
  </si>
  <si>
    <t>Книга посвящена использованию MySQL 8 для эффективной обработки больших данных, включая интеграцию с Apache Hadoop, MapReduce и NoSQL API. В ней рассматриваются такие ключевые концепции, как агрегация данных, различные виды соединений, ускорение обработки с помощью Memcached и реализация репликации для высокодоступных решений. Издание предназначено для администраторов баз данных MySQL и специалистов по большим данным, желающих освоить высокопроизводительные решения.</t>
  </si>
  <si>
    <t>MySQL Cookbook, 4th Edition</t>
  </si>
  <si>
    <t>Sveta Smirnova;Alkin Tezuysal</t>
  </si>
  <si>
    <t>MySQL Cookbook, 4th Edition  2022.pdf</t>
  </si>
  <si>
    <t>Это четвёртое издание книги «MySQL Cookbook», предназначенное для разработчиков, которым нужны быстрые и практичные решения для работы с MySQL. Книга построена в формате «проблема-решение» и содержит сотни коротких примеров кода, охватывающих такие темы, как написание SQL-запросов, работа с датами, транзакции, удаление дубликатов, использование представлений, хранимых процедур и настройка репликации. Издание ориентировано как на новичков, так и на опытных специалистов, желающих освоить конкретные приёмы без необходимости разрабатывать код с нуля.</t>
  </si>
  <si>
    <t>High Performance MySQL</t>
  </si>
  <si>
    <t>Baron Schwartz;Peter Zaitsev;Vadim Tkachenko</t>
  </si>
  <si>
    <t>MySQL по максимуму 2018.pdf</t>
  </si>
  <si>
    <t>Это третье издание книги «MySQL по максимуму», посвящённое глубокой оптимизации, репликации и резервному копированию СУБД MySQL. Ключевые разделы охватывают архитектуру MySQL, эталонное тестирование, профилирование производительности, оптимизацию схем, индексов и запросов, а также настройку сервера, операционной системы и оборудования. Книга предназначена для опытных специалистов и экспертов, стремящихся выжать из MySQL максимум возможностей и решать сложные задачи масштабирования и обеспечения высокой доступности.</t>
  </si>
  <si>
    <t>MySQL по максимуму</t>
  </si>
  <si>
    <t>Сильвия Ботрос; Джереми Тинли</t>
  </si>
  <si>
    <t>MySQL по максимуму.pdf</t>
  </si>
  <si>
    <t>Книга «MySQL по максимуму» (4-е издание) посвящена глубокой оптимизации и эксплуатации СУБД MySQL, охватывая все аспекты от архитектуры и настройки сервера до проектирования схем, индексов и запросов. Ключевые разделы включают мониторинг надежности, репликацию, резервное копирование, масштабирование (в том числе в облаке) и соответствие нормативным требованиям. Издание обновлено с учётом последних версий MySQL, производительности InnoDB и облачного хостинга. Книга предназначена для опытных администраторов баз данных и разработчиков, стремящихся выжать максимум производительности и стабильности из своей платформы.</t>
  </si>
  <si>
    <t>Learn SQL with MySQL: Retrieve and Manipulate Data Using SQL Commands with Ease</t>
  </si>
  <si>
    <t>Ashwin Pajankar</t>
  </si>
  <si>
    <t>Изучаем SQL и MySQL.pdf</t>
  </si>
  <si>
    <t>Книга Ашвина Паджанкара представляет собой практическое руководство по изучению языка SQL с использованием СУБД MySQL, предназначенное для начинающих разработчиков и специалистов, желающих освоить извлечение и манипулирование данными с помощью SQL-команд. В предисловии автор подчеркивает, что SQL является универсальным языком для реляционных и объектно-реляционных баз данных, и помогает читателю разобраться в многообразии СУБД, делая акцент на MySQL. Книга рассчитана на новичков, которые хотят получить базовые навыки работы с базами данных, а также на практикующих программистов, регулярно взаимодействующих с сервисами баз данных.</t>
  </si>
  <si>
    <t>Самоучитель MySQL 5</t>
  </si>
  <si>
    <t>Кузнецов М. В.; Симдянов И. В.</t>
  </si>
  <si>
    <t>Кузнецов-MYSQL5.pdf</t>
  </si>
  <si>
    <t>Эта книга представляет собой самоучитель по работе с СУБД MySQL версии 5, предназначенный для программистов и веб-разработчиков. В начале рассматриваются основы SQL и простейшие операции с базами данных, затем переходят к более сложным темам, таким как встроенные функции, транзакции и полнотекстовый поиск. Отдельное внимание уделяется нововведениям пятой версии: вложенным запросам, хранимым процедурам, триггерам и представлениям. Материал рассчитан на читателей, уже имеющих начальные навыки программирования, и сопровождается примерами на основе учебной базы данных.</t>
  </si>
  <si>
    <t>Работа с MySQL, MS SQL Server и Oracle в примерах</t>
  </si>
  <si>
    <t>Svyatoslav_Kulikov@epam.com</t>
  </si>
  <si>
    <t>EPAM Systems, RD Dep</t>
  </si>
  <si>
    <t>Работа с MySql,_MS_SQL_Server_and_Oracle в приммерах.pdf</t>
  </si>
  <si>
    <t>Это практическое пособие, посвященное работе с тремя популярными СУБД: MySQL, MS SQL Server и Oracle. Книга построена на множестве примеров и охватывает такие ключевые темы, как создание и наполнение базы данных, написание запросов на выборку и модификацию данных, а также использование представлений и триггеров. Материал предназначен для программистов и тестировщиков, имеющих начальный или средний уровень подготовки.</t>
  </si>
  <si>
    <t>SQL and NoSQL Databases</t>
  </si>
  <si>
    <t>Michael Kaufmann; Andreas Meier</t>
  </si>
  <si>
    <t>Springer Nature Switzerland AG</t>
  </si>
  <si>
    <t>Базы данных/NoSQL базы данных</t>
  </si>
  <si>
    <t>NoSQL базы данных</t>
  </si>
  <si>
    <t>SQL and NoSQL Databases.pdf</t>
  </si>
  <si>
    <t>C:\Users\alexa\YandexDisk\Книги\Базы данных\NoSQL базы данных</t>
  </si>
  <si>
    <t>Книга представляет собой второе издание учебного пособия, посвященного базам данных SQL и NoSQL, их моделированию, языкам запросов, вопросам безопасности и архитектурам для управления большими данными. Ключевые концепции включают различие между администрированием базы данных и работой с пользовательскими данными, а также важность поиска баланса между строгостью и гибкостью при проектировании систем. Издание предназначено как для специалистов в области баз данных, так и для широкого круга читателей, включая менеджеров и студентов, желающих понять внутреннее устройство и экономическую значимость современных баз данных.</t>
  </si>
  <si>
    <t>The Practitioner’s Guide to Graph Data</t>
  </si>
  <si>
    <t>Denise Koessler Gosnell; Matthias Broecheler</t>
  </si>
  <si>
    <t>The_Practitioner’s_Guide_To_Graph_Data_Applying_Graph_Thinking_And.pdf</t>
  </si>
  <si>
    <t>Книга «The Practitioner’s Guide to Graph Data» посвящена применению графового мышления и графовых технологий для решения сложных бизнес-задач. Авторы проводят исторический обзор эволюции баз данных (от иерархических до NoSQL и графов), вводят ключевые концепции графов (смежность, соседство, расстояние, степень) и объясняют, как перейти от реляционного к графовому моделированию данных. Издание ориентировано на практикующих специалистов (разработчиков, аналитиков и архитекторов), которые хотят освоить графовый подход для работы со сложными взаимосвязанными данными.</t>
  </si>
  <si>
    <t>Векторные базы данных</t>
  </si>
  <si>
    <t>Ло Юнь</t>
  </si>
  <si>
    <t>Векторные базы данных.pdf</t>
  </si>
  <si>
    <t>Книга представляет собой практическое руководство по созданию векторных баз данных с нуля, раскрывая принципы векторного представления данных и их преимущества перед традиционными реляционными и NoSQL-подходами. В ней рассматриваются основы векторов, их сходство, история развития векторных баз данных, а также их ключевые возможности, включая логические уровни и индексы. Издание предназначено для специалистов, интересующихся передовыми технологиями работы с данными, и требует базовых знаний программирования.</t>
  </si>
  <si>
    <t>Streaming Databases</t>
  </si>
  <si>
    <t>Hubert Dulay; Ralph Matthias Debusmann</t>
  </si>
  <si>
    <t>Потоковые базы данных.pdf</t>
  </si>
  <si>
    <t>Книга «Потоковые базы данных» Хьюберта Дюлея и Ральфа Дебусманна посвящена объединению пакетной и потоковой обработки данных для создания приложений реального времени. Ключевые концепции включают различия между потоковыми базами данных, потоковой обработкой и OLAP, а также работу с push- и pull-запросами, материализованными представлениями и моделями развертывания. Издание предназначено для инженеров, архитекторов и аналитиков данных, уже знакомых с основами обработки данных, и предлагает практические подходы к построению инфраструктуры с низкой задержкой.</t>
  </si>
  <si>
    <t>Seven Databases in Seven Weeks: A Guide to Modern Databases and the NoSQL Movement</t>
  </si>
  <si>
    <t>Eric Redmond; Jim R. Wilson</t>
  </si>
  <si>
    <t>Семь баз данных за семь недель.pdf</t>
  </si>
  <si>
    <t>Книга «Семь баз данных за семь недель» представляет собой введение в современные базы данных и идеологию NoSQL, рассматривая семь систем с открытым исходным кодом: Redis, Neo4J, CouchDB, MongoDB, HBase, PostgreSQL и Riak. Ключевые концепции включают обзор различных жанров баз данных (реляционные, хранилища ключей-значений, столбцовые, документо-ориентированные и графовые), а также практические примеры работы с реальными данными, демонстрирующие сильные и слабые стороны каждой системы. Издание предназначено для программистов разной квалификации, использующих базы данных в профессиональной деятельности.</t>
  </si>
  <si>
    <t>Oracle для профессионалов: архитектура и методики программирования</t>
  </si>
  <si>
    <t>Томас Кайт; Дарл Кун</t>
  </si>
  <si>
    <t>ООО "ИД. Вильяме"</t>
  </si>
  <si>
    <t>Базы данных/Oracle</t>
  </si>
  <si>
    <t>Oracle</t>
  </si>
  <si>
    <t>Oracle для профессионалов - 2016.pdf</t>
  </si>
  <si>
    <t>C:\Users\alexa\YandexDisk\Книги\Базы данных\Oracle</t>
  </si>
  <si>
    <t>Книга «Oracle для профессионалов» Томаса Кайта и Дарла Куна посвящена архитектуре СУБД Oracle и методикам разработки приложений для версий 9i, 10g, 11g и 12c. В ней подробно рассматриваются ключевые концепции, такие как управление памятью (PGA и SGA), файловая система, блокировки, параллелизм, транзакции, индексы и секционирование. Издание предназначено для опытных разработчиков и администраторов баз данных, стремящихся к глубокому пониманию внутреннего устройства Oracle и созданию эффективных приложений.</t>
  </si>
  <si>
    <t>Just Use Postgres!</t>
  </si>
  <si>
    <t>Denis Magda</t>
  </si>
  <si>
    <t>Базы данных/PostgreSQL</t>
  </si>
  <si>
    <t>PostgreSQL</t>
  </si>
  <si>
    <t>Just Use Postgres!_Final.pdf</t>
  </si>
  <si>
    <t>C:\Users\alexa\YandexDisk\Книги\Базы данных\PostgreSQL</t>
  </si>
  <si>
    <t>Книга Дениса Магды «Just Use Postgres!» посвящена возможностям PostgreSQL как универсальной базы данных, выходящей за рамки традиционных реляционных нагрузок. В представленном фрагменте рассматриваются ключевые расширения, такие как pgvector для векторного поиска, TimescaleDB для временных рядов, PostGIS для геоданных, а также поддержка различных языков программирования (PLV8, PL/Java, PL/Python и другие). Издание предназначено для разработчиков и специалистов по базам данных, желающих освоить современные возможности Postgres, включая индексы, оконные функции и работу с нереляционными данными.</t>
  </si>
  <si>
    <t>PostGIS in Action, Third Edition</t>
  </si>
  <si>
    <t>Regina O. Obe; Leo S. Hsu</t>
  </si>
  <si>
    <t>PostGIS in Action Third Edition 2022.pdf</t>
  </si>
  <si>
    <t>Книга «PostGIS in Action, Third Edition» представляет собой практическое руководство по использованию расширения PostGIS для работы с пространственными данными в СУБД PostgreSQL. Она охватывает ключевые концепции, такие как типы пространственных данных (геометрия, география, растр, топология), системы пространственной привязки, анализ близости, геокодирование, работу с растрами и оптимизацию запросов. Издание предназначено как для новичков, желающих освоить пространственные базы данных, так и для опытных разработчиков и аналитиков, стремящихся создавать сложные ГИС-приложения.</t>
  </si>
  <si>
    <t>Postgres 17. Первое знакомство</t>
  </si>
  <si>
    <t>Postgres 17. Первое знакомство.pdf</t>
  </si>
  <si>
    <t>Эта книга представляет собой вводное руководство по СУБД PostgreSQL, предназначенное для новичков. В ней рассматриваются история создания PostgreSQL, установка на Linux и Windows, основы написания SQL-запросов и работы с транзакциями, а также настройка сервера и использование программы pgAdmin. Отдельные главы посвящены дополнительным возможностям, таким как полнотекстовый поиск, работа с JSON и доступ к внешним данным. Материал ориентирован на начинающих пользователей, желающих получить первый практический опыт работы с этой свободной и функциональной системой управления базами данных.</t>
  </si>
  <si>
    <t>Postgres. Первое знакомство</t>
  </si>
  <si>
    <t>Postgres. Первое знакомство.pdf</t>
  </si>
  <si>
    <t>Эта книга представляет собой вводное руководство по СУБД PostgreSQL, предназначенное для новичков. В ней освещаются история создания и развития PostgreSQL, а также ключевые возможности версии 13, включая установку на Linux и Windows, написание SQL-запросов, работу с транзакциями, настройку сервера и использование дополнительных функций, таких как полнотекстовый поиск и JSON. Материал ориентирован на начинающих пользователей, желающих получить первый опыт работы с этой системой управления базами данных.</t>
  </si>
  <si>
    <t>PostgreSQL 11. Мастерство разработки</t>
  </si>
  <si>
    <t>Ганс-Юрген Шёниг</t>
  </si>
  <si>
    <t>PostgreSQL 11. Мастерство разработки 2019.pdf</t>
  </si>
  <si>
    <t>Книга «PostgreSQL 11. Мастерство разработки» Ганса-Юргена Шёнига посвящена созданию эффективных и отказоустойчивых приложений с использованием новейших возможностей СУБД PostgreSQL 11. Ключевые разделы охватывают логическую репликацию, оптимизацию производительности, индексирование, транзакции, блокировку, хранимые процедуры, резервное копирование и миграцию с Oracle. Издание предназначено для разработчиков и администраторов баз данных, желающих углубить свои навыки работы с PostgreSQL.</t>
  </si>
  <si>
    <t>PostgreSQL 14 Administration Cookbook</t>
  </si>
  <si>
    <t>Simon Riggs;Gianni Ciolli</t>
  </si>
  <si>
    <t>PostgreSQL 14 Administration Cookbook.pdf</t>
  </si>
  <si>
    <t>Книга «PostgreSQL 14 Administration Cookbook» представляет собой сборник из более чем 175 практических рецептов для администраторов баз данных, работающих с PostgreSQL 14. В ней рассматриваются ключевые темы, такие как первые шаги по установке и настройке, подключение к серверу, использование инструментов (pgAdmin4, OmniDB, psql), а также вопросы безопасности и облачного развертывания. Издание предназначено для специалистов, уже имеющих опыт администрирования баз данных, и предлагает готовые решения для эффективного управления корпоративными базами данных.</t>
  </si>
  <si>
    <t>PostgreSQL 14 изнутри</t>
  </si>
  <si>
    <t>Егор Рогов</t>
  </si>
  <si>
    <t>PostgreSQL 14 изнутри 2022.pdf</t>
  </si>
  <si>
    <t>Книга «PostgreSQL изнутри» Егора Рогова посвящена глубокому анализу внутреннего устройства СУБД PostgreSQL. В ней подробно рассматриваются такие ключевые концепции, как многоверсионность и изоляция на основе снимков данных, буферный кеш и журнал предзаписи, механизмы блокировок, а также планирование и выполнение SQL-запросов с обзором различных типов индексов. Издание предназначено для администраторов баз данных и программистов, уже имеющих опыт работы с PostgreSQL и желающих понять его внутренние механизмы.</t>
  </si>
  <si>
    <t>PostgreSQL Query Optimization: The Ultimate Guide to Building Efficient Queries</t>
  </si>
  <si>
    <t>Henrietta Dombrovskaya;Boris Novikov;Anna Bailliekova</t>
  </si>
  <si>
    <t>PostgreSQL Query Optimisation.pdf</t>
  </si>
  <si>
    <t>Книга «PostgreSQL Query Optimization» посвящена построению эффективных запросов и оптимизации производительности баз данных PostgreSQL. В ней рассматриваются теория обработки запросов, различия между императивным и декларативным подходами, а также практические аспекты оптимизации для OLTP и OLAP систем на всех этапах жизненного цикла приложения. Издание предназначено для специалистов среднего и продвинутого уровня, стремящихся углубить понимание внутренних механизмов СУБД и научиться писать быстрые запросы.</t>
  </si>
  <si>
    <t>PostgreSQL Оптимизация запросов 2022.pdf</t>
  </si>
  <si>
    <t>Книга «Оптимизация запросов в PostgreSQL» представляет собой полное руководство по созданию эффективных запросов, обучая читателя мыслить как оптимизатор базы данных. Ключевые концепции включают чтение и понимание планов выполнения запросов, методы воздействия на них для повышения производительности, а также различие между императивным и декларативным подходами. Издание предназначено для разработчиков, администраторов баз данных и системных архитекторов, уже использующих PostgreSQL.</t>
  </si>
  <si>
    <t>PostgreSQL Первое знакомство</t>
  </si>
  <si>
    <t>PostgreSQL Первое знакомство 2021.pdf</t>
  </si>
  <si>
    <t>Эта книга представляет собой вводное руководство по СУБД PostgreSQL, предназначенное для новичков. В ней рассматриваются история и архитектура PostgreSQL, установка на Linux и Windows, основы написания SQL-запросов и работы с транзакциями, а также настройка сервера, включая интеграцию с 1С. Отдельное внимание уделяется дополнительным возможностям, таким как полнотекстовый поиск, работа с JSON и доступ к внешним данным. Издание ориентировано на начинающих пользователей, желающих получить первый практический опыт работы с этой системой.</t>
  </si>
  <si>
    <t>PostgreSQL. Основы языка SQL</t>
  </si>
  <si>
    <t>Моргунов, Е. П.</t>
  </si>
  <si>
    <t>PostgreSQL. Основы языка SQL 2019.pdf</t>
  </si>
  <si>
    <t>Учебное пособие Е. П. Моргунова посвящено основам языка SQL в среде СУБД PostgreSQL. Книга охватывает создание рабочей среды, типы данных, операции с таблицами, написание запросов, транзакции и методы оптимизации производительности. Материал сопровождается практическими примерами и предназначен для программистов и студентов, начинающих изучение баз данных.</t>
  </si>
  <si>
    <t>Мониторинг PostgreSQL</t>
  </si>
  <si>
    <t>Алексей Лесовский</t>
  </si>
  <si>
    <t>Бумба</t>
  </si>
  <si>
    <t>Мониторинг PostgreSQL.pdf</t>
  </si>
  <si>
    <t>Книга Алексея Лесовского «Мониторинг PostgreSQL» представляет собой всестороннее практическое руководство по мониторингу производительности СУБД, объединяющее справочные материалы, приёмы работы с инструментарием и методы интерпретации данных. Ключевые разделы охватывают статистику активности, выполнение запросов, ввод-вывод, журнал упреждающей записи, репликацию и очистку, а также ход выполнения операций. Издание предназначено для администраторов баз данных, системных администраторов и специалистов по надёжности, желающих углубить понимание внутреннего устройства PostgreSQL для эффективной эксплуатации.</t>
  </si>
  <si>
    <t>Основы технологий баз данных</t>
  </si>
  <si>
    <t>Б. А. Новиков; Е. А. Горшкова</t>
  </si>
  <si>
    <t>Основы технологий БД - Postgres.pdf</t>
  </si>
  <si>
    <t>Книга представляет собой учебное пособие по основам технологий баз данных с акцентом на особенности их реализации в СУБД PostgreSQL. В ней рассматриваются теоретическая реляционная модель, язык SQL, вопросы проектирования приложений, а также требования к СУБД, такие как целостность, отказоустойчивость и производительность. Материал ориентирован на программистов и студентов, начинающих изучение баз данных.</t>
  </si>
  <si>
    <t>Kafka Streams в действии</t>
  </si>
  <si>
    <t>Билл Беджек</t>
  </si>
  <si>
    <t>Базы данных/Потоковая обработка</t>
  </si>
  <si>
    <t>Kafka Streams в действии.pdf</t>
  </si>
  <si>
    <t>C:\Users\alexa\YandexDisk\Книги\Базы данных\Потоковая обработка</t>
  </si>
  <si>
    <t>Книга «Kafka Streams в действии» посвящена потоковой обработке данных в реальном времени с использованием библиотеки Kafka Streams API. В ней рассматриваются ключевые концепции, такие как работа с потоками данных, состояние, API KTable и узлы-обработчики, а также вопросы мониторинга, тестирования и продвинутые возможности, включая потоковый SQL с KSQL. Издание предназначено для профессионалов и специалистов, уже знакомых с платформой Kafka, которые хотят освоить практические аспекты создания микросервисов и приложений для обработки событий.</t>
  </si>
  <si>
    <t>Creation and Management of Database Systems</t>
  </si>
  <si>
    <t>Kuzmiakova, Adele</t>
  </si>
  <si>
    <t>Базы данных/Проектирование БД</t>
  </si>
  <si>
    <t>Проектирование БД</t>
  </si>
  <si>
    <t>Creation and management DataBase.pdf</t>
  </si>
  <si>
    <t>C:\Users\alexa\YandexDisk\Книги\Базы данных\Проектирование БД</t>
  </si>
  <si>
    <t>Книга Адель Кузьмяковой «Создание и управление базами данных» представляет собой вводное руководство по теории и практике проектирования баз данных. В ней рассматриваются фундаментальные концепции, такие как отличие данных от информации, эволюция файловых систем, модели данных, трехуровневая архитектура ANSI-SPARC и реляционная модель. Издание предназначено для начинающих специалистов и студентов, изучающих основы систем управления базами данных.</t>
  </si>
  <si>
    <t>Database Design for Mere Mortals: 25th Anniversary Edition, 4th Edition</t>
  </si>
  <si>
    <t>Michael J. Hernandez</t>
  </si>
  <si>
    <t>Database Design - Michael J. Hernandez .epub</t>
  </si>
  <si>
    <t>Эта книга представляет собой практическое руководство по проектированию реляционных баз данных, ориентированное на новичков. Автор, Майкл Дж. Эрнандес, последовательно объясняет процесс создания базы данных: от определения миссии и анализа текущей системы до установления ключей, связей между таблицами и бизнес-правил. Ключевые разделы охватывают терминологию, нормализацию, целостность данных и создание представлений (views). Издание предназначено для тех, кто хочет освоить проектирование баз данных простым и понятным способом, без привязки к конкретному программному обеспечению.</t>
  </si>
  <si>
    <t>Deciphering Data Architectures</t>
  </si>
  <si>
    <t>James Serra</t>
  </si>
  <si>
    <t>Архитектуры данных.pdf</t>
  </si>
  <si>
    <t>Книга Джеймса Серры «Архитектуры данных» представляет собой практическое руководство по выбору и сравнению современных архитектур данных, таких как современное хранилище данных, ткань данных, озеро-хранилище и сетка данных. Автор развенчивает мифы вокруг этих подходов, подробно разбирает их преимущества и недостатки, а также рассматривает ключевые концепции, включая реляционные хранилища, озера данных, методы моделирования и приема данных. Издание предназначено для специалистов в области обработки данных (архитекторов, инженеров, аналитиков), желающих понять, какая архитектура лучше всего подходит для их конкретных задач.</t>
  </si>
  <si>
    <t>Базы данных: практикум по проектированию реляционных баз данных</t>
  </si>
  <si>
    <t>Сидорова, Н. П.</t>
  </si>
  <si>
    <t>Базы данных- практические работы.pdf</t>
  </si>
  <si>
    <t>Учебное пособие посвящено проектированию реляционных баз данных и включает восемь практических работ, охватывающих этапы от инфологического моделирования до реализации в СУБД Access. Ключевые разделы: создание ER-модели, разработка реляционной и физической модели, работа с таблицами, запросами, отчетами и интерфейсом, а также обеспечение целостности данных. Книга предназначена для студентов направлений «Прикладная информатика» и «Информационные системы и технологии», то есть для новичков и начинающих специалистов, изучающих основы проектирования БД.</t>
  </si>
  <si>
    <t>Database Reliability Engineering: Designing and Operating Resilient Database Systems</t>
  </si>
  <si>
    <t>Laine Campbell; Charity Majors</t>
  </si>
  <si>
    <t>Базы данных. Инжиниринг надежности.pdf</t>
  </si>
  <si>
    <t>Книга «Базы данных. Инжиниринг надежности» посвящена современным подходам к обеспечению безотказной работы баз данных в условиях, когда инфраструктура управляется как код. Авторы вводят концепцию DBRE (Database Reliability Engineering) и рассматривают ключевые темы: управление уровнем качества обслуживания, рисками, оперативный контроль, резервное копирование, безопасность и управление релизами. Издание предназначено для инженеров и специалистов, желающих освоить практики надежности баз данных, и требует базового понимания работы с базами данных и инфраструктурой.</t>
  </si>
  <si>
    <t>Базы данных. Проектирование, программирование, управление и администрирование</t>
  </si>
  <si>
    <t>Волк В. К.</t>
  </si>
  <si>
    <t>Базы данных.pdf</t>
  </si>
  <si>
    <t>Учебник В. К. Волка посвящен базам данных как основе автоматизированных информационных систем, охватывая полный жизненный цикл БД: от проектирования концептуальных и реляционных моделей до программирования на SQL и администрирования. Ключевые разделы включают реляционную модель Кодда, нормализацию, язык SQL, а также задачи управления многопользовательским доступом и информационной безопасностью. Книга предназначена для студентов IT-специальностей и может использоваться преподавателями для лекций и практических занятий.</t>
  </si>
  <si>
    <t>Высоконагруженные приложения. Программирование, масштабирование, поддержка</t>
  </si>
  <si>
    <t>Клеппман М.</t>
  </si>
  <si>
    <t>Высоконагруженные приложения.pdf</t>
  </si>
  <si>
    <t>Книга Мартина Клеппмана посвящена проектированию, масштабированию и поддержке высоконагруженных систем для работы с данными. Она охватывает три ключевые части: основы информационных систем (надежность, модели данных, хранение), распределенные данные (репликация, секционирование, транзакции, консенсус) и производные данные (пакетная и потоковая обработка). Издание предназначено для специалистов, уже имеющих базовые знания SQL и принципов работы баз данных, и рассматривает теоретические аспекты на примере внутреннего устройства популярных фреймворков.</t>
  </si>
  <si>
    <t>Grokking Relational Database Design</t>
  </si>
  <si>
    <t>Qiang Hao; Michail Tsikerdekis</t>
  </si>
  <si>
    <t>Грокаем+проектирование+реляционных+баз+данных.pdf</t>
  </si>
  <si>
    <t>Эта книга представляет собой увлекательное руководство по проектированию реляционных баз данных и языку SQL, написанное в доступной и юмористической манере. Авторы, преподаватели из Университета Торонто, объясняют сложные концепции через яркие примеры и практические задания, охватывая основы SQL, проектирование сущностей и связей, нормализацию, безопасность, оптимизацию и роль генеративного ИИ. Издание предназначено для новичков и специалистов, которые хотят освоить работу с базами данных без скучных лекций, с упором на практическое применение.</t>
  </si>
  <si>
    <t>Binderuuuuuuuuuuu1.pdf</t>
  </si>
  <si>
    <t>Mihail</t>
  </si>
  <si>
    <t>Ильюшечкин Основы использования и проектирования БД.pdf</t>
  </si>
  <si>
    <t>Реляционные базы данных в примерах</t>
  </si>
  <si>
    <t>Куликов С. С.</t>
  </si>
  <si>
    <t>Четыре четверти</t>
  </si>
  <si>
    <t>Куликов_С_Реляционные_базы_данных_в_примерах_2020.pdf</t>
  </si>
  <si>
    <t>Книга С. С. Куликова посвящена реляционным базам данных, охватывая как фундаментальную теорию, так и практические аспекты проектирования. В ней подробно рассматриваются ключевые концепции: отношения, ключи, связи, индексы, а также процесс нормализации и различные нормальные формы. Издание предназначено для программистов и тестировщиков, которые хотят систематизировать знания или начать использовать реляционные СУБД в работе, и подходит как для новичков, так и для специалистов с узким практическим опытом.</t>
  </si>
  <si>
    <t>Максимальная производительность</t>
  </si>
  <si>
    <t>Максимальная производительность.pdf</t>
  </si>
  <si>
    <t>Книга посвящена проектированию баз данных с фокусом на достижение максимальной производительности. В представленном фрагменте рассматриваются ключевые концепции, связанные с оптимизацией структур данных и запросов для повышения скорости работы системы. Материал ориентирован на специалистов среднего и продвинутого уровня, уже знакомых с основами баз данных и стремящихся углубить знания в области настройки производительности.</t>
  </si>
  <si>
    <t>Занимательное программирование. Базы данных</t>
  </si>
  <si>
    <t>Мана Такахаси</t>
  </si>
  <si>
    <t>Мана_Такахаси_Занимательное_программирование_Базы_данных.pdf</t>
  </si>
  <si>
    <t>Книга Маны Такахаси «Занимательное программирование. Базы данных» представляет собой введение в теорию и практику работы с базами данных, написанное в доступной и увлекательной форме. В ней рассматриваются ключевые концепции, такие как реляционная модель, SQL, нормализация и транзакции, а также приводятся практические примеры построения запросов. Издание ориентировано на новичков и студентов, желающих с нуля освоить основы проектирования и управления базами данных.</t>
  </si>
  <si>
    <t>Перспективные методы проектирования реляционных баз данных</t>
  </si>
  <si>
    <t>А. С. Шилин</t>
  </si>
  <si>
    <t>Методы проектирования БД.pdf</t>
  </si>
  <si>
    <t>Учебное пособие А. С. Шилина посвящено перспективным методам проектирования реляционных баз данных. В книге рассматриваются основные понятия БД, модели данных, этапы жизненного цикла, а также особое внимание уделяется правилам ER-метода для многосторонних связей и комбинированному методу проектирования. Издание адресовано учащимся среднего профессионального образования и бакалаврам по направлениям информационных технологий, а также проектировщикам и разработчикам баз данных.</t>
  </si>
  <si>
    <t>Методы, модели, средства хранения и обработки данных</t>
  </si>
  <si>
    <t>Методы, модели, средства хранения и обработки данных.pdf</t>
  </si>
  <si>
    <t>Данная книга посвящена методам, моделям и средствам хранения и обработки данных, охватывая как теоретические основы проектирования баз данных, так и практические инструменты. В ней рассматриваются ключевые концепции, такие как модели данных (реляционные, иерархические, сетевые), этапы проектирования и современные подходы к организации хранения. Издание ориентировано на специалистов в области информационных технологий и студентов, уже имеющих базовую подготовку в сфере баз данных.</t>
  </si>
  <si>
    <t>Основы проектирования баз данных</t>
  </si>
  <si>
    <t>Основы проектирования баз данных.pdf</t>
  </si>
  <si>
    <t>Книга посвящена основам проектирования реляционных баз данных, включая теорию нормализации, моделирование данных и построение ER-диаграмм. В ней рассматриваются ключевые концепции: первичные и внешние ключи, ограничения целостности, а также этапы логического и физического проектирования. Материал ориентирован на начинающих специалистов и студентов, изучающих базы данных, и не требует глубоких предварительных знаний в этой области.</t>
  </si>
  <si>
    <t>Проектирование и реализация систем управления базами данных</t>
  </si>
  <si>
    <t>Эдвард Сьоре</t>
  </si>
  <si>
    <t>Проектирование СУБД.pdf</t>
  </si>
  <si>
    <t>Книга Эдварда Сьоре посвящена проектированию и реализации систем управления базами данных (СУБД) и рассматривает их с точки зрения разработчика ПО. Ключевой концепцией является разбор исходного кода учебной СУБД SimpleDB, начиная с низкоуровневого управления дисками и файлами и заканчивая интерфейсом JDBC и эффективной обработкой запросов. Издание предназначено для студентов и всех, кто хочет научиться создавать базы данных, предполагая знание основ Java.</t>
  </si>
  <si>
    <t>Путеводитель по базам данных</t>
  </si>
  <si>
    <t>Владимир Комаров</t>
  </si>
  <si>
    <t>ДМК-Пресс</t>
  </si>
  <si>
    <t>Путеводитель по базам данных.pdf</t>
  </si>
  <si>
    <t>Книга Владимира Комарова «Путеводитель по базам данных» представляет собой учебное пособие, посвященное архитектурным принципам, алгоритмам и структурам данных, лежащим в основе современных систем управления базами данных (СУБД). Ключевые разделы охватывают классификацию баз данных (реляционные, NoSQL, графовые), методы доступа к данным (B-деревья, LSM-деревья, колоночное хранение), архитектуру СУБД, распределенные системы, вопросы восстановления при сбоях, эксплуатации и безопасности. Издание предназначено для широкого круга ИТ-специалистов и студентов профильных вузов, имеющих базовую подготовку в области информационных технологий.</t>
  </si>
  <si>
    <t>Principles of Distributed Database Systems</t>
  </si>
  <si>
    <t>M. Tamer Özsu; Patrick Valduriez</t>
  </si>
  <si>
    <t>Распред БД  2021.pdf</t>
  </si>
  <si>
    <t>Книга «Принципы организации распределенных баз данных» М. Тамера Ёсу и Патрика Вальдуриеса представляет собой фундаментальный учебник, подробно описывающий теорию и практику распределенных и параллельных СУБД. Ключевые разделы охватывают проектирование и фрагментацию данных, распределенную обработку запросов и транзакций, а также интеграцию баз данных, включая современные темы, такие как большие данные, NoSQL, потоковая обработка и платформы MapReduce и Spark. Издание предназначено для студентов, магистрантов и специалистов в области информатики и компьютерных наук, имеющих базовую подготовку.</t>
  </si>
  <si>
    <t>Реляционные базы данных в примерах : практическое пособие для программистов и тестировщиков</t>
  </si>
  <si>
    <t>Реляционные_базы_данных_в_примерах_практическое_пособие_для_программистов.pdf</t>
  </si>
  <si>
    <t>Книга представляет собой практическое пособие по реляционным базам данных, охватывающее фундаментальную теорию и наглядные примеры проектирования. Ключевые разделы включают основы баз данных, отношения, ключи, связи, индексы, а также полный цикл нормализации от первой до шестой нормальной формы. Издание предназначено для программистов и тестировщиков, которые хотят систематизировать знания или начать использовать реляционные СУБД в работе.</t>
  </si>
  <si>
    <t>Технологии проектирования баз данных</t>
  </si>
  <si>
    <t>Осипов Д. Л.</t>
  </si>
  <si>
    <t>Технологии_проектирования_баз_данных.pdf</t>
  </si>
  <si>
    <t>Книга Д. Л. Осипова посвящена технологиям проектирования, разработки и внедрения баз данных в информационные системы предприятия. В ней рассматриваются архитектура СУБД, жизненный цикл БД, этапы проектирования (концептуальный, логический, физический), а также вопросы многопользовательского доступа, целостности данных, безопасности и перспективы развития (распределенные системы, объектно-ориентированные и документ-ориентированные модели). Издание ориентировано на преподавателей, студентов ИТ-специальностей и начинающих разработчиков баз данных.</t>
  </si>
  <si>
    <t>Проектирование объектно-ориентированных баз данных</t>
  </si>
  <si>
    <t>Харрингтон</t>
  </si>
  <si>
    <t>Харрингтон Проектирование объектно-ориентированных баз данных 2013.pdf</t>
  </si>
  <si>
    <t>Фрагмент книги Дж. Харрингтона посвящён проектированию объектно-ориентированных баз данных. В нём рассматриваются ключевые концепции, такие как объектная модель, наследование и отображение объектов на реляционные структуры. Книга предназначена для специалистов в области баз данных и разработчиков, уже знакомых с основами реляционных СУБД, и имеет практическую направленность.</t>
  </si>
  <si>
    <t>Google BigQuery: The Definitive Guide: Data Warehousing, Analytics, and Machine Learning at Scale</t>
  </si>
  <si>
    <t>Valliappa Lakshmanan; Jordan Tigani</t>
  </si>
  <si>
    <t>Базы данных/Хранилища данных</t>
  </si>
  <si>
    <t>Хранилища данных</t>
  </si>
  <si>
    <t>Google_BigQuery_Всё_о_хранилищах_данных,_аналитике_и_машинном_обучении.pdf</t>
  </si>
  <si>
    <t>C:\Users\alexa\YandexDisk\Книги\Базы данных\Хранилища данных</t>
  </si>
  <si>
    <t>Книга «Google BigQuery. Всё о хранилищах данных, аналитике и машинном обучении» посвящена работе с облачной системой хранения и анализа данных Google BigQuery, которая позволяет обрабатывать петабайтные наборы данных. Ключевые концепции включают бессерверную распределенную архитектуру, отделение вычислений от хранилища, интеграцию с платформой Google Cloud, а также методы ETL, ELT и эффективной аналитики. Издание предназначено для специалистов, желающих освоить современное масштабируемое хранилище данных и машинное обучение в облаке, и подходит как для новичков, так и для опытных пользователей.</t>
  </si>
  <si>
    <t>Readings in Database Systems</t>
  </si>
  <si>
    <t>Hellerstein, Joseph M.; Stonebraker, Michael</t>
  </si>
  <si>
    <t>Readings in Database Systems Joseph M.pdf</t>
  </si>
  <si>
    <t>Это четвёртое издание сборника ключевых работ по системам управления базами данных, охватывающее такие темы, как архитектура СУБД, обработка запросов, методы хранения и доступа, управление транзакциями, расширяемость, хранилища данных и веб-сервисы. Книга содержит классические статьи по оптимизации запросов, параллельной обработке, блокировкам и журналированию (например, ARIES), а также современные подходы к кластеризации и поиску. Издание предназначено для специалистов и исследователей в области баз данных, а также для студентов старших курсов, изучающих компьютерные науки.</t>
  </si>
  <si>
    <t>Материалы по теме DWH</t>
  </si>
  <si>
    <t>Материалы по теме DWH.docx</t>
  </si>
  <si>
    <t>Данный фрагмент книги посвящён теме хранилищ данных (Data Warehouse, DWH) и, судя по названию файла, является частью учебных материалов по системам управления базами данных. Ключевые концепции, вероятно, включают архитектуру DWH, процессы ETL, модели данных (например, «звезда» или «снежинка») и отличие хранилищ от операционных баз данных. Материал ориентирован на специалистов и студентов, изучающих базы данных, то есть на уровень от новичка до практикующего аналитика.</t>
  </si>
  <si>
    <t>От хранения данных к управлению информацией</t>
  </si>
  <si>
    <t>От_хранения_данных_к_управлению_информацией.pdf</t>
  </si>
  <si>
    <t>Книга посвящена переходу от традиционного хранения данных к комплексному управлению информацией в эпоху цифровых технологий, облачных вычислений и больших данных. Ключевые разделы охватывают эволюцию архитектур хранения, инфраструктуру дата-центров, виртуализацию и облачные вычисления, а также новые роли, такие как архитектор облачных сред. Издание предназначено для IT-специалистов, желающих освоить современные методы разработки и управления виртуализированными инфраструктурами для получения бизнес-преимуществ.</t>
  </si>
  <si>
    <t>Повышение эффективности систем поддержки принятия решений на основе многомерных хранилищ данных</t>
  </si>
  <si>
    <t>Аббасова Т. С.; Артюшенко В. М.; Акимкина Э. Э.</t>
  </si>
  <si>
    <t>Поддержка_принятия_решений на основе многомерных данных.pdf</t>
  </si>
  <si>
    <t>Монография посвящена повышению эффективности систем поддержки принятия решений (СППР) на основе многомерных хранилищ данных. В работе рассматриваются принципы построения и производительность СППР, предлагаются алгоритмы обслуживания запросов, математические и имитационные модели адаптивных систем, а также методики проектирования и визуализации многомерных кубов данных. Книга предназначена для специалистов в области информационно-вычислительных систем, инженерно-технического персонала, а также студентов, магистрантов, аспирантов и преподавателей соответствующих направлений.</t>
  </si>
  <si>
    <t>Распределенные данные. Алгоритмы работы современных систем хранения информации</t>
  </si>
  <si>
    <t>Алекс Петров</t>
  </si>
  <si>
    <t>Распределенные_данные_Алгоритмы_работы_современных_систем_хранения.pdf</t>
  </si>
  <si>
    <t>Книга Алекса Петрова «Распределенные данные» посвящена внутреннему устройству и алгоритмам работы современных систем хранения информации, включая распределенные базы данных. Ключевые концепции разделены на две части: подсистема хранения данных (B-деревья, форматы файлов, транзакции) и распределенные системы (обнаружение отказов, репликация, консенсус). Издание предназначено для специалистов, желающих глубоко разобраться в принципах работы СУБД и инфраструктурного ПО, чтобы осознанно выбирать инструменты и выявлять потенциальные проблемы.</t>
  </si>
  <si>
    <t>Хранилища данных.pdf</t>
  </si>
  <si>
    <t>Данный фрагмент книги посвящён теме хранилищ данных (Data Warehousing) и их роли в системах поддержки принятия решений. Ключевые концепции включают отличие хранилищ от операционных баз данных, процессы ETL (извлечение, трансформация, загрузка) и многомерное моделирование данных (схемы «звезда» и «снежинка»). Книга предназначена для специалистов в области баз данных и аналитики, а также для студентов, уже знакомых с основами реляционных СУБД.</t>
  </si>
  <si>
    <t>SQL: быстрое погружение</t>
  </si>
  <si>
    <t>Уолтер Шилдс</t>
  </si>
  <si>
    <t>Базы данных/Язык SQL</t>
  </si>
  <si>
    <t>Язык SQL</t>
  </si>
  <si>
    <t>!!! SQL быстрое погружение 2022.pdf</t>
  </si>
  <si>
    <t>C:\Users\alexa\YandexDisk\Книги\Базы данных\Язык SQL</t>
  </si>
  <si>
    <t>Книга «SQL: быстрое погружение» представляет собой практическое руководство по языку структурированных запросов (SQL), который является основой для управления и анализа данных. В издании рассматриваются ключевые концепции, включая структуру баз данных, операторы SQL, работу с запросами, функции, подзапросы и представления, а также язык управления данными (DML). Материал предназначен для новичков без опыта, а также для разработчиков, желающих расширить свои навыки в программировании и аналитике.</t>
  </si>
  <si>
    <t>Getting Started with SQL and Databases: Managing and Manipulating Data with SQL</t>
  </si>
  <si>
    <t>Mark Simon</t>
  </si>
  <si>
    <t>Get start with SQL.pdf</t>
  </si>
  <si>
    <t>Это фрагмент книги «Getting Started with SQL and Databases: Managing and Manipulating Data with SQL» Марка Саймона, посвящённой основам работы с языком SQL и базами данных. В представленном отрывке рассматриваются начальные концепции: синтаксис базового оператора SELECT, выбор конкретных столбцов, использование псевдонимов, комментариев и фильтрация строк. Книга предназначена для новичков, желающих научиться управлять и манипулировать данными с помощью SQL.</t>
  </si>
  <si>
    <t>SQL. Справочник</t>
  </si>
  <si>
    <t>Кевин Е. Кляйн; Дэниэл Кляйн; Брэнд Хант</t>
  </si>
  <si>
    <t>Kevin_E_Klyayn_Deniel_Klyayn_Brend_Khant_Spravoch.pdf</t>
  </si>
  <si>
    <t>Эта книга представляет собой кроссплатформенный справочник по языку SQL, охватывающий стандарт ANSI SQL2003 и особенности его реализации в СУБД MySQL, Oracle, PostgreSQL и SQL Server. В издании рассматриваются реляционная модель данных, синтаксис операторов SQL, типы данных и ограничения целостности. Справочник предназначен как для новичков, так и для опытных разработчиков и администраторов, которым требуется переносить код между различными системами управления базами данных.</t>
  </si>
  <si>
    <t>Learn SQL in a Month of Lunches</t>
  </si>
  <si>
    <t>Jeff Iannucci</t>
  </si>
  <si>
    <t>Learn SQL in a Month of Lunches_Final.pdf</t>
  </si>
  <si>
    <t>Книга Джеффа Яннуччи «Learn SQL in a Month of Lunches» представляет собой практическое руководство по изучению языка SQL для начинающих. Она охватывает ключевые концепции, такие как написание запросов, фильтрация и сортировка данных, работа с несколькими таблицами, группировка, использование функций и управление транзакциями. Издание предназначено для новичков, желающих освоить SQL с нуля, и построено в формате коротких уроков, которые можно проходить за обеденный перерыв.</t>
  </si>
  <si>
    <t>Learn SQL in a Month of Lunches MEAP V02</t>
  </si>
  <si>
    <t>Learn_SQL_in_a_Month_of_Lunches_MEAP.pdf</t>
  </si>
  <si>
    <t>Эта книга представляет собой практическое руководство по SQL для новичков, не являющихся программистами, например, бизнес-аналитиков и маркетологов. Она учит читать и манипулировать данными в реляционных базах данных, начиная с написания первого запроса уже во второй главе. Ключевые разделы охватывают фильтрацию, объединение таблиц, подзапросы, агрегацию данных и работу с транзакциями. Каждая глава рассчитана на освоение в течение часа, что позволяет быстро применять полученные навыки в реальных сценариях.</t>
  </si>
  <si>
    <t>SQL in easy steps 4th Edition</t>
  </si>
  <si>
    <t>Mike McGrath</t>
  </si>
  <si>
    <t>McGrath SQL_in_easy_steps.epub</t>
  </si>
  <si>
    <t>Эта книга представляет собой практическое руководство по языку SQL для начинающих, в котором последовательно рассматриваются основы работы с базами данных: от установки MySQL и создания таблиц до вставки, выборки, сортировки, фильтрации и объединения данных. Ключевые разделы охватывают создание и изменение таблиц, операции с данными (INSERT, UPDATE, DELETE), простую и сложную фильтрацию, группировку, подзапросы и соединения таблиц. Материал предназначен для новичков, желающих освоить SQL с нуля, и подаётся в формате пошаговых инструкций с примерами.</t>
  </si>
  <si>
    <t>SQL для чайников</t>
  </si>
  <si>
    <t>Allen G. Taylor</t>
  </si>
  <si>
    <t>SQL для чайников 2020.pdf</t>
  </si>
  <si>
    <t>Предоставленный фрагмент содержит выходные данные книги «SQL для чайников, 9-е издание» Аллена Тейлора, включая оглавление. Книга представляет собой практическое руководство по языку SQL, охватывающее основы реляционных баз данных, создание и манипулирование данными, а также продвинутые темы вроде рекурсивных запросов и работы с XML/JSON. Издание предназначено для новичков, желающих освоить SQL с нуля, и содержит разделы по безопасности, процедурному программированию и типичным ошибкам.</t>
  </si>
  <si>
    <t>SQL за 10 минут</t>
  </si>
  <si>
    <t>SQL за 10 минут.pdf</t>
  </si>
  <si>
    <t>Эта книга представляет собой практическое руководство по основам языка SQL, предназначенное для быстрого освоения. Ключевые концепции включают выборку данных с помощью SELECT, фильтрацию через WHERE, сортировку ORDER BY, а также работу с объединениями таблиц (JOIN) и агрегатными функциями. Материал структурирован по коротким урокам, каждый из которых рассчитан на 10 минут. Издание ориентировано на абсолютных новичков, желающих получить базовые навыки работы с базами данных без углубления в теорию.</t>
  </si>
  <si>
    <t>SQL. Pocket guide</t>
  </si>
  <si>
    <t>Элис Жао</t>
  </si>
  <si>
    <t>SQL. Pocket guide, 4-е изд.pdf</t>
  </si>
  <si>
    <t>Этот карманный справочник по SQL от Элис Жао представляет собой практическое руководство по использованию языка запросов в пяти популярных СУБД: Microsoft SQL Server, MySQL, Oracle Database, PostgreSQL и SQLite. Книга охватывает как основы работы с запросами, так и продвинутые концепции, включая оконные функции, операторы PIVOT и UNPIVOT, типы данных и регулярные выражения. Издание предназначено для аналитиков и инженеров по обработке данных, которые уже знакомы с основами SQL и нуждаются в компактном справочнике для быстрого поиска примеров и синтаксиса.</t>
  </si>
  <si>
    <t>SQL. Сборник рецептов</t>
  </si>
  <si>
    <t>Энтони Молинаро; Роберт де Грааф</t>
  </si>
  <si>
    <t>SQL. Сборник рецептов, 2-е издание.pdf</t>
  </si>
  <si>
    <t>Книга представляет собой практическое руководство по SQL, содержащее готовые рецепты для решения задач при работе с различными СУБД (Oracle, SQL Server, MySQL, PostgreSQL). В ней рассматриваются извлечение и сортировка записей, работа с несколькими таблицами, оконные функции, обобщенные табличные выражения, агрегация данных и построение отчетов. Издание предназначено для программистов, разработчиков и администраторов баз данных, имеющих базовый опыт работы с SQL.</t>
  </si>
  <si>
    <t>SQL in 7 Days: A Quick Crash Course in Manipulating Data, Databases Operations, Writing Analytical Queries, and Server-side Programming</t>
  </si>
  <si>
    <t>Alex Bolenok</t>
  </si>
  <si>
    <t>SQL.in.7.Days.epub</t>
  </si>
  <si>
    <t>Эта книга представляет собой интенсивный практический курс по SQL, охватывающий все ключевые аспекты работы с базами данных: от базовых концепций реляционной модели и операций вставки/выборки данных до сложных запросов, производительности и серверного программирования. В ней подробно разбираются такие темы, как объединения, агрегация, оконные функции, индексы, транзакции, а также проектирование баз данных и работа в облаке. Издание предназначено для новичков и специалистов, желающих быстро освоить SQL и научиться писать аналитические запросы, управлять данными и выполнять серверные операции.</t>
  </si>
  <si>
    <t>SQL Query Design Patterns and Best Practices</t>
  </si>
  <si>
    <t>Steve Hughes;Dennis Neer;Ram Babu Singh;Shabbir H. Mala;Leslie Andrews;Chi Zhang</t>
  </si>
  <si>
    <t>SQL.Query.Design.Patterns.and.Best.Practices.pdf</t>
  </si>
  <si>
    <t>Книга «SQL Query Design Patterns and Best Practices» посвящена написанию читаемых и поддерживаемых SQL-запросов с использованием шаблонов проектирования. Ключевые концепции включают практические подходы к оптимизации запросов, структурированию кода и применению лучших практик для работы с базами данных. Издание предназначено для специалистов среднего и продвинутого уровня, стремящихся улучшить качество и производительность своих SQL-решений.</t>
  </si>
  <si>
    <t>SQL All-In-One For Dummies</t>
  </si>
  <si>
    <t>SQL_All_In_One_For_Dummies,_3rd_Edition_For_Dummies_ComputerTech.epub</t>
  </si>
  <si>
    <t>Книга «SQL All-In-One For Dummies, 3rd Edition» Аллена Тейлора представляет собой всеобъемлющее руководство по языку SQL и реляционным базам данных. Она охватывает ключевые концепции, такие как моделирование данных, основные компоненты SQL (DDL, DML, DCL), работу с типами данных и ограничениями, а также процесс разработки реляционных баз данных. Издание предназначено для широкого круга читателей — от администраторов баз данных и прикладных программистов до менеджеров, и будет полезно как новичкам, так и специалистам, желающим систематизировать знания.</t>
  </si>
  <si>
    <t>SQL For Beginners</t>
  </si>
  <si>
    <t>Shane Black</t>
  </si>
  <si>
    <t>SQL_For_Beginners_Comprehensive_Programming 2022.pdf</t>
  </si>
  <si>
    <t>Эта книга представляет собой вводное руководство по языку SQL для начинающих, охватывающее основы программирования, работы с базами данных и обеспечения безопасности данных. Ключевые разделы включают определение данных, операции добавления, удаления и обновления, а также SQL-соединения и транзакции. Издание предназначено для новичков, желающих освоить SQL с нуля для управления реляционными базами данных в бизнесе.</t>
  </si>
  <si>
    <t>SQL: The Complete Reference</t>
  </si>
  <si>
    <t>James Groff; Paul Weinberg; Andrew Oppel</t>
  </si>
  <si>
    <t>SQL_Полное_руководство,_3_е_издание.pdf</t>
  </si>
  <si>
    <t>Это третье издание книги «SQL: полное руководство», которое представляет собой всеобъемлющий справочник по языку SQL и реляционным базам данных. Книга охватывает полный спектр тем: от основ выборки и обновления данных до сложных концепций, таких как хранимые процедуры, распределенные базы данных, интеграция с XML и объектно-ориентированные технологии. Издание предназначено как для новичков, желающих изучить SQL с нуля, так и для опытных специалистов, которым необходим детальный технический справочник.</t>
  </si>
  <si>
    <t>Svyatoslav Kulikov</t>
  </si>
  <si>
    <t>Using_MySql,_MS_SQL_Server_and_Oracle_by_examples_Svyatoslav_Kulikov (2).pdf</t>
  </si>
  <si>
    <t>Данная книга представляет собой практическое пособие по работе с тремя популярными системами управления базами данных: MySQL, MS SQL Server и Oracle. Основное содержание разделено на крупные блоки, включающие создание и наполнение моделей данных, выполнение запросов на выборку и модификацию, а также использование представлений и триггеров. Материал построен на множестве конкретных примеров с кодом, что делает его полезным для программистов и тестировщиков, уже имеющих базовые знания в области SQL.</t>
  </si>
  <si>
    <t>Learning SQL: Generate, Manipulate, and Retrieve Data</t>
  </si>
  <si>
    <t>Alan Beaulieu</t>
  </si>
  <si>
    <t>Алан_Болье_Изучаем_SQL_Генерация,_выборка_и_обработка_данных_2021 (2).pdf</t>
  </si>
  <si>
    <t>Книга Алана Болье «Изучаем SQL. Генерация, выборка и обработка данных» представляет собой учебное пособие по языку SQL, охватывающее темы от основ создания и наполнения баз данных до сложных вопросов, таких как аналитические функции и работа с большими данными. Ключевые разделы включают запросы, фильтрацию, соединения, подзапросы, транзакции, индексы и представления, с практическими примерами для MySQL, Oracle Database и SQL Server. Книга предназначена для начинающих разработчиков в области баз данных, желающих освоить SQL с нуля и изучить его применение на различных серверах.</t>
  </si>
  <si>
    <t>Head First SQL</t>
  </si>
  <si>
    <t>Lynn Beighley</t>
  </si>
  <si>
    <t>Бейли Изучаем SQL 2012.pdf</t>
  </si>
  <si>
    <t>Фрагмент представляет собой введение к книге Линн Бейли «Изучаем SQL» из серии Head First, посвященной языку запросов SQL и управлению реляционными базами данных. Книга охватывает ключевые концепции: создание и проектирование таблиц, команды SELECT, DELETE, UPDATE, ALTER, нормализацию, соединения, подзапросы, транзакции и безопасность. Материал предназначен для новичков, желающих освоить SQL с нуля, и отличается неформальным, визуально насыщенным стилем подачи, характерным для серии Head First.</t>
  </si>
  <si>
    <t>SQL. Полное руководство</t>
  </si>
  <si>
    <t>Джеймс Р. Грофф; Пол Н. Вайнберг; Эндрю Дж. Оппель</t>
  </si>
  <si>
    <t>Издательский дом "Вильяме"</t>
  </si>
  <si>
    <t>Грофф SQL. Полное руководство. 3-е издание 2015.pdf</t>
  </si>
  <si>
    <t>Книга «SQL: полное руководство» представляет собой исчерпывающий справочник по языку SQL, охватывающий его синтаксис, стандарты ANSI и практическое применение в ведущих СУБД. Ключевые разделы включают выборку и обновление данных, создание структуры базы данных, программирование (встроенный и динамический SQL), а также современные темы, такие как XML, хранилища данных и специализированные базы данных. Издание предназначено для широкого круга читателей — от новичков, желающих освоить основы, до опытных специалистов, нуждающихся в полном техническом руководстве.</t>
  </si>
  <si>
    <t>Использование MySql,_MS_SQL_Server_and_Oracle в прмерах.pdf</t>
  </si>
  <si>
    <t>Данная книга представляет собой практическое пособие по работе с тремя популярными СУБД: MySQL, MS SQL Server и Oracle. Основное содержание включает разделы по созданию и наполнению базы данных, написанию запросов на выборку и модификацию данных, а также использованию представлений и триггеров. Материал структурирован в виде множества примеров с подробным разбором, начиная от простой выборки и заканчивая сложными объединениями и агрегатными функциями. Пособие ориентировано на программистов и тестировщиков, обладающих начальным уровнем подготовки и желающих освоить практические аспекты работы с базами данных.</t>
  </si>
  <si>
    <t>Путь программиста T-SQL</t>
  </si>
  <si>
    <t>Виталий Трунин</t>
  </si>
  <si>
    <t>Путь программиста T-SQL.pdf</t>
  </si>
  <si>
    <t>Эта книга представляет собой самоучитель по языку Transact-SQL (T-SQL) для работы с СУБД Microsoft SQL Server. В ней последовательно рассматриваются основы теории баз данных, установка необходимого программного обеспечения, типы данных, создание и управление таблицами, а также выполнение выборки данных с помощью оператора SELECT. Материал ориентирован на начинающих программистов, делающих первые шаги в изучении T-SQL и администрировании баз данных.</t>
  </si>
  <si>
    <t>SQL для чайников, 9-е изд.</t>
  </si>
  <si>
    <t>Аллен Тейлор</t>
  </si>
  <si>
    <t>ООО "Диалектика"</t>
  </si>
  <si>
    <t>Тейлор SQL для чайников 2020.pdf</t>
  </si>
  <si>
    <t>Фрагмент представляет собой выходные данные и оглавление девятого издания книги Аллена Тейлора «SQL для чайников». Книга представляет собой практическое руководство по языку SQL, охватывающее основы реляционных баз данных, создание и манипулирование данными, а также продвинутые темы, такие как безопасность, работа с XML и JSON. Ключевые разделы включают знакомство с SQL, создание баз данных, хранение и извлечение данных, управление операциями и расширенные возможности. Издание предназначено для начинающих пользователей, желающих освоить SQL с нуля.</t>
  </si>
  <si>
    <t>Язык SQL. Базовый курс</t>
  </si>
  <si>
    <t>Postgres Professional</t>
  </si>
  <si>
    <t>Язык SQL. Базовый курс.pdf</t>
  </si>
  <si>
    <t>Это учебно-практическое пособие представляет собой базовый курс по языку SQL, ориентированный на использование СУБД PostgreSQL. Книга охватывает ключевые разделы: создание и модификацию таблиц, типы данных, написание запросов (включая соединения, агрегирование и подзапросы), изменение данных, индексы, транзакции и основы повышения производительности. Пособие предназначено для студентов IT-направлений и широкого круга специалистов, желающих изучить основы SQL с нуля или систематизировать знания.</t>
  </si>
  <si>
    <t>Безопасность/Безопасность приложений и кода</t>
  </si>
  <si>
    <t>Безопасность</t>
  </si>
  <si>
    <t>Безопасность приложений и кода</t>
  </si>
  <si>
    <t>!!!Безопасный DevOps -Maning 2020.pdf</t>
  </si>
  <si>
    <t>C:\Users\alexa\YandexDisk\Книги\Безопасность\Безопасность приложений и кода</t>
  </si>
  <si>
    <t>Книга Джульена Вехена «Безопасный DevOps» посвящена интеграции мер безопасности в процессы DevOps для защиты веб-приложений и облачной инфраструктуры. В ней рассматриваются четыре уровня безопасности (защита приложений, инфраструктуры, каналов связи и конвейера поставки), а также методы мониторинга, анализа журналов и реагирования на инциденты. Издание предназначено для ИТ-специалистов и профессионалов в области DevOps, стремящихся внедрить непрерывную безопасность и автоматизированное тестирование уязвимостей.</t>
  </si>
  <si>
    <t>Защита данных. От авторизации до аудита</t>
  </si>
  <si>
    <t>Джейсон Андресс</t>
  </si>
  <si>
    <t>Безопасность/Защита данных</t>
  </si>
  <si>
    <t>Защита данных</t>
  </si>
  <si>
    <t>Джейсон_Андресс_Защита_данных_От_авторизации_до_аудита 2021.pdf</t>
  </si>
  <si>
    <t>C:\Users\alexa\YandexDisk\Книги\Безопасность\Защита данных</t>
  </si>
  <si>
    <t>Книга Джейсона Андресса «Защита данных. От авторизации до аудита» представляет собой вводное руководство по основам информационной безопасности, охватывающее ключевые концепции, такие как различие между аутентификацией и авторизацией, конфиденциальность, тестирование на проникновение, операционную безопасность, защиту операционных систем и мобильных устройств, а также проектирование сетей. Издание предназначено для новичков в области информационной безопасности, сетевых администраторов и всех, кто интересуется защитой данных и хочет сделать первые шаги в этой сфере.</t>
  </si>
  <si>
    <t>Безопасность информационных систем Вооруженных Сил Российской Федерации. Часть 1</t>
  </si>
  <si>
    <t>Непорожнев Д.А.; Пантелеев Н.Н.</t>
  </si>
  <si>
    <t>МИРЭА - Российский технологический университет</t>
  </si>
  <si>
    <t>Безопасность/Кибербезопасность</t>
  </si>
  <si>
    <t>Кибербезопасность</t>
  </si>
  <si>
    <t>! Безопасность_информационных_систем_Вооруженных_Сил_РФ.pdf</t>
  </si>
  <si>
    <t>C:\Users\alexa\YandexDisk\Книги\Безопасность\Кибербезопасность</t>
  </si>
  <si>
    <t>Данное учебное пособие посвящено организационно-техническим и правовым методам обеспечения безопасности информационных систем, применяемых в Вооруженных Силах Российской Федерации. Ключевые разделы охватывают методы и средства защиты информации, методики контрольно-технических мероприятий по оценке защищенности объектов, защиту от утечек по техническим каналам, а также основы криптографической защиты. Книга предназначена для курсантов и слушателей военных учебных заведений, проходящих подготовку по специальности «Разработка и применение математических и программных средств», и рассчитана на уровень специалистов, изучающих военно-технические дисциплины.</t>
  </si>
  <si>
    <t>Методы защиты информации. Защита от внешних вторжений</t>
  </si>
  <si>
    <t>Никифоров С. Н.</t>
  </si>
  <si>
    <t>! Методы_защиты_информации_Защита_от_внешних_вторжений.pdf</t>
  </si>
  <si>
    <t>Фрагмент представляет собой введение к учебному пособию С. Н. Никифорова, посвященному методам защиты информации от внешних вторжений. В нем рассматриваются философские и научные подходы к определению понятия «информация», а также вводится логарифмическая мера информации (формула Шеннона и Хартли) и единицы ее измерения (наты, биты, хартли). Книга предназначена для широкого круга пользователей, стремящихся обеспечить защиту своих данных, включая новичков, и содержит практические рекомендации по использованию антивирусных программ.</t>
  </si>
  <si>
    <t>Модели безопасности компьютерных систем</t>
  </si>
  <si>
    <t>Н. А. Богульская; М. М. Кучеров</t>
  </si>
  <si>
    <t>Сибирский федеральный университет</t>
  </si>
  <si>
    <t>!!!Модели_безопасности_компьютерных_систем.pdf</t>
  </si>
  <si>
    <t>Учебное пособие посвящено моделям безопасности компьютерных систем, рассматривая как нормативный подход (стандарты и критерии информационной безопасности), так и теоретические формальные модели. Ключевые разделы охватывают классические модели, такие как матрица доступов Харрисона — Руззо — Ульмана, модель Take-grant, мандатная модель Белла — Лападулы, а также ролевое управление доступом и вопросы обеспечения целостности. Книга предназначена для студентов, обучающихся по специальности «Компьютерная безопасность», то есть для специализированного уровня подготовки.</t>
  </si>
  <si>
    <t>DARK WEB</t>
  </si>
  <si>
    <t>MATTHEW, NICK</t>
  </si>
  <si>
    <t>30039400.pdf</t>
  </si>
  <si>
    <t>Эта книга Ника Мэттью представляет собой руководство по «тёмной паутине» (Dark Web) — скрытой части интернета, которая не индексируется обычными поисковиками и требует специального ПО, такого как Tor Browser, для доступа. В работе объясняются ключевые концепции: разница между Deep Web и Dark Web, технология анонимизации Tor, а также приводятся пошаговые инструкции для безопасного входа в Darknet, включая использование VPN, отключение JavaScript и веб-камеры. Книга предназначена для обычных пользователей интернета (новичков), желающих понять, как устроена тёмная паутина, как получить к ней доступ и какие риски (нелегальная торговля, слежка) с этим связаны.</t>
  </si>
  <si>
    <t>Advance Cyber Security</t>
  </si>
  <si>
    <t>Manmohan Singh;Priyanka Sharma;Rahul Sharma;Monika Vyas</t>
  </si>
  <si>
    <t>Advance Cyber Security.pdf</t>
  </si>
  <si>
    <t>Книга «Advance Cyber Security» представляет собой углублённое учебное пособие по кибербезопасности, охватывающее современные угрозы, методы защиты и правовые аспекты информационной безопасности. Ключевые разделы, вероятно, включают анализ уязвимостей, криптографию, управление рисками и киберправо, что подтверждается опытом авторов в области Data Mining, AI и киберзаконодательства. Издание предназначено для специалистов в сфере IT и кибербезопасности, а также для студентов и исследователей продвинутого уровня, интересующихся практическими и теоретическими аспектами защиты данных.</t>
  </si>
  <si>
    <t>Agile Security Operations</t>
  </si>
  <si>
    <t>Hinne Hettema</t>
  </si>
  <si>
    <t>Agile_Security_Operations_Engineering_for_agility_in_cyber_defen.pdf</t>
  </si>
  <si>
    <t>Книга «Agile Security Operations» посвящена внедрению гибких методологий (Agile, Lean, Kanban, Scrum) в кибербезопасность для повышения скорости и эффективности обнаружения угроз и реагирования на инциденты. Ключевые разделы охватывают эволюцию операций безопасности, цикл реагирования на инциденты, инженерные подходы к защите и использование фреймворков вроде MITRE ATT&amp;CK. Издание предназначено для практикующих специалистов по кибербезопасности, аналитиков SOC и инженеров, стремящихся повысить адаптивность защиты.</t>
  </si>
  <si>
    <t>Android глазами хакера</t>
  </si>
  <si>
    <t>Евгений Зобнин</t>
  </si>
  <si>
    <t>Android глазами хакера.pdf</t>
  </si>
  <si>
    <t>Книга посвящена внутренней архитектуре и безопасности ОС Android, рассматривая разделы, файловые системы, механизмы обновлений и методы получения root-прав. В ней подробно описаны инструменты для дизассемблирования, отладки и модификации кода приложений, а также способы защиты от декомпиляции и вредоносного ПО. Издание предназначено для разработчиков мобильных приложений, реверс-инженеров и специалистов по информационной безопасности.</t>
  </si>
  <si>
    <t>Application Security Program Handbook</t>
  </si>
  <si>
    <t>Derek Fisher</t>
  </si>
  <si>
    <t>Application Security Program Handbook 2022.pdf</t>
  </si>
  <si>
    <t>Книга Дерека Фишера «Application Security Program Handbook» представляет собой руководство по внедрению безопасности в жизненный цикл разработки программного обеспечения. Автор рассматривает текущее состояние безопасности приложений, ключевые практики и технологии, а также эволюцию безопасности как сервиса, а не как шлюзовых проверок. Книга разделена на три части: определение безопасности приложений, разработка программы безопасности и оценка её эффективности. Издание предназначено для разработчиков, архитекторов и руководителей, желающих понять, как встроить защиту в процессы создания софта, и подходит как для новичков, так и для специалистов.</t>
  </si>
  <si>
    <t>Artificial Intelligence for Cyber Defense and Smart Policing</t>
  </si>
  <si>
    <t>S. Vijayalakshmi; P. Durgadevi; Lija Jacob; Balamurugan Balusamy; Parma Nand</t>
  </si>
  <si>
    <t>CRC Press</t>
  </si>
  <si>
    <t>Artificial Intelligence for Cyber Defense.pdf</t>
  </si>
  <si>
    <t>Книга посвящена применению искусственного интеллекта для киберзащиты и интеллектуальной полицейской работы, описывая лучшие практики в этой области. Ключевые концепции включают выявление новых кибератак, прогнозирование вредоносных паттернов на основе исторических данных и создание интеллектуальных систем обработки цифровых доказательств для расследования преступлений. Издание предназначено для студентов, исследователей, ИТ-специалистов и руководителей бизнеса.</t>
  </si>
  <si>
    <t>Лаборатория хакера</t>
  </si>
  <si>
    <t>Бабин С. А.</t>
  </si>
  <si>
    <t>Babin_-_Laboratoria_khakera.pdf</t>
  </si>
  <si>
    <t>Книга С. А. Бабина «Лаборатория хакера» посвящена практическим методам и средствам хакерства, описанным в форме познавательных экспериментов, с целью понимания принципов противодействия кибератакам. Ключевые разделы охватывают фишинг и социальную инженерию, взлом Wi-Fi-сетей, методы сохранения анонимности в интернете, шифрование данных, а также генерацию и использование радужных таблиц для взлома паролей. Издание ориентировано на широкий круг пользователей ПК — от начинающих до профессионалов, при этом особый упор сделан на Windows-системы и использование бесплатных программ.</t>
  </si>
  <si>
    <t>Информационная безопасность сайтов государственных органов Российской Федерации: культура отмены информационной безопасности</t>
  </si>
  <si>
    <t>Евгений Альтовский</t>
  </si>
  <si>
    <t>Digital Millennium Foundation</t>
  </si>
  <si>
    <t>book666- ГосИТ.pdf</t>
  </si>
  <si>
    <t>Этот доклад 2023 года в рамках проекта «Монитор госсайтов» посвящён оценке информационной безопасности официальных сайтов федеральных органов власти России. Ключевые разделы работы основаны на триаде безопасности (достоверность, конфиденциальность, целостность) и включают анализ двух показателей: Индекса надежности HTTPS и Индекса защищенности от XSS-атак. Материал предназначен для руководителей госорганов, ИТ-специалистов, ответственных за поддержку сайтов, а также для широкой аудитории, интересующейся безопасностью государственных цифровых ресурсов.</t>
  </si>
  <si>
    <t>Container Security</t>
  </si>
  <si>
    <t>Liz Rice</t>
  </si>
  <si>
    <t>Container_Security_Fundamental_Technology_Concepts_that_Protect 2020.pdf</t>
  </si>
  <si>
    <t>Книга Лиз Райс «Container Security» посвящена фундаментальным технологическим концепциям защиты контейнеризированных приложений. В ней рассматриваются модели угроз для контейнеров, принципы безопасности (наименьшие привилегии, защита в глубину), а также ключевые механизмы Linux, такие как системные вызовы, возможности (capabilities) и контрольные группы (cgroups). Издание предназначено для специалистов по безопасности и разработчиков, уже знакомых с контейнерами, которые хотят углубить понимание защиты на уровне инфраструктуры.</t>
  </si>
  <si>
    <t>Losing the Cybersecurity War; And What We Can Do to Stop It</t>
  </si>
  <si>
    <t>King Steve</t>
  </si>
  <si>
    <t>CRC_Losing_the_Cybersecurity_War_And_What_We_Can_Do_to_Stop_It_1032364084.pdf</t>
  </si>
  <si>
    <t>Книга Стива Кинга «Losing the Cybersecurity War» посвящена анализу причин, по которым защитники проигрывают кибервойну, и предлагает концепцию Zero Trust как способ переломить ситуацию. Автор выделяет пять ключевых «полей сражений» кибербезопасности — экономику, технологии, информацию, образование и лидерство — и показывает, как на каждом из них атакующие имеют преимущество из-за структурных и поведенческих факторов. Книга предназначена для специалистов в области кибербезопасности, руководителей и всех, кто хочет понять глубинные причины текущего кризиса и пути его преодоления.</t>
  </si>
  <si>
    <t>Cross-Site Scripting Attacks: Classification, Attack, and Countermeasures</t>
  </si>
  <si>
    <t>B. B. Gupta; Pooja Chaudhary</t>
  </si>
  <si>
    <t>Cross-Site Scripting Attacks.pdf</t>
  </si>
  <si>
    <t>Книга Б. Б. Гупты и Пуджи Чаудхари посвящена всестороннему анализу уязвимости межсайтового скриптинга (XSS) в веб-приложениях, включая её классификацию, методы атаки и способы защиты. В работе подробно рассматриваются три основных типа XSS-атак (постоянные, непостоянные и DOM-основанные), а также предлагаются клиентские, серверные и комбинированные подходы к противодействию угрозам. Издание предназначено для исследователей, студентов, академических специалистов и профессионалов в области кибербезопасности, имеющих базовое понимание веб-технологий.</t>
  </si>
  <si>
    <t>Cybersecurity Career Guide</t>
  </si>
  <si>
    <t>Alyssa Miller</t>
  </si>
  <si>
    <t>Cybersecurity Career Guide.pdf</t>
  </si>
  <si>
    <t>Эта книга представляет собой практическое руководство по построению карьеры в сфере кибербезопасности, написанное экспертом с 15-летним опытом. Автор предлагает читателям проанализировать свои существующие технические и нетехнические навыки, чтобы адаптировать их для работы в этой области. Ключевые разделы включают обзор дисциплин безопасности, методы самооценки, способы восполнения пробелов в знаниях (сертификации, курсы) и советы по поиску работы. Издание предназначено для новичков и специалистов из смежных областей, которые хотят войти в сферу кибербезопасности, используя свой текущий опыт.</t>
  </si>
  <si>
    <t>Cybersecurity for Small Networks: A No-Nonsense Guide for the Reasonably Paranoid</t>
  </si>
  <si>
    <t>Seth Enoka</t>
  </si>
  <si>
    <t>Cybersecurity for Small Networks.pdf</t>
  </si>
  <si>
    <t>Книга Сета Эноки «Cybersecurity for Small Networks» представляет собой практическое руководство по кибербезопасности для владельцев и администраторов небольших сетей. Основное внимание уделяется базовым, но эффективным мерам защиты: сегментации сети, настройке межсетевых экранов, обеспечению безопасности Wi-Fi, созданию VPN, блокировке рекламы, защите от вредоносных программ, резервному копированию и мониторингу. Книга рассчитана на читателей с начальным и средним уровнем подготовки, которые хотят самостоятельно защитить свою сеть, используя Linux-инструменты и здравый смысл.</t>
  </si>
  <si>
    <t>Cybersecurity in Intelligent Networking Systems</t>
  </si>
  <si>
    <t>Shengjie Xu; Yi Qian; Rose Qingyang Hu</t>
  </si>
  <si>
    <t>Cybersecurity in Intelligent Networking.pdf</t>
  </si>
  <si>
    <t>Книга «Cybersecurity in Intelligent Networking Systems» посвящена вопросам кибербезопасности в эпоху искусственного интеллекта, рассматривая применение методов машинного обучения (включая обучение с подкреплением и федеративное обучение) для защиты интеллектуальных сетей. В ней освещаются ключевые области, такие как обнаружение аномалий, защита от киберугроз (включая DDoS-атаки и вредоносное ПО), а также методы обеспечения конфиденциальности и создания доверенного ИИ. Издание предназначено для специалистов и исследователей в области кибербезопасности, имеющих базовое понимание сетевых технологий и машинного обучения.</t>
  </si>
  <si>
    <t>Cybersecurity for Small Networks</t>
  </si>
  <si>
    <t>Cybersecurity.for.Small.Networks.epub</t>
  </si>
  <si>
    <t>Книга «Cybersecurity for Small Networks» Сета Эноки представляет собой практическое руководство по кибербезопасности для небольших сетей, охватывающее настройку Linux, сегментацию сети, межсетевые экраны, VPN, блокировку рекламы, защиту от вредоносного ПО, резервное копирование и мониторинг. Ключевые разделы включают пошаговые инструкции по созданию виртуальных машин, настройке iptables и pfSense, а также использованию инструментов вроде Pi-Hole и Wazuh. Книга предназначена для начинающих и пользователей среднего уровня, желающих самостоятельно защитить домашнюю или малую офисную сеть.</t>
  </si>
  <si>
    <t>The Cyber Security Body of Knowledge</t>
  </si>
  <si>
    <t>Awais Rashid; Howard Chivers; George Danezis; Emil Lupu; Andrew Martin</t>
  </si>
  <si>
    <t>National Cyber Security Centre</t>
  </si>
  <si>
    <t>CyBok The Cyber Security Body of Knowledge.pdf</t>
  </si>
  <si>
    <t>Данный фрагмент представляет собой введение к CyBOK (The Cyber Security Body of Knowledge) — версии 1.0, созданной под редакцией ведущих британских университетов при поддержке Национального центра кибербезопасности Великобритании. Книга описывает процесс разработки всеобъемлющего свода знаний по кибербезопасности, который включает 19 областей знаний (Knowledge Areas), сгруппированных в пять категорий, и основан на анализе существующих стандартов, сертификаций и учебных программ. Ключевые концепции включают методологию создания документа через серию консультаций с сообществом, экспертное рецензирование и публичное обсуждение каждой области знаний. Издание предназначено для специалистов в области кибербезопасности, разработчиков учебных курсов и исследователей, стремящихся к систематизации знаний в этой сфере.</t>
  </si>
  <si>
    <t>Data Privacy</t>
  </si>
  <si>
    <t>Nishant Bhajaria</t>
  </si>
  <si>
    <t>Data Privacy 2022.pdf</t>
  </si>
  <si>
    <t>Книга Нишанта Бхаджарии «Data Privacy: A runbook for engineers» представляет собой практическое руководство для инженеров по проектированию и внедрению масштабируемых программ конфиденциальности данных, которые балансируют между строгими требованиями безопасности и реальными бизнес-потребностями. Ключевые разделы охватывают управление данными (классификация, инвентаризация, обмен), построение инструментов (технический аудит приватности, удаление и экспорт данных) и вопросы масштабирования, найма и соблюдения нормативных требований. Книга предназначена для практикующих инженеров и технических специалистов, стремящихся внедрить работающие, а не бюрократические решения в области защиты данных.</t>
  </si>
  <si>
    <t>Defensive Security Handbook: Best Practices for Securing Infrastructure</t>
  </si>
  <si>
    <t>Amanda Berlin; Lee Brotherston; William F. Reyor III</t>
  </si>
  <si>
    <t>Defensive_Security_лучшие_практики_обеспечения_безопасности_инфраструктур.zip</t>
  </si>
  <si>
    <t>Книга «Defensive Security: лучшие практики обеспечения безопасности инфраструктур» представляет собой практическое руководство по созданию и совершенствованию программ кибербезопасности в условиях ограниченного бюджета. В ней рассматриваются ключевые темы, такие как создание программы безопасности, управление активами и документация, а также пошаговые рекомендации по работе с инцидентами, комплаенсом, сетевой инфраструктурой и управлением паролями. Издание предназначено для сетевых инженеров, системных администраторов и специалистов по безопасности, которые хотят усилить защиту активов компании без значительных финансовых вложений.</t>
  </si>
  <si>
    <t>Cybersecurity All-in-One For Dummies</t>
  </si>
  <si>
    <t>Joseph Steinberg; Kevin Beaver; Ted Coombs; Ira Winkler</t>
  </si>
  <si>
    <t>For.Dummies.Cybersecurity.pdf</t>
  </si>
  <si>
    <t>Это книга «Cybersecurity All-in-One For Dummies» под редакцией Джозефа Стейнберга и других авторов, представляющая собой всеобъемлющее руководство по кибербезопасности для начинающих. Она охватывает основы кибербезопасности, типы кибератак и угроз, а также практические меры защиты для личного использования и бизнеса, включая разделы по физической безопасности, работе из дома, паролям и защите от социальной инженерии. Издание предназначено для новичков и обычных пользователей, желающих понять базовые принципы защиты информации и применить их на практике.</t>
  </si>
  <si>
    <t>GHIDRA. Полное руководство</t>
  </si>
  <si>
    <t>Крис Игл; Кара Нэнс</t>
  </si>
  <si>
    <t>GHIDRA. Полное руководство.pdf</t>
  </si>
  <si>
    <t>Книга «GHIDRA. Полное руководство» посвящена платформе Ghidra — мощному инструменту для обратной разработки (Reverse Engineering), созданному Агентством национальной безопасности США. В ней рассматриваются теория дизассемблирования, базовые алгоритмы (линейной развертки и рекурсивного спуска), а также практические методы анализа вредоносного ПО, уязвимостей и интероперабельности. Издание предназначено как для начинающих, так и для опытных специалистов в области кибербезопасности, желающих освоить профессиональную работу с дизассемблером и декомпилятором.</t>
  </si>
  <si>
    <t>Основы технологии PKI</t>
  </si>
  <si>
    <t>Горбатов В.С.; Полянская О.Ю.</t>
  </si>
  <si>
    <t>Горячая линия-Телеком</t>
  </si>
  <si>
    <t>Gorbatov_V_S_Polyanskaya_O_Yu_-_Osnovy_tekhnologii_PKI.pdf</t>
  </si>
  <si>
    <t>Книга посвящена основам технологии инфраструктуры открытых ключей (PKI). В ней рассматриваются базовые определения, архитектура, структуры данных, компоненты и сервисы PKI, а также классификация стандартов, политика, риски и правовые аспекты использования технологии. Издание предназначено для студентов, аспирантов, слушателей курсов повышения квалификации и широкого круга читателей, интересующихся проблемами информационной безопасности.</t>
  </si>
  <si>
    <t>Grokking Web Application Security</t>
  </si>
  <si>
    <t>Malcolm McDonald</t>
  </si>
  <si>
    <t>Grokking Web Application Security.pdf</t>
  </si>
  <si>
    <t>Книга «Grokking Web Application Security» Малкольма Макдональда представляет собой практическое руководство по безопасности веб-приложений, охватывающее как фундаментальные принципы защиты (безопасность браузера, шифрование, защита серверов), так и конкретные уязвимости (XSS, SQL-инъекции, проблемы аутентификации и сессий). Ключевые разделы включают анализ угроз со стороны злоумышленников, методы безопасной разработки и реагирование на инциденты. Издание рассчитано на широкий круг специалистов — от новичков до опытных разработчиков и инженеров, желающих систематизировать знания о веб-безопасности.</t>
  </si>
  <si>
    <t>Hack the Stack: Using Snort and Ethereal to Master the 8 Layers of</t>
  </si>
  <si>
    <t>Syngress</t>
  </si>
  <si>
    <t>Hack_the_Stack_Using_Snort_and_Ethereal_to_Master_the_8_Layers_of.pdf</t>
  </si>
  <si>
    <t>Этот фрагмент представляет собой вступительную часть книги «Hack the Stack: Using Snort and Ethereal to Master the 8 Layers of an Insecure Network», посвящённой анализу и обеспечению безопасности компьютерных сетей с использованием инструментов Snort и Ethereal. Ключевая концепция книги заключается в изучении восьми уровней небезопасной сети (модель OSI) и методов их взлома и защиты. Издание предназначено для ИТ-специалистов и профессионалов в области кибербезопасности, обладающих базовыми знаниями о сетях.</t>
  </si>
  <si>
    <t>Hiding Behind the Keyboard: Uncovering Covert Communication Methods with Forensic Analysis</t>
  </si>
  <si>
    <t>Brett Shavers; John Bair</t>
  </si>
  <si>
    <t>Hiding Behind the Keyboard.pdf</t>
  </si>
  <si>
    <t>Книга Бретта Шейверса «Hiding Behind the Keyboard» посвящена методам раскрытия скрытых коммуникаций с помощью судебно-медицинского анализа. В ней рассматриваются такие ключевые концепции, как работа и криминалистический анализ браузера Tor, триаж мобильных устройств и история скрытой связи. Издание предназначено для специалистов в области цифровой криминалистики и безопасности, имеющих базовую подготовку.</t>
  </si>
  <si>
    <t>How Cybersecurity Really Works</t>
  </si>
  <si>
    <t>Sam Grubb</t>
  </si>
  <si>
    <t>How_Cybersecurity_Really_Works.pdf</t>
  </si>
  <si>
    <t>Книга Сэма Грабба «How Cybersecurity Really Works» представляет собой практическое руководство по кибербезопасности для абсолютных новичков. В ней рассматриваются ключевые концепции защиты, такие как фишинг, вредоносное ПО, кража паролей, перехват сетевого трафика, атаки в облаке и взлом шифрования. Издание предназначено для читателей без специальной подготовки, желающих понять, как работают кибератаки и как от них защититься.</t>
  </si>
  <si>
    <t>Kaspersky-Virusy_Iznutri_i_Snaruzhi.RUS@bzd_channel.djvu</t>
  </si>
  <si>
    <t>Книга Евгения Касперского посвящена внутреннему устройству компьютерных вирусов и методам их распространения, а также принципам работы антивирусного программного обеспечения. В ней подробно разбираются ключевые концепции: типы вредоносного кода, механизмы заражения, алгоритмы поведения вирусов и способы защиты от них. Материал ориентирован на широкий круг читателей — от начинающих пользователей, желающих понять основы компьютерной безопасности, до ИТ-специалистов, интересующихся техническими деталями.</t>
  </si>
  <si>
    <t>Linux Firewalls: Attack Detection and Response with iptables, psad, and fwsnort</t>
  </si>
  <si>
    <t>Michael Rash</t>
  </si>
  <si>
    <t>LINUX_FIREWALLS_Attack_Detection_and_Response_with_iptables,_psad.pdf</t>
  </si>
  <si>
    <t>Книга Майкла Раша «Linux Firewalls» посвящена обнаружению атак и реагированию на них с помощью iptables, psad и fwsnort. Ключевые разделы охватывают защиту на сетевом, транспортном и прикладном уровнях, а также настройку активного реагирования и визуализацию логов. Издание предназначено для специалистов по информационной безопасности и системных администраторов, имеющих опыт работы с Linux.</t>
  </si>
  <si>
    <t>Losing_the_Cybersecurity_War.pdf</t>
  </si>
  <si>
    <t>Книга Стива Кинга «Losing the Cybersecurity War» посвящена анализу причин, по которым защитники проигрывают в кибервойне, и предлагает концепцию Zero Trust как способ переломить ситуацию. Автор выделяет пять ключевых «полей сражений» — экономику, технологии, информацию, образование и лидерство, — на каждом из которых у обороняющихся есть структурные и моральные недостатки. Книга подробно разбирает, как эти недостатки сформировались и как принципы Zero Trust могут изменить расстановку сил в пользу защитников. Издание предназначено для специалистов в области кибербезопасности, руководителей и всех, кто интересуется стратегическими подходами к защите данных.</t>
  </si>
  <si>
    <t>Меры защиты информации в государственных информационных системах</t>
  </si>
  <si>
    <t>НПП "Гарант-Сервис"</t>
  </si>
  <si>
    <t>metoddocs.pdf</t>
  </si>
  <si>
    <t>Этот методический документ ФСТЭК России детализирует организационные и технические меры защиты информации для государственных информационных систем, направленные на обеспечение конфиденциальности, целостности и доступности данных. Ключевые разделы включают общие положения, а также порядок выбора мер защиты в зависимости от класса защищенности системы и модели угроз. Документ предназначен для специалистов — обладателей информации, операторов, заказчиков и разработчиков государственных информационных систем.</t>
  </si>
  <si>
    <t>OAuth 2 in Action</t>
  </si>
  <si>
    <t>Justin Richer; Antonio Sanso</t>
  </si>
  <si>
    <t>OAuth 2 in Action (Justin Richer, Antonio Sanso).pdf</t>
  </si>
  <si>
    <t>Книга «OAuth 2 in Action» Джастина Ричера и Антонио Сансо посвящена протоколу авторизации OAuth 2.0, его практической реализации и вопросам безопасности. В ней подробно разбираются ключевые концепции: участники взаимодействия (клиент, сервер авторизации, защищённый ресурс), типы грантов, токены и области доступа, а также процесс «танца OAuth». Издание охватывает построение простых компонентов системы, распространённые уязвимости клиентов, серверов и токенов, а также продвинутые темы, такие как динамическая регистрация и аутентификация пользователей. Книга предназначена для разработчиков и специалистов по безопасности, имеющих базовый опыт в веб-разработке, и будет полезна как новичкам, так и практикующим инженерам, желающим углубить понимание протокола.</t>
  </si>
  <si>
    <t>OpenID Connect in Action MEAP V07</t>
  </si>
  <si>
    <t>Prabath Siriwardena</t>
  </si>
  <si>
    <t>OpenID Connect in Action V7 2022.pdf</t>
  </si>
  <si>
    <t>Эта книга посвящена протоколу OpenID Connect, который используется для аутентификации пользователей в веб- и мобильных приложениях. Автор подробно объясняет, как OpenID Connect отличается от предшественников (OpenID, SAML 2.0, OAuth 2.0), и рассматривает ключевые концепции, включая работу с ID-токенами, запрос claims, выход из системы и защиту от угроз. Основное внимание уделяется интеграции с четырьмя типами приложений: одностраничными, серверными, нативными мобильными и приложениями для Smart TV. Книга предназначена для разработчиков, знакомых с основами веба и JavaScript, и подходит как для новичков, так и для специалистов, желающих изучить лучшие практики и безопасность OpenID Connect.</t>
  </si>
  <si>
    <t>OSINT-видеолекции по информационной безопасности</t>
  </si>
  <si>
    <t>OSINT-видеолекции по информационной безопасности.zip</t>
  </si>
  <si>
    <t>OSINT. Руководство по сбору и анализу открытой информации в интернете</t>
  </si>
  <si>
    <t>Дейл Мередит</t>
  </si>
  <si>
    <t>OSINT. Руководство по сбору и анализу открытой информации в интернете.pdf</t>
  </si>
  <si>
    <t>Книга представляет собой практическое руководство по разведке на основе открытых источников (OSINT), посвященное методам сбора, анализа и защиты информации в интернете. В ней рассматриваются ключевые концепции, такие как пассивная и активная разведка, использование специализированных инструментов (Recon-ng, Maltego, Shodan) и основы сохранения анонимности. Издание предназначено как для новичков, желающих освоить навыки цифрового детектива, так и для специалистов, стремящихся укрепить кибербезопасность и предотвращать атаки.</t>
  </si>
  <si>
    <t>Руководство по тестированию веб-безопасности (WSTG v.4.1)</t>
  </si>
  <si>
    <t>OWASP</t>
  </si>
  <si>
    <t>OWASP 2020.pdf</t>
  </si>
  <si>
    <t>Данный фрагмент представляет собой предисловие к «Руководству по тестированию веб-безопасности OWASP» (WSTG v.4.1) — всеобъемлющему и открытому ресурсу, посвященному методологии тестирования безопасности веб-приложений и веб-сервисов. Ключевая концепция заключается в том, что тестирование безопасности является неотъемлемой частью разработки, а данное руководство, наряду с Руководством по разработке и анализу кода, формирует комплексный подход к созданию защищенных систем. Книга подчеркивает важность последовательного, повторяемого и стандартизированного подхода к тестированию, а также необходимость делать знания в области безопасности открытыми и доступными. Материал предназначен для широкого круга специалистов: от разработчиков и тестировщиков ПО до специалистов по безопасности и технических менеджеров, при этом особый акцент делается на то, что первичная ответственность за безопасность лежит на разработчиках.</t>
  </si>
  <si>
    <t>Practical Security for Agile and DevOps</t>
  </si>
  <si>
    <t>Mark S. Merkow</t>
  </si>
  <si>
    <t>Practical Security for Agile and DevOps.pdf</t>
  </si>
  <si>
    <t>Книга Марка С. Меркоу «Practical Security for Agile and DevOps» посвящена практическим аспектам обеспечения безопасности при разработке программного обеспечения в гибких методологиях и DevOps. Автор, имеющий многолетний опыт в сфере безопасности, утверждает, что ключевая проблема заключается в человеческом факторе, а не только в технологиях или процессах. Издание предназначено для студентов и специалистов, желающих освоить принципы безопасной разработки, и охватывает как технические инструменты, так и организационные подходы.</t>
  </si>
  <si>
    <t>Practical Network Security Monitoring: Using Free Software</t>
  </si>
  <si>
    <t>Elizabeth S. Graham</t>
  </si>
  <si>
    <t>CreateSpace</t>
  </si>
  <si>
    <t>Practical.Network.Security.Monitoring.Using.Free.Software.pdf</t>
  </si>
  <si>
    <t>Эта книга представляет собой практическое руководство по использованию бесплатного программного обеспечения для сбора, мониторинга и анализа сетевого трафика с целью выявления киберугроз. Ключевые разделы включают установку и настройку Security Onion, анализ пакетов с помощью Wireshark и NetworkMiner, интеграцию с инструментами вроде X-Pack и RITA, а также работу с IDS-правилами Suricata. Издание предназначено для пользователей начального и среднего уровня, обладающих базовыми знаниями в области сетей и Linux.</t>
  </si>
  <si>
    <t>PRO ВИРУСЫ</t>
  </si>
  <si>
    <t>Холмогоров В.</t>
  </si>
  <si>
    <t>PRO Вирусы.pdf</t>
  </si>
  <si>
    <t>Книга Валентина Холмогорова «PRO ВИРУСЫ» посвящена истории, устройству и эволюции компьютерных вирусов, а также современным киберугрозам. В ней рассматриваются ключевые концепции: от ранних вирусов-одиночек до организованных преступных группировок, троянцев-блокировщиков, шифровальщиков и вредоносных программ для Android и «интернета вещей». Издание предназначено для широкого круга читателей, включая новичков, желающих получить базовые знания о компьютерной безопасности и разобраться в терминологии.</t>
  </si>
  <si>
    <t>Python for Cybersecurity: Using Python for Cyber Offense and Defense</t>
  </si>
  <si>
    <t>Howard E. Poston, III</t>
  </si>
  <si>
    <t>Python for Cybersecurity Using Python.pdf</t>
  </si>
  <si>
    <t>Книга посвящена использованию Python для автоматизации задач кибербезопасности, охватывая как атакующие, так и защитные стратегии. Ключевой особенностью является структурирование материала на основе фреймворка MITRE ATT&amp;CK, с разбором таких этапов, как начальный доступ, повышение привилегий, обход защиты и эксфильтрация данных. Издание предназначено для специалистов по кибербезопасности, желающих автоматизировать рутинные процессы, а также для новичков, знакомых с основами Python, которые хотят применить язык в практической безопасности.</t>
  </si>
  <si>
    <t>Python глазами хакера</t>
  </si>
  <si>
    <t>Python глазами хакера.pdf</t>
  </si>
  <si>
    <t>Книга «Python глазами хакера» посвящена практическому применению языка Python для задач информационной безопасности и киберпреступности. В ней рассматриваются устройство и создание вредоносных инструментов, таких как reverse shell, файловые вирусы, трояны и шифровальщики, а также методы автоматизации сбора информации, динамического анализа кода и работы с нейросетями (например, для распознавания капчи и поиска людей на видео). Издание предназначено для программистов и специалистов по информационной безопасности, имеющих базовые навыки разработки.</t>
  </si>
  <si>
    <t>Python_for_Cybersecurity_Using_Python_for_Cyber_Offense_and_Defense.epub</t>
  </si>
  <si>
    <t>Книга посвящена использованию Python для задач кибербезопасности, охватывая как атакующие, так и защитные методы. В ней рассматриваются ключевые концепции, такие как написание скриптов для автоматизации пентеста, анализ сетевого трафика, создание инструментов для обнаружения уязвимостей и реализация контрмер. Издание предназначено для специалистов среднего уровня, уже знакомых с основами Python и базовыми принципами информационной безопасности.</t>
  </si>
  <si>
    <t>Ransomware and Cybercrime</t>
  </si>
  <si>
    <t>Andrew Jenkinson</t>
  </si>
  <si>
    <t>Ransomware and Cybercrime 2022.pdf</t>
  </si>
  <si>
    <t>Книга Эндрю Дженкинсона «Ransomware and Cybercrime» исследует эволюцию киберпреступности и программ-вымогателей, утверждая, что методы, разработанные разведывательными сообществами США и Великобритании для кибератак, были скопированы и используются киберпреступниками, что привело к масштабному кризису безопасности. Автор критикует разведсообщества за создание этой угрозы и отсутствие эффективных решений, анализируя такие темы, как атаки на критическую инфраструктуру (Colonial Pipeline), уязвимости веб-сайтов и теорию сдерживания. Книга предназначена для специалистов в области кибербезопасности и руководителей, стремящихся понять корни современных киберугроз и необходимость фундаментальных изменений в подходе к безопасности интернета.</t>
  </si>
  <si>
    <t>Secure APIs</t>
  </si>
  <si>
    <t>Jose Haro Peralta</t>
  </si>
  <si>
    <t>Secure APIs_Final.pdf</t>
  </si>
  <si>
    <t>Книга «Secure APIs» Хосе Харо Перальты посвящена проектированию, созданию и внедрению безопасных API. Ключевые концепции включают принципы безопасности по дизайну, нулевое доверие, моделирование угроз, а также разбор основных уязвимостей аутентификации, авторизации и конфигурации. Издание предназначено для разработчиков и специалистов по безопасности среднего и продвинутого уровня, стремящихся интегрировать защиту в жизненный цикл API.</t>
  </si>
  <si>
    <t>Secure Communication for 5G and IoT Networks</t>
  </si>
  <si>
    <t>S Velliangiri; M Gunasekaran; P Karthikeyan</t>
  </si>
  <si>
    <t>EAI/Springer Innovations in Communication and Computing</t>
  </si>
  <si>
    <t>Secure Communication for 5G and IoT.pdf</t>
  </si>
  <si>
    <t>Книга посвящена вопросам безопасной связи в сетях 5G и Интернета вещей (IoT), а также связанным с ними проблемам конфиденциальности и энергоэффективности. В ней рассматриваются современные методы защиты, включая применение искусственного интеллекта и машинного обучения для улучшения протоколов безопасности, а также анализируется влияние IoT на промышленную автоматизацию, здравоохранение и мультимедийные коммуникации. Издание предназначено для ученых, инженеров и профессионалов, работающих в области информационных технологий и связи, и предполагает наличие у читателя базовых знаний в данной сфере.</t>
  </si>
  <si>
    <t>Инструментарий хакера</t>
  </si>
  <si>
    <t>Sergey_Babin_-_Instrumentariy_khakera_2014.pdf</t>
  </si>
  <si>
    <t>Книга Сергея Бабина «Инструментарий хакера» посвящена практическим методам кибератак и защиты информации, рассматривая такие темы, как перехват паролей, взлом Wi-Fi, подмена MAC-адресов и сокрытие следов в сети. Ключевые разделы включают захват паролей через ARP-spoofing, взлом WPA2-PSK, удаленное управление компьютером и главу о защите, где даются рекомендации по мониторингу, файрволам и безопасности банковских операций. Издание ориентировано на широкий круг читателей — от новичков и студентов до профессионалов, благодаря подробным инструкциям для Windows и Unix, а также качественной визуализации.</t>
  </si>
  <si>
    <t>Аудит безопасности информационных систем</t>
  </si>
  <si>
    <t>Скабцов Н.</t>
  </si>
  <si>
    <t>Skabtsov_N_V_-_Audit_bezopasnosti_informatsionnykh_sistem_-_2018.pdf</t>
  </si>
  <si>
    <t>Книга посвящена аудиту безопасности информационных систем и тестированию на проникновение, рассматривая как методы взлома, так и способы защиты. Ключевые разделы включают методологию взлома из пяти этапов (от сбора информации до скрытия следов), а также практические техники, такие как Google Hacking и работа с открытыми источниками. Издание предназначено для специалистов в области информационной безопасности и ИТ-специалистов, уже знакомых с основами, но будет полезно и новичкам, интересующимся законными методами пентеста.</t>
  </si>
  <si>
    <t>Software Security Concepts &amp; Practices</t>
  </si>
  <si>
    <t>Suhel Ahmad Khan</t>
  </si>
  <si>
    <t>Software_Security_Concepts__Practices.pdf</t>
  </si>
  <si>
    <t>Эта книга представляет собой учебник по программной безопасности, в котором исследуются фундаментальные теории безопасности, лежащие в основе распространенных технических проблем, и предлагаются практические методы реализации решений с использованием популярных программных пакетов. Ключевые разделы охватывают широкий спектр тем кибербезопасности — от вредоносного ПО до биометрии, а также включают описание социотехнических решений для повышения осведомленности, стандартов, моделей и уязвимостей веб-приложений. Издание предназначено в первую очередь для студентов старших курсов и магистрантов, изучающих компьютерные науки, искусственный интеллект и информационные технологии, а также будет полезно исследователям и профессионалам в данной области.</t>
  </si>
  <si>
    <t>Blockchain for Cybersecurity in Cyber-Physical Systems</t>
  </si>
  <si>
    <t>Yassine Maleh; Mamoun Alazab; Imed Romdhani</t>
  </si>
  <si>
    <t>Springer_Blockchain_for_Cybersecurity_in_Cyber_Physical_Systems.pdf</t>
  </si>
  <si>
    <t>Книга посвящена применению технологии блокчейн для обеспечения кибербезопасности в киберфизических системах (CPS). В ней рассматриваются такие ключевые концепции, как децентрализованная и неизменяемая природа блокчейна, защита от манипуляции данными и кибератак, а также обеспечение целостности информации. Издание предназначено для исследователей, разработчиков, менеджеров и специалистов, стремящихся внедрить блокчейн для решения задач безопасности CPS.</t>
  </si>
  <si>
    <t>The Complete Cyber Security Course, Volume 1: Hackers Exposed</t>
  </si>
  <si>
    <t>Nathan House</t>
  </si>
  <si>
    <t>StationX Ltd.</t>
  </si>
  <si>
    <t>The_Complete_Cyber_Security_Course,_Volume_1_Hackers_Exposed_Nathan.pdf</t>
  </si>
  <si>
    <t>Книга «The Complete Cyber Security Course, Volume I: Hackers Exposed» Натана Хауса представляет собой введение в кибербезопасность, основанное на материалах одноимённого онлайн-курса. В ней рассматриваются ключевые концепции, такие как моделирование угроз, оценка рисков, защита конфиденциальности и анонимности, а также подробно описываются виды атак и вредоносного ПО, включая фишинг, социальную инженерию и эксплойты. Издание предназначено для новичков, проходящих соответствующий курс, и служит вспомогательным пособием для закрепления знаний.</t>
  </si>
  <si>
    <t>Violent Python: A Cookbook for Hackers, Forensic Analysts, Penetration Testers and Security Engineers</t>
  </si>
  <si>
    <t>Syngress (Elsevier)</t>
  </si>
  <si>
    <t>Violent_Python_-_A_Cookbook_for_Hackers_Forensic_Analysts_Penetration_Testers_and_Security_Engineers.pdf</t>
  </si>
  <si>
    <t>Фрагмент представляет собой выходные данные книги «Violent Python: A Cookbook for Hackers, Forensic Analysts, Penetration Testers and Security Engineers», которая посвящена практическому применению языка Python для задач кибербезопасности, включая взлом, криминалистический анализ и тестирование на проникновение. Книга содержит рецепты и методы для автоматизации атак и защиты, ориентирована на специалистов среднего и продвинутого уровня, таких как хакеры, аналитики, тестеры на проникновение и инженеры безопасности.</t>
  </si>
  <si>
    <t>Web-сервер глазами хакера</t>
  </si>
  <si>
    <t>Фленов М. Е.</t>
  </si>
  <si>
    <t>Web-сервер глазами хакера.pdf</t>
  </si>
  <si>
    <t>Книга посвящена безопасности веб-серверов и типичным ошибкам разработчиков, приводящим к уязвимостям. В ней на практических примерах разбираются хакерские атаки, такие как SQL-инъекции, межсайтовый скриптинг, DoS и обход аутентификации, а также методы защиты. Издание предназначено для веб-разработчиков и системных администраторов, имеющих базовый опыт работы с PHP, ASP и Perl.</t>
  </si>
  <si>
    <t>Wireless Communication Security</t>
  </si>
  <si>
    <t>Manju Khari; Manisha Bharti; M. Niranjanamurthy</t>
  </si>
  <si>
    <t>Scrivener Publishing</t>
  </si>
  <si>
    <t>Wireless Communication Security.pdf</t>
  </si>
  <si>
    <t>Данный фрагмент представляет собой введение к книге «Wireless Communication Security», посвященной вопросам безопасности беспроводной связи. Ключевые разделы, упомянутые в содержании, включают проблемы M2M в сетях 5G, протоколы MAC-уровня для обеспечения безопасности, а также вопросы аутентификации и конфиденциальности. Книга предназначена для широкой аудитории, включая специалистов в области науки о данных, инженеров, исследователей и студентов, работающих в сфере инженерии данных и машинного обучения.</t>
  </si>
  <si>
    <t>Защита личной информации в Интернете, смартфоне и компьютере</t>
  </si>
  <si>
    <t>Камский В. А.</t>
  </si>
  <si>
    <t>Zaschita_lichnoy_informatsii_v_internete_smartfone_i_kompyutere 2017.pdf</t>
  </si>
  <si>
    <t>Книга посвящена защите личной информации в интернете, на смартфонах и компьютерах. В ней рассматриваются методы криптографии, шифрования, защита электронной почты, анонимность в сети, а также приводятся примеры взлома и способы противодействия угрозам. Издание предназначено для широкого круга пользователей, включая новичков, и написано простым и понятным языком.</t>
  </si>
  <si>
    <t>Особенности киберпреступлений: инструменты нападения</t>
  </si>
  <si>
    <t>Масалков А. С.</t>
  </si>
  <si>
    <t>А_С_Масалков_Особенности_киберпреступлений_инструменты_нападения.pdf</t>
  </si>
  <si>
    <t>Книга А. С. Масалкова посвящена анализу современных киберпреступлений и инструментов, используемых злоумышленниками для атак. В ней рассматриваются ключевые концепции, такие как классификация угроз, методы социальной инженерии, вредоносное ПО и техники взлома. Издание предназначено для специалистов в области информационной безопасности, а также для студентов и новичков, желающих понять механизмы кибератак и способы защиты от них.</t>
  </si>
  <si>
    <t>Активное выявление угроз с Elastic Stack</t>
  </si>
  <si>
    <t>Эндрю Пиз</t>
  </si>
  <si>
    <t>Активное_выявление_угроз_c_Elastic_Stack 2022.pdf</t>
  </si>
  <si>
    <t>Книга «Активное выявление угроз с Elastic Stack» посвящена построению надежного стека безопасности для предотвращения, обнаружения и реагирования на киберугрозы с использованием инструментов Elastic Stack. В ней рассматриваются ключевые аналитические модели и методики поиска угроз, такие как Cyber Kill Chain, матрица ATT&amp;CK MITRE и Алмазная модель, а также практическое применение Kibana для визуализации данных. Издание предназначено для специалистов и читателей, интересующихся тематикой активной кибербезопасности, и подходит как для новичков, так и для практикующих аналитиков.</t>
  </si>
  <si>
    <t>Хранение и защита компьютерной информации</t>
  </si>
  <si>
    <t>Л. Г. Акулов; В. Ю. Наумов</t>
  </si>
  <si>
    <t>Волгоградский государственный технический университет</t>
  </si>
  <si>
    <t>Акулов  - учебник Хранение и защита компьютерной информации 2013.pdf</t>
  </si>
  <si>
    <t>Данное учебное пособие посвящено основам информационной безопасности и практической криптографии. В книге рассматриваются базовые понятия защиты информации, простейшие симметричные шифры (подстановки и перестановки), а также блочные и поточные шифры, включая современные алгоритмы RC4 и A5. Издание предназначено для студентов, изучающих курсы, связанные с основами информационной безопасности, и рассчитано на начальный уровень подготовки.</t>
  </si>
  <si>
    <t>Attacking Network Protocols: A Hacker's Guide to Capture, Analysis, and Exploitation</t>
  </si>
  <si>
    <t>James Forshaw</t>
  </si>
  <si>
    <t>Атака сетей на уровне протоколов.pdf</t>
  </si>
  <si>
    <t>Книга «Атака сетей на уровне протоколов» Джеймса Форшоу посвящена анализу и эксплуатации уязвимостей в пользовательских сетевых протоколах. В ней рассматриваются методы перехвата трафика, анализа структуры протоколов и создания инструментов для тестирования угроз с использованием библиотеки Canape Core. Издание предназначено для специалистов в области информационной безопасности, интересующихся практическим анализом сетевых протоколов и поиском уязвимостей.</t>
  </si>
  <si>
    <t>Безопасно by design</t>
  </si>
  <si>
    <t>Дэн Берг Джонсон; Дэниел Деоган; Дэниел Савано</t>
  </si>
  <si>
    <t>Безопасно by design.pdf</t>
  </si>
  <si>
    <t>Книга «Безопасно by Design» посвящена взаимосвязи проектирования программного обеспечения и безопасности, утверждая, что многие уязвимости возникают из-за плохого дизайна, а не только из-за технических ошибок. Вместо классических тем вроде переполнения буфера авторы фокусируются на передовых методах проектирования, включая предметно-ориентированное проектирование, обеспечение целостности состояния и безопасную обработку сбоев. Издание предназначено для программистов и специалистов по разработке ПО, которые хотят создавать безопасные системы на этапе проектирования.</t>
  </si>
  <si>
    <t>Безопасность веб-приложений</t>
  </si>
  <si>
    <t>Эндрю Хоффман</t>
  </si>
  <si>
    <t>Безопасность веб-приложений (2021).pdf</t>
  </si>
  <si>
    <t>Книга Эндрю Хоффмана «Безопасность веб-приложений» представляет собой практическое руководство по разведке, атаке и защите веб-приложений. Она разделена на три ключевые части: разведка (поиск субдоменов, анализ API и архитектуры), нападение (изучение XSS, CSRF, XXE, DoS и других атак) и защита (безопасная архитектура, проверка кода и управление уязвимостями). Издание предназначено для специалистов по ИТ-безопасности и разработчиков, желающих освоить современные хакерские техники и методы защиты собственных проектов, начиная от базовых принципов и заканчивая продвинутыми приемами.</t>
  </si>
  <si>
    <t>Alice and Bob Learn Application Security</t>
  </si>
  <si>
    <t>Tanya Janca</t>
  </si>
  <si>
    <t>Безопасность веб-приложений.zip</t>
  </si>
  <si>
    <t>Книга Тани Янки «Безопасность веб-приложений» представляет собой практическое руководство для начинающих разработчиков, посвященное основам безопасности программного обеспечения. Автор охватывает ключевые концепции, начиная с проектирования безопасных приложений и миграции из проблемных фреймворков, заканчивая минимизацией административных рисков и современными практиками DevSecOps. Материал построен на реальных примерах и правдоподобных историях, что делает сложные темы доступными для понимания. Книга предназначена для новичков в сфере IT, включая разработчиков, специалистов по инфраструктуре и безопасности, и не требует глубоких предварительных знаний.</t>
  </si>
  <si>
    <t>Безопасность контейнеров. Фундаментальный подход к защите контейнеризированных приложений</t>
  </si>
  <si>
    <t>Лиз Райс</t>
  </si>
  <si>
    <t>Безопасность контейнеров.pdf</t>
  </si>
  <si>
    <t>Книга Лиз Райс «Безопасность контейнеров» посвящена фундаментальным подходам к защите контейнеризированных приложений в облачных средах. В ней рассматриваются ключевые концепции безопасности Linux, включая системные вызовы, контрольные группы, изоляцию контейнеров, сетевую безопасность и защиту секретных данных. Издание предназначено для специалистов-практиков, разработчиков и инженеров по безопасности, уже знакомых с Kubernetes, Docker и базовыми командами Linux.</t>
  </si>
  <si>
    <t>Безопасность веб-приложений на Python</t>
  </si>
  <si>
    <t>Деннис Бирн</t>
  </si>
  <si>
    <t>Безопасность_веб_приложений_на_Python_2023_Деннис_Бирн.pdf</t>
  </si>
  <si>
    <t>Книга Денниса Бирна посвящена практическим аспектам безопасности веб-приложений на Python, охватывая криптографию, TLS и защиту от атак. В первой части рассматриваются основы криптографии (хеширование, симметричное и асимметричное шифрование), вторая часть посвящена аутентификации и авторизации (сессии, пароли, OAuth 2), а третья — противодействию конкретным атакам (XSS, CSRF, кликджекинг). Издание предназначено как для начинающих, так и для опытных разработчиков, желающих повысить безопасность своих сервисов.</t>
  </si>
  <si>
    <t>Безопасность веб-приложений. Разведка, защита, нападение</t>
  </si>
  <si>
    <t>Безопасность_веб_приложений_Разведка,_защита,_нападение.pdf</t>
  </si>
  <si>
    <t>Книга Эндрю Хоффмана «Безопасность веб-приложений» представляет собой практическое руководство по разведке, защите и атаке на веб-приложения. Она разделена на три части: разведка (поиск субдоменов, анализ API, обнаружение зависимостей), нападение (XSS, CSRF, XXE, внедрение кода, DoS) и защита (безопасная архитектура, проверка кода, управление уязвимостями). Издание предназначено для специалистов по ИТ-безопасности и разработчиков, желающих освоить современные хакерские приемы и методы защиты собственных проектов.</t>
  </si>
  <si>
    <t>Безопасность_веб_приложений_на_Python.zip</t>
  </si>
  <si>
    <t>Книга Денниса Бирна посвящена безопасности веб-приложений на Python и охватывает три ключевые темы: основы криптографии (хеширование, симметричное и асимметричное шифрование, TLS), проверку личности и авторизацию (сессии, пароли, OAuth 2), а также противостояние атакам (межсайтовый скриптинг, подделка запросов, кликджекинг). Издание предназначено как для начинающих, так и для профессиональных разработчиков, стремящихся повысить защищённость своих сервисов.</t>
  </si>
  <si>
    <t>Безопасность_информационных_систем_Вооруженных_Сил_РФ.pdf</t>
  </si>
  <si>
    <t>Данное учебное пособие посвящено организационно-техническим и правовым методам обеспечения безопасности информационных систем, применяемых в Вооруженных Силах РФ. В нем рассматриваются технические, программные и организационные средства защиты, методики оценки защищенности объектов от компьютерных атак, а также основы криптографической защиты информации. Книга предназначена для курсантов и специалистов, проходящих военную подготовку по специальности «Разработка и применение математических и программных средств», и рассчитана на уровень подготовленного новичка или специалиста в области информационной безопасности.</t>
  </si>
  <si>
    <t>Agile Application Security: Enabling Security in a Continuous Delivery Pipeline</t>
  </si>
  <si>
    <t>Laura Bell; Michael Brunton-Spall; Rich Smith; Jim Bird</t>
  </si>
  <si>
    <t>Безопасность_разработки_в_Agile.pdf</t>
  </si>
  <si>
    <t>Книга посвящена интеграции практик информационной безопасности в гибкие (Agile) методологии разработки и конвейеры непрерывной поставки. Авторы объясняют основы безопасности, моделирование угроз и оценку рисков, а затем показывают, как применять эти знания на всех этапах создания ПО. Издание состоит из трех частей: основы безопасности, совмещение гибкой разработки с безопасностью и практические рекомендации по внедрению. Книга предназначена для разработчиков, использующих Agile, а также для специалистов по информационной и операционной безопасности, желающих адаптировать свои методы к быстрой итеративной разработке.</t>
  </si>
  <si>
    <t>Вскрытие покажет! Практический анализ вредоносного ПО</t>
  </si>
  <si>
    <t>Майкл Сикорски; Эндрю Хониг</t>
  </si>
  <si>
    <t>Вскрытие покажет!.pdf</t>
  </si>
  <si>
    <t>Книга «Вскрытие покажет! Практический анализ вредоносного ПО» посвящена методам анализа вредоносных программ, включая статические и динамические методики, работу с ассемблером, отладчиками и противодействие обратному проектированию. Ключевые разделы охватывают базовый и продвинутый анализ, поведение вредоносного ПО, скрытый запуск, кодирование данных и антиотладку. Издание предназначено для профессионалов в области информационной безопасности, имеющих базовые технические знания.</t>
  </si>
  <si>
    <t>Выявление специальных технических средств несанкционированного получения информации</t>
  </si>
  <si>
    <t>Вузов Г. А.</t>
  </si>
  <si>
    <t>Горячая линия - Телеком</t>
  </si>
  <si>
    <t>Выявление_с_пециальных_технических_средств_несанкциони­рованного.pdf</t>
  </si>
  <si>
    <t>Книга посвящена практическим аспектам поиска и выявления специальных технических средств, предназначенных для негласного (несанкционированного) получения информации. В ней рассматриваются методические рекомендации по организации поисковых мероприятий, физические основы работы современных устройств съема информации, а также нормативно-методическая база, регламентирующая эту деятельность. Издание предназначено для специалистов в области защиты информации, руководителей служб безопасности, а также для студентов и слушателей курсов повышения квалификации.</t>
  </si>
  <si>
    <t>Информационная безопасность</t>
  </si>
  <si>
    <t>Гродзенский Я. С.</t>
  </si>
  <si>
    <t>РГ-Пресс</t>
  </si>
  <si>
    <t>Гродзенский_Я_С_Информационная_безопасность_Учебное_пособие_2020.pdf</t>
  </si>
  <si>
    <t>Данное учебное пособие посвящено основам обеспечения информационной безопасности предприятий. В книге рассматриваются ключевые понятия, классификация угроз и методов реагирования, а также международные и национальные стандарты (включая ISO 27001), особое внимание уделяется защите персональных данных и оценке рисков. Пособие предназначено для студентов технических и экономических специальностей, а также для широкого круга читателей, начинающих изучение сферы информационной безопасности.</t>
  </si>
  <si>
    <t>Защита информации: устройства несанкционированного съема информации и борьба с ними</t>
  </si>
  <si>
    <t>С.Н. Козлов</t>
  </si>
  <si>
    <t>Академический проект</t>
  </si>
  <si>
    <t>Защита информации.zip</t>
  </si>
  <si>
    <t>Это учебно-практическое пособие, посвященное защите информации и методам борьбы с устройствами несанкционированного съема информации (УНСИ). Книга знакомит читателя с каналами утечки данных, тактикой преступников при установке «жучков» и содержит практикум по их поиску и локализации. Материал ориентирован как на специалистов по безопасности, так и на широкий круг читателей, включая рядовых сотрудников охраны и телохранителей, которым необходимы базовые знания для противодействия технической разведке.</t>
  </si>
  <si>
    <t>Network Security Through Data Analysis</t>
  </si>
  <si>
    <t>Michael Collins</t>
  </si>
  <si>
    <t>Защита сетей на основе аналиа данных - 2020.pdf</t>
  </si>
  <si>
    <t>Книга Майкла Коллинза «Защита сетей. Подход на основе анализа данных» представляет собой пошаговое руководство по эффективному использованию инструментов обеспечения безопасности сетей, сфокусированное на сборе, организации и анализе данных. Ключевые разделы включают рассмотрение сенсоров и детекторов, сетевых сенсоров, форматов данных (пакетные данные, NetFlow) и методик анализа. Издание предназначено как для опытных специалистов по безопасности, так и для новичков, особенно системных администраторов и специалистов по операционной безопасности, владеющих навыками написания скриптов.</t>
  </si>
  <si>
    <t>Защита сетй - подход.pdf</t>
  </si>
  <si>
    <t>Книга Майкла Коллинза «Защита сетей. Подход на основе анализа данных» представляет собой пошаговое руководство по эффективному использованию инструментов обеспечения сетевой безопасности. В ней подробно рассматриваются процессы сбора и организации данных, инструменты для их анализа, а также различные аналитические сценарии и методики. Особое внимание уделяется сенсорам и детекторам, сетевым сенсорам, форматам данных (пакетные данные, NetFlow) и их обработке. Издание предназначено как для опытных специалистов по безопасности, так и для новичков, включая системных администраторов и специалистов по операционной безопасности, владеющих навыками написания скриптов.</t>
  </si>
  <si>
    <t>Защита компьютерных сетей и телекоммуникаций</t>
  </si>
  <si>
    <t>Макаренко Сергей Иванович</t>
  </si>
  <si>
    <t>Наукоемкие технологии</t>
  </si>
  <si>
    <t>Защита_компьютерных_сетей_и_телекоммуникаций.zip</t>
  </si>
  <si>
    <t>Это учебное пособие по дисциплине «Защита компьютерных сетей и телекоммуникаций» для студентов специальности «Компьютерная безопасность». Первая часть книги посвящена основам построения систем связи, компьютерных и телекоммуникационных сетей, включая сетевые протоколы и современные технологии. Вторая часть фокусируется на обеспечении информационной безопасности, рассматривая типовые атаки на сети и методы защиты. Материал ориентирован на учащихся вузов и специалистов, изучающих информационную безопасность объектов на базе компьютерных систем.</t>
  </si>
  <si>
    <t>Защита_личной_информации_в_интернете.pdf</t>
  </si>
  <si>
    <t>Книга посвящена защите личной информации на компьютере, смартфоне и в интернете. В ней рассматриваются методы шифрования, защита электронной почты, анонимность в сети, а также способы взлома и противодействия им. Книга предназначена для широкого круга пользователей, от новичков до продвинутых, и написана простым языком.</t>
  </si>
  <si>
    <t>Инструменты ИИ в руках злоумышленников — классификация угроз и способы противодействия</t>
  </si>
  <si>
    <t>Нестеренко Руслан Васильевич; Рыжова Евгения Юрьевна</t>
  </si>
  <si>
    <t>ФГУП «ГРЧЦ»</t>
  </si>
  <si>
    <t>Инструменты_ИИ_в_руках_злоумышленников_Исследование.pdf</t>
  </si>
  <si>
    <t>Данный фрагмент представляет собой введение к исследованию, посвященному двойственной природе технологий искусственного интеллекта, которые могут использоваться как для защиты пользователей и мониторинга интернета, так и для деструктивных целей злоумышленниками. Ключевые концепции включают классификацию угроз, возникающих при использовании ИИ (от мошенничества до социального манипулирования), а также обзор методов противодействия, таких как обнаружение дипфейков, распознавание лиц и автоматизация модерации контента. Материал ориентирован на широкий круг специалистов, включая представителей государства, бизнеса и научного сообщества, заинтересованных в вопросах цифровой безопасности и стратегического развития.</t>
  </si>
  <si>
    <t>Информационная безопасность.pdf</t>
  </si>
  <si>
    <t>Это учебное пособие по информационной безопасности, в котором рассматриваются основные понятия, угрозы и методы защиты информации, включая защиту персональных данных, криптографию и сетевую безопасность. Ключевые разделы охватывают классификацию методов обеспечения ИБ, обзор международных и национальных стандартов (включая ISO 27001), а также оценку рисков. Книга предназначена для студентов технических и экономических специальностей, преподавателей, менеджеров и инженеров, то есть для читателей начального и среднего уровня подготовки.</t>
  </si>
  <si>
    <t>В.И. Лойко; В.Н. Лаптев; Г.А. Аршинов; С.В. Лаптев</t>
  </si>
  <si>
    <t>КубГАУ</t>
  </si>
  <si>
    <t>Информационная безопасность_.pdf</t>
  </si>
  <si>
    <t>Учебное пособие посвящено основам информационной безопасности (ИБ) и защите информации в контексте развития искусственного интеллекта. Ключевые концепции включают диалектику открытых систем, модель адаптивного управления для выживания системы и стоп-кадровый подход к балансу внешних воздействий и противодействий. Книга состоит из трех разделов: теоретические и организационные основы ИБ, практические аспекты и лабораторные работы. Пособие предназначено для студентов, обучающихся по направлениям «Информационные системы и технологии» и «Бизнес-информатика», то есть для уровня начинающих специалистов.</t>
  </si>
  <si>
    <t>Информационная безопасность: Защита и нападение</t>
  </si>
  <si>
    <t>Информационная_безопасность_Защита_и_нападение 2017.pdf</t>
  </si>
  <si>
    <t>Данный фрагмент книги «Информационная безопасность. Защита и нападение» (2017) посвящен практическим аспектам обеспечения безопасности информационных систем, рассматривая как методы защиты, так и техники атак. Ключевые разделы, вероятно, охватывают анализ уязвимостей, сетевую безопасность, криптографию и противодействие вредоносному ПО. Издание ориентировано на специалистов в области ИТ и информационной безопасности, а также на продвинутых студентов, имеющих базовую техническую подготовку.</t>
  </si>
  <si>
    <t>Как быстро восстановить потерянные компьютерные данные. Подробное руководство по спасению информации</t>
  </si>
  <si>
    <t>Гладкий, А. А.</t>
  </si>
  <si>
    <t>Как_быстро_восстановить_потерянные_компьютерные_данные.pdf</t>
  </si>
  <si>
    <t>Книга А. А. Гладкого представляет собой практическое руководство по восстановлению утраченных компьютерных данных без привлечения специалистов. В ней рассматриваются основные причины потери информации (аппаратные сбои, проблемы с питанием, ошибки пользователей), а также подробно описываются штатные средства Windows и специализированные программы для восстановления паролей и архивов. Издание предназначено для широкого круга пользователей, столкнувшихся с потерей ценных данных, и не требует глубоких технических знаний.</t>
  </si>
  <si>
    <t>Кибербезопасность объектов</t>
  </si>
  <si>
    <t>Кибербезопасность объектов.pdf</t>
  </si>
  <si>
    <t>Кибербезопасность: стратегии атак и обороны</t>
  </si>
  <si>
    <t>Юрий Диогенес; Эрдаль Озкайя</t>
  </si>
  <si>
    <t>Кибербезопасность_стратегия_атак_и_обороны.pdf</t>
  </si>
  <si>
    <t>Книга посвящена стратегиям кибербезопасности, рассматривая методы атак и защиты с использованием тактик Красной и Синей команд. Ключевые разделы включают стратегию безопасности, реагирование на инциденты, жизненный цикл атаки, управление уязвимостями и анализ журналов. Издание предназначено для специалистов по информационной безопасности и IT-специалистов, знакомых с основами безопасности и ОС Windows и Linux.</t>
  </si>
  <si>
    <t>Кибердзюцу: кибербезопасность для современных ниндзя</t>
  </si>
  <si>
    <t>Бен Маккарти</t>
  </si>
  <si>
    <t>Кибердзюцу.pdf</t>
  </si>
  <si>
    <t>Книга «Кибердзюцу» Бена Маккарти представляет собой практическое руководство по кибербезопасности, в котором древние техники и тактики ниндзя адаптированы для решения современных проблем информационной безопасности, таких как шпионаж, проникновение в сети и использование уязвимостей нулевого дня. Ключевые разделы охватывают карты сетей, моделирование угроз, методы идентификации, двойные пароли, инструменты и датчики, а также борьбу с внутренними угрозами. Книга предназначена для специалистов в области кибербезопасности и ИТ, интересующихся нестандартными подходами к защите информации, и требует базового понимания сетевых технологий.</t>
  </si>
  <si>
    <t>Кибероружие и кибербезопасность</t>
  </si>
  <si>
    <t>Кибероружие и кибербезопасность.pdf</t>
  </si>
  <si>
    <t>Коллинз Защита сетей - подход на основе анализа данных 2020.pdf</t>
  </si>
  <si>
    <t>Книга Майкла Коллинза представляет собой пошаговое руководство по обеспечению сетевой безопасности с использованием анализа данных. В ней подробно рассматриваются процессы сбора и организации данных, инструменты для их анализа, а также различные аналитические сценарии и методики, начиная с основ работы сенсоров и детекторов. Издание предназначено для системных администраторов и специалистов по операционной безопасности, владеющих навыками написания скриптов, и будет полезно как опытным специалистам, так и новичкам.</t>
  </si>
  <si>
    <t>Компьютер глазами хакера</t>
  </si>
  <si>
    <t>Компьютер глазами хакера.pdf</t>
  </si>
  <si>
    <t>Книга представляет собой сборник статей из журнала «Хакер», посвящённых эффективной и безопасной работе с операционными системами Windows 11 и Linux. Ключевые разделы включают тонкую настройку и оптимизацию систем, удаление телеметрии, использование стеганографии, а также практические руководства по сборке и модификации оборудования. Издание предназначено для опытных пользователей ПК, интересующихся углублённой настройкой и вопросами безопасности.</t>
  </si>
  <si>
    <t>Компьютерная конкурентная разведка</t>
  </si>
  <si>
    <t>А.Г. Додонов; Д.В. Ландэ; В.В. Прищепа; В.Г. Путятин</t>
  </si>
  <si>
    <t>ТОВ «Інжиніринг»</t>
  </si>
  <si>
    <t>Компьютерная_конкурентная_разведка.pdf</t>
  </si>
  <si>
    <t>Книга посвящена компьютерной конкурентной разведке — автоматизированному сбору и аналитической обработке информации из открытых источников (веб-сайты, соцсети, блоги, мессенджеры) для поддержки управленческих решений и повышения конкурентоспособности. В ней рассматриваются ключевые концепции OSINT, технологии поиска и мониторинга, Text Mining, модели предметных областей, Big Data, математические методы (временные ряды, корреляционный, вейвлет- и фрактальный анализ), а также вопросы репутационного анализа, правовые аспекты и противодействие информационным операциям. Издание предназначено для широкого круга специалистов в области информационных технологий и безопасности.</t>
  </si>
  <si>
    <t>Контролируемый взлом. Библия социальной инженерии</t>
  </si>
  <si>
    <t>Юрий Другач</t>
  </si>
  <si>
    <t>Контролируемый взлом.zip</t>
  </si>
  <si>
    <t>Книга Юрия Другача «Контролируемый взлом. Библия социальной инженерии» (2-е издание) посвящена методам социальной инженерии, используемым киберпреступниками, и способам защиты от них. В ней подробно разбираются психологические приемы, фишинговые атаки (по email, в мессенджерах и соцсетях), а также программный инструментарий злоумышленников, включая применение технологий искусственного интеллекта. Издание содержит 130 практических примеров атак, методику создания сценариев учебных атак и пошаговую инструкцию их проведения. Книга предназначена для специалистов по информационной безопасности, пентестеров и сотрудников служб безопасности, имеющих профессиональный уровень подготовки.</t>
  </si>
  <si>
    <t>Лаборатория_Хакера_Алгоритмы_раз.pdf</t>
  </si>
  <si>
    <t>Книга «Лаборатория хакера» С. А. Бабина посвящена практическим методам и средствам хакерства, описанным в форме познавательных экспериментов, с целью понимания принципов противодействия атакам. Ключевые разделы охватывают фишинг и социальную инженерию, шифрование сетевых соединений, обеспечение анонимности в сети (включая Tor), взлом Wi-Fi-роутеров, использование Metasploit Framework и генерацию радужных таблиц. Издание ориентировано на широкий круг пользователей ПК — от начинающих (старшеклассников и студентов) до профессионалов, при этом теория сведена к минимуму, а акцент сделан на практических приемах для Windows-систем.</t>
  </si>
  <si>
    <t>Ловушка для багов. Полевое руководство по веб-хакингу</t>
  </si>
  <si>
    <t>Питер Яворски</t>
  </si>
  <si>
    <t>Ловушка_для_багов_Полевое_руководство_по_веб_хакингу_.pdf</t>
  </si>
  <si>
    <t>Книга Питера Яворски «Ловушка для багов» представляет собой практическое руководство по веб-хакингу и поиску уязвимостей (баг-хантингу). В ней рассматриваются ключевые концепции и распространенные типы ошибок безопасности, такие как межсайтовый скриптинг, внедрение SQL, подделка запросов и захват поддоменов, с примерами из реальных отчетов о багах в Twitter, Facebook и Google. Издание предназначено как для новичков в кибербезопасности, желающих сделать интернет безопаснее, так и для опытных разработчиков, стремящихся писать более защищенный код.</t>
  </si>
  <si>
    <t>Искусство легального, анонимного и безопасного доступа к ресурсам Интернета</t>
  </si>
  <si>
    <t>Михаил Райтман</t>
  </si>
  <si>
    <t>Михаил_Райтман_Искусство_легального доступа.pdf</t>
  </si>
  <si>
    <t>Книга Михаила Райтмана посвящена методам обеспечения анонимности, безопасности и легального доступа к интернет-ресурсам. В ней рассматриваются такие ключевые темы, как шифрование данных на различных операционных системах, защита персональной информации, использование надежных паролей и двухфакторной аутентификации, а также подключение к анонимным сетям вроде Tor и I2P. Издание содержит практические руководства по настройке приватного веб-серфинга и работе с операционной системой Tails. Книга ориентирована на широкий круг читателей, включая новичков, заинтересованных в защите своих данных.</t>
  </si>
  <si>
    <t>Национальная система раннего предупреждения о компьютерном нападении</t>
  </si>
  <si>
    <t>Сергей Петренко; Дмитрий Ступин</t>
  </si>
  <si>
    <t>ООО «Издательский Дом «Афина»</t>
  </si>
  <si>
    <t>Научная монография. петренко С.А., Ступин Д.Д. Национальная_система_раннего_предупреждения.pdf.pdf</t>
  </si>
  <si>
    <t>Эта научная монография посвящена решению проблемы раннего предупреждения о компьютерных атаках на критическую информационную инфраструктуру России. В основе работы лежат когнитивные информационные технологии и методы «вычислительного когнитивизма», а также разработка программно-аппаратных комплексов для потоковой обработки и хранения больших данных (Big Data) кибербезопасности. Книга предназначена для студентов, аспирантов, инженеров, а также руководителей служб информационной безопасности и автоматизации.</t>
  </si>
  <si>
    <t>Обнаружение вторжений</t>
  </si>
  <si>
    <t>Обнаружение_вторжений 2013.pdf</t>
  </si>
  <si>
    <t>Книга посвящена основам обнаружения вторжений в компьютерные системы, рассматривая методы и инструменты для выявления атак. Ключевые разделы включают типы систем обнаружения вторжений (IDS), анализ сетевого трафика и сигнатур атак. Материал ориентирован на специалистов начального и среднего уровня, интересующихся практическими аспектами кибербезопасности.</t>
  </si>
  <si>
    <t>Обнаружение вторжений в компьютерные сети</t>
  </si>
  <si>
    <t>Mikhail Makarov</t>
  </si>
  <si>
    <t>Обнаружение_вторжений_в_компьютерные_сети.pdf</t>
  </si>
  <si>
    <t>Книга посвящена методам и средствам обнаружения вторжений в компьютерные сети, рассматривая как теоретические основы, так и практические аспекты построения систем защиты. Ключевые разделы охватывают анализ сетевого трафика, сигнатурные и поведенческие методы детекции атак, а также архитектуру современных систем обнаружения вторжений (IDS). Материал ориентирован на специалистов в области информационной безопасности и системных администраторов, имеющих базовую подготовку в сетевых технологиях.</t>
  </si>
  <si>
    <t>Порядок определения класса защищённости автоматизированных систем и выбора средств защиты</t>
  </si>
  <si>
    <t>Н.Г. Топольский; Д.Н. Гришечкин</t>
  </si>
  <si>
    <t>Интернет-журнал "Технологии техносферной безопасности"</t>
  </si>
  <si>
    <t>Опреднление класса защищенности.pdf</t>
  </si>
  <si>
    <t>Фрагмент статьи описывает порядок определения класса защищённости автоматизированных систем (АС) и выбора средств защиты в зависимости от типа системы, количества пользователей и уровня конфиденциальности обрабатываемой информации. Ключевые концепции включают классификацию АС по девяти классам (от 1А до 3Б) на основе опросной анкеты, а также таблицу соответствия классов и конкретных средств защиты (например, Dallas Lock, SecretNet). Материал предназначен для специалистов в области кибербезопасности и защиты информации, знакомых с нормативной базой (СТР-К).</t>
  </si>
  <si>
    <t>Основы информационной безопасности</t>
  </si>
  <si>
    <t>С. А. Нестеров</t>
  </si>
  <si>
    <t>Издательство «Лань»</t>
  </si>
  <si>
    <t>Основы_информационной_безопасности 2017.pdf</t>
  </si>
  <si>
    <t>Учебное пособие С. А. Нестерова системно излагает теоретические основы и практические аспекты информационной безопасности. Ключевые разделы охватывают теоретические основы защиты, криптографию (симметричные и асимметричные шифры, хэш-функции), защиту информации в IP-сетях (протоколы SSL/TLS, IPSec, межсетевые экраны), а также анализ и управление рисками. Книга предназначена для студентов вузов и широкого круга специалистов в области информационных технологий, включая слушателей программ дополнительного профессионального образования.</t>
  </si>
  <si>
    <t>Особенности_киберпреступлений_инструменты_нападения.pdf</t>
  </si>
  <si>
    <t>Книга посвящена анализу современных киберпреступлений и инструментов, используемых злоумышленниками для атак. В ней рассматриваются ключевые концепции, такие как классификация угроз, методы социальной инженерии, вредоносное программное обеспечение и тактики проведения атак. Издание предназначено для специалистов в области информационной безопасности, а также для студентов и новичков, желающих понять механизмы киберпреступности и способы защиты от неё.</t>
  </si>
  <si>
    <t>От первых вирусов до целевых атак</t>
  </si>
  <si>
    <t>В.А. Гинодман; Н.В. Обелец; А.А. Павлов</t>
  </si>
  <si>
    <t>НИЯУ МИФИ</t>
  </si>
  <si>
    <t>От_первых_вирусов_до_целевых_атак.pdf</t>
  </si>
  <si>
    <t>Это учебное пособие «Лаборатории Касперского» посвящено истории и типологии вредоносного программного обеспечения, а также технологиям его обнаружения. Ключевые разделы охватывают классификацию вредоносных программ (вирусы, черви, трояны), эволюцию угроз от первых вирусов до современных целевых атак и кибершпионажа, а также методы антивирусной защиты. Книга предназначена для широкого круга пользователей, стремящихся повысить общий уровень знаний в области информационной безопасности, и может быть полезна как новичкам, так и студентам соответствующих специальностей.</t>
  </si>
  <si>
    <t>Программно-аппаратные средства защиты информации</t>
  </si>
  <si>
    <t>В. В. Платонов</t>
  </si>
  <si>
    <t>Издательский центр «Академия»</t>
  </si>
  <si>
    <t>Платонов рограммно-аппаратные средства защиты информации 2013.pdf</t>
  </si>
  <si>
    <t>Это учебник по программно-аппаратным средствам защиты информации, предназначенный для студентов вузов, обучающихся по направлению «Информационная безопасность». Книга охватывает обеспечение безопасности межсетевого взаимодействия, виды вредоносных программ и удаленных атак, технологии межсетевых экранов, системы обнаружения вторжений, а также построение виртуальных частных сетей (VPN). Материал ориентирован на уровень бакалавриата и предполагает начальную профессиональную подготовку в области информационной безопасности.</t>
  </si>
  <si>
    <t>Практическая безопасность Linux</t>
  </si>
  <si>
    <t>Чайка А. А.</t>
  </si>
  <si>
    <t>Практическая безопасность Linux.zip</t>
  </si>
  <si>
    <t>Книга Александра Чайки «Практическая безопасность Linux» посвящена практическим аспектам защиты операционной системы Linux. В ней подробно рассматриваются архитектура системы, механизмы управления доступом (DAC, MAC, SELinux, AppArmor), методы изоляции приложений, сетевой безопасности, шифрования и противодействия вредоносному коду, а также завершающие главы охватывают расследование инцидентов и форензику. Издание предназначено для системных администраторов и специалистов по информационной безопасности, имеющих базовый опыт работы с Linux.</t>
  </si>
  <si>
    <t>Преступления в сфере обращения цифровой информации</t>
  </si>
  <si>
    <t>И. Р. Бегишев; И. И. Бикеев</t>
  </si>
  <si>
    <t>Изд-во «Познание» Казанского инновационного университета</t>
  </si>
  <si>
    <t>Преступления в сфере обращения цифровой информации.pdf</t>
  </si>
  <si>
    <t>Монография посвящена комплексному исследованию преступлений в сфере обращения цифровой информации, их уголовно-правовой природы и проблем ответственности. В работе рассматриваются такие ключевые концепции, как понятие цифровой информации, неправомерный доступ, вредоносные программы, а также преступления против критической информационной инфраструктуры. Книга предназначена для научных и педагогических работников, сотрудников правоохранительных органов и специалистов в области цифровой безопасности.</t>
  </si>
  <si>
    <t>Призрак в Сети. Мемуары величайшего хакера</t>
  </si>
  <si>
    <t>Кевин Митник; Уильям Саймон</t>
  </si>
  <si>
    <t>Призрак_в_сети_Мемуары_величайшего_х.pdf</t>
  </si>
  <si>
    <t>Этот фрагмент книги «Призрак в Сети. Мемуары величайшего хакера» Кевина Митника и Уильяма Саймона представляет собой автобиографию знаменитого хакера, рассказывающую о его взломах, методах социальной инженерии и противостоянии с ФБР. В предисловии Стив Возняк описывает личность Митника, а в прологе автор на примере проникновения в офис компании демонстрирует технику «паровозик» и изготовление фальшивых пропусков. Книга предназначена для широкой аудитории, включая новичков, интересующихся историей хакинга и кибербезопасностью, а также для специалистов, желающих понять психологию взломщика.</t>
  </si>
  <si>
    <t>Юрайт</t>
  </si>
  <si>
    <t>Программно_аппаратные_средства_защиты_информации.pdf</t>
  </si>
  <si>
    <t>Данный фрагмент книги «Программно-аппаратные средства защиты информации» посвящён основам обеспечения информационной безопасности. Ключевые концепции включают классификацию угроз, методы аутентификации и принципы работы средств криптографической защиты. Материал ориентирован на студентов технических специальностей и начинающих специалистов в области ИБ, желающих понять базовые механизмы защиты данных.</t>
  </si>
  <si>
    <t>Программно-аппаратные средства обеспечения информационной безопасности. Практикум</t>
  </si>
  <si>
    <t>А. В. Душкин; О. М. Барсуков; Е. В. Кравцов; К. В. Славнов; С. С. Кущев</t>
  </si>
  <si>
    <t>Программно_аппаратные_средства_обеспечения_информационной_безопасности.pdf</t>
  </si>
  <si>
    <t>Данный фрагмент представляет собой учебное пособие по программно-аппаратным средствам обеспечения информационной безопасности. Книга состоит из 11 практических занятий и 9 лабораторных работ, посвященных аудиту информационной безопасности, проектированию и моделированию защищенных систем, а также защите от несанкционированного доступа. Пособие предназначено для студентов, курсантов и специалистов, обучающихся по направлениям «Информатика», «Информационная безопасность» и «Электроника, радиотехника и системы связи», то есть рассчитано на уровень от новичка до практикующего специалиста.</t>
  </si>
  <si>
    <t>Прозрачное программное обеспечение: безопасность цепочек поставок ПО</t>
  </si>
  <si>
    <t>Крис Хьюз; Тони Тернер</t>
  </si>
  <si>
    <t>Прозрачное_ПО_безопасность _цепочек _поставок.zip</t>
  </si>
  <si>
    <t>Книга Криса Хьюза и Тони Тернера посвящена безопасности цепочек поставок программного обеспечения и концепции прозрачности ПО. Авторы рассматривают историю угроз, методы оценки рисков, появление спецификаций SBOM (Software Bill of Materials) и дают практические рекомендации для коммерческих и государственных разработок, а также для облачных и контейнерных сред. Издание предназначено для специалистов по кибербезопасности, DevSecOps и безопасности приложений, то есть для профессионалов среднего и продвинутого уровня.</t>
  </si>
  <si>
    <t>Путеводитель по карьере в кибербезопасности</t>
  </si>
  <si>
    <t>Алисса Миллер</t>
  </si>
  <si>
    <t>Феникс</t>
  </si>
  <si>
    <t>Путеводитель_по_карьере_в_кибербезопасности.zip</t>
  </si>
  <si>
    <t>Книга Алиссы Миллер представляет собой практическое руководство по построению карьеры в сфере кибербезопасности, охватывающее широкий спектр профессий в этой области. Автор выделяет ключевые направления, такие как операции по обеспечению безопасности, цифровая криминалистика, архитектура безопасности и управление рисками, а также описывает необходимые технические и гибкие навыки. Издание содержит советы по выбору специализации, получению сертификатов, составлению резюме и прохождению собеседований. Книга предназначена в первую очередь для новичков и специалистов, желающих уверенно начать или переориентировать свою карьеру в кибербезопасности.</t>
  </si>
  <si>
    <t>Реагирование на компьютерные инциденты</t>
  </si>
  <si>
    <t>Стив Энсон</t>
  </si>
  <si>
    <t>Реагирование_на_компьютерные_инциденты 2021.pdf</t>
  </si>
  <si>
    <t>Эта книга представляет собой практическое руководство по реагированию на компьютерные инциденты, рассматривая этот процесс как непрерывный цикл, а не разовую процедуру. В ней подробно описаны современные методы активной защиты сети, включая подготовку окружения, локальную и удаленную сортировку систем, анализ памяти и дисков, мониторинг безопасности, а также статический и динамический анализ вредоносных программ. Издание предназначено как для новичков, желающих освоить профессию, так и для опытных специалистов, которым оно может служить техническим справочником.</t>
  </si>
  <si>
    <t>Руткиты и буткиты. Обратная разработка вредоносных программ и угрозы следующего поколения</t>
  </si>
  <si>
    <t>Алекс Матросов; Евгений Родионов; Сергей Братусь</t>
  </si>
  <si>
    <t>Руткиты и буткиты 2022.pdf</t>
  </si>
  <si>
    <t>Книга посвящена обнаружению, анализу и обратной разработке вредоносного ПО, в частности руткитов и буткитов, а также методам их внедрения в операционную систему. Первая часть рассматривает примеры руткитов (TDL3, Festi), их архитектуру и методы сокрытия, а вторая часть описывает эволюцию буткитов и угроз следующего поколения. Издание предназначено для широкого круга специалистов по информационной безопасности, интересующихся современными методами обхода защитных механизмов ОС.</t>
  </si>
  <si>
    <t>Секреты безопасности и анонимности в Интернете</t>
  </si>
  <si>
    <t>Д. Колисниченко</t>
  </si>
  <si>
    <t>Секреты_безопасности_и_анонимности_в_Интернете_Д_Колисниченко_2021.pdf</t>
  </si>
  <si>
    <t>Книга Д. Колисниченко посвящена практическим вопросам обеспечения безопасности и анонимности в интернете. В ней рассматриваются ключевые концепции, такие как использование VPN, работа с прокси-серверами, шифрование данных и защита от слежки. Издание ориентировано на широкий круг читателей, включая новичков, и содержит пошаговые инструкции по настройке защищённого соединения и обходу блокировок.</t>
  </si>
  <si>
    <t>Руководство по защите от внутренних угроз</t>
  </si>
  <si>
    <t>Скиба В.Ю.; Курбатов В.А.</t>
  </si>
  <si>
    <t>Скиба_В_Ю_Курбатов_В_А_Руководство_по_защите_от_внутренних_угроз 2018.pdf</t>
  </si>
  <si>
    <t>Книга представляет собой практическое руководство по защите организаций от внутренних угроз информационной безопасности, исходящих от собственных сотрудников. В ней рассматриваются ключевые концепции, такие как классификация инсайдеров, методы выявления подозрительной активности и построение системы превентивных мер. Издание предназначено для специалистов по информационной безопасности, руководителей отделов кадров и ИТ-администраторов, обладающих базовыми знаниями в области защиты данных.</t>
  </si>
  <si>
    <t>IT как оружие: Какие опасности таит в себе развитие высоких технологий</t>
  </si>
  <si>
    <t>Брэд Смит; Кэрол Энн Браун</t>
  </si>
  <si>
    <t>Смит Б., Браун К. - IT как оружие - 2021.pdf</t>
  </si>
  <si>
    <t>Книга «IT как оружие» Брэда Смита и Кэрол Энн Браун посвящена анализу рисков и этических дилемм, связанных с развитием высоких технологий, а также необходимости их регулирования. Ключевые концепции включают кибербезопасность, защиту персональных данных, проблемы искусственного интеллекта и распознавания лиц, а также важность сотрудничества технологических компаний с правительствами. Автор, бывший топ-менеджер Microsoft, настаивает на том, что отрасль должна активно взаимодействовать с государством для выработки общих правил, а не оставаться в стороне. Книга предназначена для широкого круга читателей, включая специалистов, интересующихся влиянием технологий на общество, и новичков, желающих понять современные вызовы цифровой эпохи.</t>
  </si>
  <si>
    <t>Вторжение. Краткая история русских хакеров</t>
  </si>
  <si>
    <t>Даниил Туровский</t>
  </si>
  <si>
    <t>Туровский_ Краткая история русских хакеров.epub</t>
  </si>
  <si>
    <t>Книга Даниила Туровского посвящена истории российских хакеров и их роли в мировой политике, начиная с кибератак 1990-х годов. В представленном фрагменте рассматриваются ключевые эпизоды, такие как взломы Moonlight Maze в 1996 году и атаки группировки Fancy Bear на Демократическую партию США в 2015-2016 годах, включая использование фишинга и утечку компрометирующих писем через Wikileaks. Автор анализирует методы хакеров, их предполагаемую связь с российскими спецслужбами и реакцию американских властей, а также разоблачает попытки прикрытия, вроде псевдонима Guccifer 2.0. Книга будет интересна как новичкам, интересующимся кибербезопасностью и геополитикой, так и специалистам, изучающим историю кибервойн.</t>
  </si>
  <si>
    <t>Флёнов М. Е.</t>
  </si>
  <si>
    <t>Фленов Компьютер глазами хакера, 3-е издание.pdf</t>
  </si>
  <si>
    <t>Книга Михаила Флёнова «Компьютер глазами хакера» (3-е издание) посвящена вопросам безопасности и эффективной настройки персонального компьютера под управлением Windows XP/Vista/7, а также безопасной работе в Интернете. В издании рассматриваются методы атак хакеров, способы защиты от них, примеры взлома простых защит Shareware-программ и накрутки счетчиков, а также даются советы по настройке интерфейса и повышению производительности системы. Книга предназначена для широкого круга пользователей ПК, от новичков до опытных, интересующихся практическими аспектами компьютерной безопасности.</t>
  </si>
  <si>
    <t>Хакерская самооборона. Приемы обнаружения и предотвращения хакерских атак</t>
  </si>
  <si>
    <t>Жуков А.Н.</t>
  </si>
  <si>
    <t>Хакерская самооборона.zip</t>
  </si>
  <si>
    <t>Книга Андрея Жукона «Хакерская самооборона» посвящена практическим методам активной киберзащиты, основанным на анализе действий злоумышленника и применении принципов киберсамообороны. Рассматриваются подходы к выявлению и минимизации атак на различных этапах проникновения — от внешней разведки до активности во внутреннем периметре сети, включая анализ поведенческих признаков, обнаружение следов в системах доменной аутентификации и противодействие угрозам в беспроводных сетях. Особое внимание уделено методам защиты, не требующим административных прав и доступа к серверной инфраструктуре, применимым с уровня обычного пользователя. Издание предназначено для пентестеров и специалистов по информационной безопасности.</t>
  </si>
  <si>
    <t>Hacking: The Art of Exploitation</t>
  </si>
  <si>
    <t>Jon Erickson</t>
  </si>
  <si>
    <t>Хаккинг-искусство эксплойта_2018.pdf</t>
  </si>
  <si>
    <t>Книга «Хакинг: искусство эксплойта» (2-е издание) Джона Эриксона посвящена практическому изучению компьютерной безопасности через понимание низкоуровневого программирования и поиска уязвимостей. Ключевые разделы охватывают основы программирования на C и ассемблере, работу с памятью, переполнение буфера, шелл-коды, сетевые взаимодействия и шифрование. Издание предназначено для программистов и специалистов по безопасности, уже имеющих базовые навыки разработки, и требует готовности к изучению технических деталей работы процессора и операционной системы.</t>
  </si>
  <si>
    <t>24 смертных греха компьютерной безопасности. Как написать безопасный код</t>
  </si>
  <si>
    <t>Ховард М.; Лебланк Д.; Вьега Дж.</t>
  </si>
  <si>
    <t>Ховард М., Лебланк Д., Вьега Дж. 24 смертных греха компьютерной безопасности. Как написать безопасный код (2010).djvu</t>
  </si>
  <si>
    <t>Книга посвящена типичным ошибкам и уязвимостям в программном обеспечении, которые приводят к проблемам безопасности. Авторы выделяют 24 ключевых «греха» — от переполнения буфера и SQL-инъекций до некорректной обработки ошибок и криптографических просчетов. Каждый раздел подробно объясняет механизм атаки, последствия и методы защиты на уровне кода. Издание ориентировано на профессиональных разработчиков и специалистов по безопасности, имеющих опыт программирования, но будет полезно и продвинутым студентам технических специальностей.</t>
  </si>
  <si>
    <t>Защита информации в компьютерных системах и сетях</t>
  </si>
  <si>
    <t>Шаньгин В.Ф.</t>
  </si>
  <si>
    <t>Шаньгин Защита информации в компьютерных системах и сетях.pdf</t>
  </si>
  <si>
    <t>Данный фрагмент книги В.Ф. Шаньгина посвящён основам защиты информации в компьютерных системах и сетях. Ключевые концепции включают методы и средства обеспечения информационной безопасности, вероятно, охватывающие криптографию, управление доступом и сетевое экранирование. Книга предназначена для студентов, специалистов в области ИТ и начинающих практиков, изучающих кибербезопасность.</t>
  </si>
  <si>
    <t>Информационная безопасность компьютерных систем и сетей</t>
  </si>
  <si>
    <t>В. Ф. Шаньгин</t>
  </si>
  <si>
    <t>ИД «ФОРУМ» - ИНФРА-М</t>
  </si>
  <si>
    <t>Шаньгин Информ безопасность.pdf</t>
  </si>
  <si>
    <t>Данный фрагмент представляет собой введение к учебному пособию В.Ф. Шаньгина по информационной безопасности компьютерных систем и сетей. Книга охватывает базовые понятия и угрозы информационной безопасности, криптографические методы защиты, технологии защиты сетевого обмена и антивирусную защиту, а также организационно-правовые аспекты. Пособие предназначено для студентов учреждений среднего профессионального образования, обучающихся по специальностям в сфере информатики и вычислительной техники, то есть для начального и среднего уровня подготовки специалистов.</t>
  </si>
  <si>
    <t>Криптографические основы блокчейн-технологий</t>
  </si>
  <si>
    <t>Ищукова Е. А.; Панасенко С. П.; Романенко К. С.; Салманов В. Д.</t>
  </si>
  <si>
    <t>Безопасность/Криптография</t>
  </si>
  <si>
    <t>Криптография</t>
  </si>
  <si>
    <t>!!! Криптографические_основы_блокчейн_технологий.pdf</t>
  </si>
  <si>
    <t>C:\Users\alexa\YandexDisk\Книги\Безопасность\Криптография</t>
  </si>
  <si>
    <t>Книга посвящена криптографическим основам блокчейн-технологий, рассматривая не только алгоритмы шифрования, но и базовые механизмы систем, такие как транзакции, формирование блоков и консенсус. Ключевые разделы охватывают алгоритмы хеширования, электронную подпись на эллиптических кривых и принципы работы блокчейна. Издание предназначено как для специалистов в области блокчейна, так и для новичков, интересующихся данной темой.</t>
  </si>
  <si>
    <t>Основы современной криптографии и стеганографии</t>
  </si>
  <si>
    <t>Рябко Б. Я.; Фионов А. Н.</t>
  </si>
  <si>
    <t>!!!Основы_современной_криптографии_и_стеганографии.pdf</t>
  </si>
  <si>
    <t>Книга представляет собой монографию, посвященную основам современной криптографии и стеганографии. В ней рассматриваются шифры с открытыми ключами, цифровая подпись, блоковые и потоковые шифры, хеш-функции, а также методы стеганографии для скрытой передачи данных. Издание предназначено для исследователей и специалистов в области защиты информации, а также будет полезно аспирантам и студентам соответствующих специальностей.</t>
  </si>
  <si>
    <t>Практическая криптография. Алгоритмы и их программирование</t>
  </si>
  <si>
    <t>А. В. Аграновский; Р. А. Хади</t>
  </si>
  <si>
    <t>2009</t>
  </si>
  <si>
    <t>Солон-Пресс</t>
  </si>
  <si>
    <t>(Аспекты защиты) А. В. Аграновский, Р. А. Хади - Практическая криптография. Алгоритмы и их программирование-Солон-Пресс (2009).djvu</t>
  </si>
  <si>
    <t>Книга А. В. Аграновского и Р. А. Хади посвящена практическим аспектам криптографии, а именно алгоритмам шифрования и их программной реализации. В ней рассматриваются ключевые концепции симметричного и асимметричного шифрования, хеш-функции и методы защиты информации, с акцентом на написание работающего кода. Издание ориентировано на специалистов и разработчиков, имеющих базовую подготовку в области программирования, а также на студентов технических специальностей, желающих углубиться в прикладную криптографию.</t>
  </si>
  <si>
    <t>Элементарное введение в эллиптическую криптографию: алгебраические и алгоритмические основы</t>
  </si>
  <si>
    <t>А.А. Болотов; С.Б. Гашков; А.Б. Фролов; А.А. Часовских</t>
  </si>
  <si>
    <t>URSS</t>
  </si>
  <si>
    <t>(Защита информации, криптография) А.А. Болотов, С.Б. Гашков, А.Б. Фролов, А.А. Часовских - Элементарное введение в эллиптическую криптографию_ алгебраические и алгоритмические основы-URSS (2006).djvu</t>
  </si>
  <si>
    <t>Данная книга представляет собой учебное пособие, посвященное основам эллиптической криптографии, с акцентом на её алгебраические и алгоритмические аспекты. В работе подробно рассматриваются математические основы, включая теорию эллиптических кривых, а также практические алгоритмы, используемые для построения криптосистем. Издание ориентировано на читателей, уже знакомых с базовыми понятиями криптографии и высшей математики, то есть на студентов, аспирантов и специалистов в области защиты информации.</t>
  </si>
  <si>
    <t>Cryptography</t>
  </si>
  <si>
    <t>Cryptography.zip</t>
  </si>
  <si>
    <t>Cryptography Algorithms</t>
  </si>
  <si>
    <t>Massimo Bertaccini</t>
  </si>
  <si>
    <t>Cryptography_Algorithms_A_guide_to_algorithms_in_blockchain 2022.pdf</t>
  </si>
  <si>
    <t>Книга Массимо Бертаччини представляет собой руководство по криптографическим алгоритмам, используемым в блокчейне, квантовой криптографии, протоколах с нулевым разглашением и гомоморфном шифровании. Она охватывает как классические симметричные и асимметричные шифры (DES, AES, RSA, ElGamal), так и современные концепции, включая хеш-функции, цифровые подписи и доказательства с нулевым разглашением (zk-SNARKs). Издание предназначено для специалистов в области информационной безопасности, разработчиков и исследователей, уже имеющих базовое понимание математики и криптографии.</t>
  </si>
  <si>
    <t>Real-World Cryptography</t>
  </si>
  <si>
    <t>David Wong</t>
  </si>
  <si>
    <t>David_Wong_Real_World_Cryptography_Manning_Publications_2021.pdf</t>
  </si>
  <si>
    <t>Книга Дэвида Вонга «Real-World Cryptography» посвящена практическому применению криптографии для защиты протоколов и данных. В ней рассматриваются ключевые концепции, такие как симметричное и асимметричное шифрование, хеш-функции, коды аутентификации сообщений (MAC), цифровые подписи и обмен ключами, включая такие стандарты, как AES, SHA-2, HMAC и ECDH. Издание предназначено для разработчиков и специалистов по безопасности, имеющих базовые технические знания, которые хотят понять, как правильно использовать криптографию в реальных приложениях, избегая типичных ошибок.</t>
  </si>
  <si>
    <t>Fast Implementation of Two Hash Algorithms on nVidia CUDA GPU</t>
  </si>
  <si>
    <t>Gorka Lerchundi Osa; Danilo Gligoroski</t>
  </si>
  <si>
    <t>Norwegian University of Science and Technology</t>
  </si>
  <si>
    <t>Fast Implementation of Two Hash.pdf</t>
  </si>
  <si>
    <t>Этот фрагмент представляет собой магистерскую диссертацию, посвященную ускорению криптографических хеш-функций, в частности алгоритма Blue Midnight Wish (кандидата на стандарт SHA-3), с помощью параллельных вычислений на графических процессорах nVidia с использованием технологии CUDA. Ключевой вывод работы заключается в том, что, несмотря на ожидания, распараллеливание этого алгоритма на GPU не дало прироста скорости из-за высоких накладных расходов на межъядерную коммуникацию. Текст предназначен для специалистов в области криптографии и параллельных вычислений, а также для исследователей, интересующихся практическими ограничениями ускорения криптографических примитивов.</t>
  </si>
  <si>
    <t>Full Stack Python Security</t>
  </si>
  <si>
    <t>Dennis Byrne</t>
  </si>
  <si>
    <t>Full_Stack_Python_Security_Cryptography.epub</t>
  </si>
  <si>
    <t>Книга Денниса Бирна «Full Stack Python Security» посвящена обеспечению безопасности веб-приложений на Python и Django. В ней рассматриваются криптографические основы (хеширование, симметричное и асимметричное шифрование), Transport Layer Security (TLS), управление сессиями, аутентификация пользователей, управление паролями, авторизация и протокол OAuth 2. Издание предназначено для разработчиков, уже знакомых с Python и Django, которые хотят углубить свои знания в области защиты приложений от атак.</t>
  </si>
  <si>
    <t>Implementing Cryptography Using Python</t>
  </si>
  <si>
    <t>Shannon W. Bray</t>
  </si>
  <si>
    <t>Implementing Cryptography Using Python.pdf</t>
  </si>
  <si>
    <t>Фрагмент представляет собой выходные данные книги «Implementing Cryptography Using Python» (Шеннон В. Брей, издательство Wiley, 2020). Книга посвящена практической реализации криптографических алгоритмов на языке Python. Судя по биографии автора, который имеет степень магистра в области кибербезопасности и работает над докторской по компьютерным наукам, издание ориентировано на специалистов и студентов, изучающих криптографию и информационную безопасность. Ключевые темы включают применение Python для шифрования, построения безопасных решений и, вероятно, сквозного шифрования.</t>
  </si>
  <si>
    <t>Keccak sponge function family main document</t>
  </si>
  <si>
    <t>Guido Bertoni; Joan Daemen; Michaël Peeters; Gilles Van Assche</t>
  </si>
  <si>
    <t>Keccak sponge function family main document.pdf</t>
  </si>
  <si>
    <t>Данный документ представляет собой техническую спецификацию криптографического семейства функций Keccak, которое впоследствии стало стандартом SHA-3. Ключевые концепции включают описание губчатой конструкции (sponge construction), лежащей в основе алгоритма, детальное обоснование выбора параметров и проектирования итерационной перестановки Keccak-f, а также анализ устойчивости к различным видам атак. Материал предназначен исключительно для специалистов в области криптографии и разработчиков, имеющих глубокие знания в данной предметной области.</t>
  </si>
  <si>
    <t>Keccak implementation overview</t>
  </si>
  <si>
    <t>Guido Bertoni; Joan Daemen; Michaël Peeters; Gilles Van Assche; Ronny Van Keer</t>
  </si>
  <si>
    <t>STMicroelectronics; NXP Semiconductors</t>
  </si>
  <si>
    <t>Keccak-implementation-3.1.pdf</t>
  </si>
  <si>
    <t>Данный документ представляет собой технический обзор реализации криптографической хеш-функции Keccak (победителя конкурса SHA-3) как в программном, так и в аппаратном обеспечении. Ключевые разделы охватывают общие аспекты спецификации, методы оптимизации (например, битовое чередование), реализацию для различных платформ (от 8-битных микроконтроллеров до ПК с SIMD-инструкциями) и защиту от атак по побочным каналам. Материал предназначен для специалистов в области криптографии и разработчиков, занимающихся практической реализацией алгоритмов.</t>
  </si>
  <si>
    <t>Network Security: Private Communications in a Public World, 3rd Edition</t>
  </si>
  <si>
    <t>Charlie Kaufman;Radia Perlman;Mike Speciner;Ray Perlner</t>
  </si>
  <si>
    <t>Network_security.pdf</t>
  </si>
  <si>
    <t>Это третье издание классического руководства по криптографии и сетевой безопасности, полностью обновлённое авторами. Книга подробно объясняет внутреннее устройство криптографических алгоритмов и протоколов защиты сетей, включая такие темы, как защищённые сессии и активные/пассивные атаки. Издание предназначено как для новичков, так и для специалистов, благодаря доходчивому и остроумному стилю изложения сложных технических концепций.</t>
  </si>
  <si>
    <t>Online Template Attack On ECDSA: Extracting Keys Via The Other Side</t>
  </si>
  <si>
    <t>N.W.A. Roelofs</t>
  </si>
  <si>
    <t>Radboud University Nijmegen</t>
  </si>
  <si>
    <t>Online Template Attack On.pdf</t>
  </si>
  <si>
    <t>Эта магистерская диссертация посвящена атаке по сторонним каналам (online template attack) на алгоритм цифровой подписи ECDSA, позволяющей восстановить секретный ключ, используя всего один замер энергопотребления при подписании и два шаблона на бит. Ключевая концепция заключается в том, что злоумышленник имитирует операцию возведения в квадрат из процесса верификации для создания шаблонов и последующего побитового восстановления скаляра. В качестве контрмеры предлагается использование рандомизированных проективных координат при подписании, что делает создание шаблонов практически невозможным. Работа предназначена для специалистов в области криптографии и кибербезопасности, знакомых с эллиптическими кривыми и атаками по сторонним каналам.</t>
  </si>
  <si>
    <t>OpenSSL 3. Ключ к тайнам криптографии</t>
  </si>
  <si>
    <t>Алексей Хлебников</t>
  </si>
  <si>
    <t>OPENSSL 3. Ключ к тайнам криптографии.pdf</t>
  </si>
  <si>
    <t>Книга Алексея Хлебникова посвящена практическому применению криптографии с помощью библиотеки OpenSSL 3.0 для обеспечения сетевой безопасности. В ней рассматриваются основы симметричного и асимметричного шифрования, работа с открытыми и закрытыми ключами, цифровые подписи и протокол TLS. Издание предназначено для разработчиков ПО, системных администраторов, инженеров по сетевой безопасности и специалистов DevOps, то есть для специалистов среднего и продвинутого уровня.</t>
  </si>
  <si>
    <t>OpenSSL_3_ключ_к_тайнам_криптографии_2023_Хлебников_А_.pdf</t>
  </si>
  <si>
    <t>Книга Алексея Хлебникова «OpenSSL 3. Ключ к тайнам криптографии» посвящена практическому применению библиотеки OpenSSL 3.0 для обеспечения сетевой безопасности. В ней рассматриваются основы криптографии, включая симметричное и асимметричное шифрование, цифровые подписи и протокол TLS, с акцентом на конкретные примеры и новые возможности версии 3.0. Издание предназначено для разработчиков ПО, системных администраторов, инженеров по сетевой безопасности и DevOps-специалистов, то есть для практикующих специалистов, а не для новичков.</t>
  </si>
  <si>
    <t>Practical attack of ECDSA with wNAF</t>
  </si>
  <si>
    <t>Gabrielle De Micheli; Rémi Piau; Cécile Pierrot</t>
  </si>
  <si>
    <t>Practical attack of ECDSA with wNAF.pdf</t>
  </si>
  <si>
    <t>Статья посвящена атаке на алгоритм цифровой подписи ECDSA, использующий оконную не-соседнюю форму (wNAF) для скалярного умножения, с целью восстановления секретного ключа. Ключевые концепции включают анализ побочных каналов, решёточные методы, в частности расширенную задачу о скрытом числе (EHNP), и анализ устойчивости к ошибкам. Авторы демонстрируют возможность восстановления ключа всего по трём подписям, что превосходит предыдущие методы, и вводят предварительную обработку, сокращающую время атаки. Работа предназначена для специалистов в области криптографии и информационной безопасности, интересующихся практическими атаками на криптографические реализации.</t>
  </si>
  <si>
    <t>Quantum Attacks on Bitcoin and How to Protect Against Them</t>
  </si>
  <si>
    <t>Divesh Aggarwal; Gavin K. Brennen; Troy Lee; Miklos Santha; Marco Tomamichel</t>
  </si>
  <si>
    <t>Quantum Attacks on Bitcoin and How to Protect Agai.pdf</t>
  </si>
  <si>
    <t>Этот фрагмент научной статьи посвящён анализу уязвимости криптовалюты Bitcoin перед атаками с использованием квантовых компьютеров. Авторы рассматривают два ключевых аспекта безопасности: алгоритм доказательства работы (Proof-of-Work), который, по их мнению, останется относительно устойчивым к квантовому ускорению в ближайшие 10 лет, и схему цифровой подписи на эллиптических кривых, которая может быть полностью взломана квантовым компьютером уже к 2027 году. В работе также предлагаются контрмеры, включая альтернативный протокол доказательства работы Momentum и обзор постквантовых схем подписи. Материал предназначен для специалистов в области криптографии, блокчейна и квантовых вычислений, а также для технически подкованных читателей, интересующихся будущим безопасности криптовалют.</t>
  </si>
  <si>
    <t>Authentication and Access Control: Practical Cryptography Methods and Tools</t>
  </si>
  <si>
    <t>Sirapat Boonkrong</t>
  </si>
  <si>
    <t>Sirapat_Boonkrong_Authentication_And_Access_Control_Practical_Cryptography.pdf</t>
  </si>
  <si>
    <t>Книга Сирапата Бункронг посвящена практическим методам и инструментам криптографии для аутентификации и контроля доступа. В ней рассматриваются такие ключевые концепции, как модель CIA (конфиденциальность, целостность, доступность), симметричное и асимметричное шифрование, гибридные криптосистемы, криптографические хеш-функции и цифровые подписи. Издание предназначено для специалистов и практиков в области информационной безопасности, желающих углубить свои знания в прикладной криптографии.</t>
  </si>
  <si>
    <t>Lattice Attacks against Elliptic-Curve Signatures with Blinded Scalar Multiplication</t>
  </si>
  <si>
    <t>Dahmun Goudarzi; Matthieu Rivain; Damien Vergnaud</t>
  </si>
  <si>
    <t>slides_Goudarzi.pdf</t>
  </si>
  <si>
    <t>Данный фрагмент представляет собой научную презентацию, посвященную атакам на решетках на подписи на эллиптических кривых (ECDSA), в которых используется ослепление скалярного умножения для защиты от атак по сторонним каналам. Ключевые концепции включают использование шаблонных атак для извлечения зашумленной информации об ослепленных одноразовых номерах, алгоритм выбора битов для восстановления ключа и применение атаки Хауграва-Грэма и Смарта на решетках. Материал предназначен для специалистов в области криптографии и безопасности, знакомых с теорией эллиптических кривых и методами криптоанализа.</t>
  </si>
  <si>
    <t>Speed Optimizations in Bitcoin Key Recovery Attacks</t>
  </si>
  <si>
    <t>Nicolas Courtois; Guangyan Song; Ryan Castellucci</t>
  </si>
  <si>
    <t>Speed Optimizations in Bitcoin Key Recovery Attack.pdf</t>
  </si>
  <si>
    <t>Данный фрагмент научной статьи посвящён исследованию и оптимизации атак на восстановление ключей криптовалюты Bitcoin, в частности, на основе эллиптической кривой secp256k1. Авторы предлагают улучшенную реализацию, которая в 2,5 раза быстрее существующих аналогов, что позволяет эффективно сканировать блокчейн на предмет слабых ключей и взламывать так называемые «мозговые кошельки». Статья включает обзор основ криптографии на эллиптических кривых, генерации ключей и бенчмаркинг производительности. Материал предназначен для специалистов в области криптографии и информационной безопасности, интересующихся практическими аспектами атак на криптовалютные системы.</t>
  </si>
  <si>
    <t>Biased Nonce Sense: Lattice Attacks against Weak ECDSA Signatures in Cryptocurrencies</t>
  </si>
  <si>
    <t>Joachim Breitner; Nadia Heninger</t>
  </si>
  <si>
    <t>The security of the ECDSA.pdf</t>
  </si>
  <si>
    <t>В статье описывается криптоаналитическая атака на алгоритм подписи ECDSA, основанная на использовании неслучайных (смещённых) одноразовых чисел nonce в блокчейнах Bitcoin, Ethereum и Ripple, а также в протоколах SSH и HTTPS. Авторы применяют решёточные алгоритмы для решения задачи о скрытом числе, что позволяет эффективно восстанавливать закрытые ключи из сотен тысяч подписей, содержащих неполные или предсказуемые nonce. Ключевые разделы включают классификацию уязвимостей (короткие nonce, общие префиксы/суффиксы) и этические аспекты пассивного исследования без кражи средств. Материал предназначен для специалистов в области криптографии и безопасности, знакомых с теорией решёток и ECDSA.</t>
  </si>
  <si>
    <t>Time-Dilation Attacks on the Lightning Network</t>
  </si>
  <si>
    <t>Antoine Riard; Gleb Naumenko</t>
  </si>
  <si>
    <t>Time-Dilation_Attacks_on_the_Lightning_Network.pdf</t>
  </si>
  <si>
    <t>Этот фрагмент научной статьи описывает атаки с замедлением времени (time-dilation) на сеть Lightning Network (LN), позволяющие злоумышленнику украсть средства, изолируя жертву от сети Bitcoin (Eclipse-атака) и задерживая доставку новых блоков. Ключевые концепции включают три способа эксплуатации уязвимости, измерение времени атаки (до 2 часов для кражи всего канала) и анализ уязвимости легких клиентов (47% новых клиентов могут быть изолированы с помощью 500 Sybil-узлов). Материал предназначен для специалистов в области криптографии и безопасности блокчейна, интересующихся практическими атаками на протоколы второго уровня.</t>
  </si>
  <si>
    <t>Алгоритмы шифрования, Специальный справочник</t>
  </si>
  <si>
    <t>Панасенко С.П.</t>
  </si>
  <si>
    <t>Алгоритмы шифрования, Специальный справочник, Панасенко С.П., 2009.djvu</t>
  </si>
  <si>
    <t>Книга представляет собой специализированный справочник по алгоритмам шифрования, охватывающий теоретические основы и практические аспекты криптографических методов. В ней рассматриваются ключевые концепции, такие как симметричное и асимметричное шифрование, хеш-функции и протоколы защиты данных, а также приводятся подробные описания стандартов и алгоритмов. Издание предназначено для специалистов в области информационной безопасности, разработчиков и студентов технических специальностей, уже имеющих базовую подготовку в криптографии.</t>
  </si>
  <si>
    <t>Американская криптология. История спецсвязи</t>
  </si>
  <si>
    <t>Вадим Гребенников</t>
  </si>
  <si>
    <t>SelfPub</t>
  </si>
  <si>
    <t>Американская криптология. История спецсвязи [2019] Гребенников.pdf</t>
  </si>
  <si>
    <t>Книга Вадима Гребенникова посвящена истории развития криптологии и специальных видов засекреченной связи в США, начиная с древних магических алфавитов и заканчивая современной асимметричной криптографией. В предисловии автор прослеживает связь между сакральными символами (рунами, огамическим письмом, ивритом) и первыми шифрами, подчеркивая, что тайнопись изначально служила для сокрытия знаний от непосвященных. Ключевые разделы охватывают историю американских криптологических служб, техники шифрования, аппаратуру засекречивания, а также шпионскую деятельность спецслужб. Издание будет интересно как новичкам, интересующимся историей криптографии, так и специалистам, изучающим эволюцию методов защиты информации.</t>
  </si>
  <si>
    <t>Cryptography Apocalypse: Preparing for the Day When Quantum Computing Breaks Today's Crypto</t>
  </si>
  <si>
    <t>Roger A. Grimes</t>
  </si>
  <si>
    <t>Апокалипсис криптографии. Подготовка к криптовалютным вычислениям [2020] Роджер Граймс.pdf</t>
  </si>
  <si>
    <t>Книга Роджера Граймса посвящена угрозе, которую квантовые вычисления представляют для современной криптографии, и подготовке к так называемому «квантовому криптопрорыву». В первой части объясняются основы квантовой механики и принципы работы квантовых компьютеров, а вторая часть фокусируется на квантовоустойчивой и квантовой криптографии, а также на практических шагах по внедрению новых стандартов безопасности. Издание адресовано специалистам по информационной безопасности, которые хотят понять грядущие риски и заранее защитить свои организации от взлома с помощью квантовых технологий.</t>
  </si>
  <si>
    <t>Алгоритмические основы эллиптической криптографии</t>
  </si>
  <si>
    <t>Болотов А.А.; Гашков С.Б.; Фролов А.Б.; Часовских А.А.</t>
  </si>
  <si>
    <t>Изд-во РГСУ</t>
  </si>
  <si>
    <t>Болотов А.А., Гашков С.Б., Фролов А.Б. - Алгоритмические основы эллиптической криптографии (2003).pdf</t>
  </si>
  <si>
    <t>Книга посвящена алгоритмическим основам эллиптической криптографии — современного направления криптографии с открытым ключом. В ней рассматриваются алгебраическая теория построения криптографических алгоритмов на эллиптических кривых, анализ их сложности и практические аспекты реализации, включая основы, заложенные в Российский стандарт электронной цифровой подписи. Издание предназначено для студентов, преподавателей и специалистов, создающих программные комплексы защиты информации, и требует знакомства с основами криптографии и алгебры.</t>
  </si>
  <si>
    <t>Введение в криптографию. Курс лекций</t>
  </si>
  <si>
    <t>Романьков В.А.</t>
  </si>
  <si>
    <t>ФОРУМ</t>
  </si>
  <si>
    <t>Введение в криптографию Романьков 2017.pdf</t>
  </si>
  <si>
    <t>Книга представляет собой курс лекций по математическим основам современной криптографии, охватывающий такие ключевые разделы, как модулярная арифметика, криптосистемы с открытым ключом (RSA), электронные подписи, эллиптические кривые и стандарты шифрования (DES, AES). Издание предназначено для студентов, впервые изучающих криптографию, но также будет полезно специалистам в данной области.</t>
  </si>
  <si>
    <t>Введение в криптографию: Теоретико-числовые основы защиты информации</t>
  </si>
  <si>
    <t>Е. И. Деза; Л. В. Котова</t>
  </si>
  <si>
    <t>ЛЕНАНД</t>
  </si>
  <si>
    <t>Введение в криптографию.pdf</t>
  </si>
  <si>
    <t>Фрагмент представляет собой учебное пособие «Введение в криптографию» под редакцией Е. И. Деза и Л. В. Котовой, посвященное теоретико-числовым основам защиты информации. Книга охватывает исторические шифры, криптоанализ, простейшие симметричные криптосистемы и аффинные шифры, включая множество разобранных примеров и задач. Издание предназначено для студентов высших учебных заведений, прежде всего математических факультетов, а также для преподавателей, учителей профильной школы и всех интересующихся прикладными аспектами криптографии.</t>
  </si>
  <si>
    <t>Криптография на C и C++ в действии</t>
  </si>
  <si>
    <t>Вельшенбах М.</t>
  </si>
  <si>
    <t>Вельшенбах М. - Криптография на C и C++ в действии (2004).djvu</t>
  </si>
  <si>
    <t>Книга Михаэля Вельшенбаха посвящена практическому применению криптографических алгоритмов на языках C и C++. В ней подробно рассматриваются такие ключевые концепции, как симметричное и асимметричное шифрование, хеш-функции, цифровые подписи и управление ключами, с акцентом на реализацию кода. Издание ориентировано на программистов и специалистов по информационной безопасности, имеющих базовый опыт разработки, и предлагает готовые решения для защиты данных.</t>
  </si>
  <si>
    <t>Триумф</t>
  </si>
  <si>
    <t>Вельшенбах М. - Криптография на C и C++ в действии-Триумф (2004).djvu</t>
  </si>
  <si>
    <t>Книга Михаэля Вельшенбаха посвящена практической реализации криптографических алгоритмов на языках C и C++. В ней подробно рассматриваются такие ключевые концепции, как симметричное и асимметричное шифрование, хеш-функции, цифровые подписи и управление ключами, с акцентом на программную реализацию, а не на теоретическую математику. Издание ориентировано на программистов и специалистов по информационной безопасности, имеющих базовый опыт разработки на C/C++, и содержит готовый исходный код для интеграции в приложения.</t>
  </si>
  <si>
    <t>Анализ и синтез криптоалгоритмов</t>
  </si>
  <si>
    <t>Грушо А.А.; Применко Э.А.; Тимонина Е.Е.</t>
  </si>
  <si>
    <t>2000</t>
  </si>
  <si>
    <t>Грушо А.А. и др. - Анализ и синтез криптоалгоритмов (2000).pdf</t>
  </si>
  <si>
    <t>Книга представляет собой курс лекций по анализу и синтезу криптоалгоритмов, предназначенный для студентов, изучающих защиту информации. Основное внимание уделяется обоснованию криптографической стойкости — устойчивости алгоритмов к попыткам раскрыть «секрет», а также методам анализа шифров, накопленным на основе опыта их взлома. В работе рассматриваются простейшие шифры (простой замены, перестановки, гаммирование Вернама) и известные алгоритмы, такие как DES, а также методы анализа блочных, поточных шифров, хэш-функций и асимметричных алгоритмов. Издание рассчитано на читателей, уже знакомых с основами дискретной математики, алгебры и теории вероятностей, то есть на уровень от старшекурсников до специалистов.</t>
  </si>
  <si>
    <t>Европейская криптология. История спецсвязи</t>
  </si>
  <si>
    <t>Вадим Викторович Гребенников</t>
  </si>
  <si>
    <t>Европейская_криптология_История_спецсвязи.pdf</t>
  </si>
  <si>
    <t>Книга Вадима Гребенникова посвящена истории развития криптографии, криптоанализа и спецсвязи в ведущих странах Европы, начиная с древнейших магических символов и рунических шифров. В предисловии рассматривается сакральное происхождение письменности, связь алфавитов (иврита, греческого, латинского) с магией и тайнописью, а также приводятся примеры ранних шифров, таких как скандинавские руны и огамическое письмо. Издание предназначено для широкого круга читателей, интересующихся историей шпионажа, шифрования и спецслужб, от новичков до специалистов.</t>
  </si>
  <si>
    <t>Книга шифров</t>
  </si>
  <si>
    <t>Книга шифров.djvu</t>
  </si>
  <si>
    <t>Фрагмент текста нечитаем или отсутствует, поэтому не удалось определить содержимое.</t>
  </si>
  <si>
    <t>Криптографическая защита информации</t>
  </si>
  <si>
    <t>Криптографическая_защита_информации.pdf</t>
  </si>
  <si>
    <t>Книга посвящена криптографическим методам защиты информации, рассматривая теоретические основы и практические алгоритмы шифрования. Ключевые разделы включают симметричные и асимметричные шифры, хеш-функции, электронную подпись и управление ключами. Издание ориентировано на специалистов в области информационной безопасности и студентов технических специальностей, предполагая базовое знание математики и программирования.</t>
  </si>
  <si>
    <t>Криптография в задачах и упражнениях</t>
  </si>
  <si>
    <t>Осипян В.О.; Осипян К.В.</t>
  </si>
  <si>
    <t>Криптография в задачах и упражнениях, Осипян В.О., Осипян К.В., 2004.djvu</t>
  </si>
  <si>
    <t>Книга «Криптография в задачах и упражнениях» представляет собой учебное пособие, посвященное практическому освоению основ криптографии через решение задач. Ключевые разделы охватывают классические шифры, современные симметричные и асимметричные алгоритмы, а также криптографические протоколы. Издание предназначено для студентов и начинающих специалистов, желающих закрепить теоретические знания на практике с помощью упражнений разного уровня сложности.</t>
  </si>
  <si>
    <t>Криптография в информационном мире</t>
  </si>
  <si>
    <t>Рябко; Фионов</t>
  </si>
  <si>
    <t>Криптография в информационном мире [2018] Рябко, Фионов .djvu</t>
  </si>
  <si>
    <t>Книга посвящена основам криптографии и её роли в современном информационном мире. В ней рассматриваются ключевые концепции, такие как симметричное и асимметричное шифрование, хеш-функции, цифровые подписи и протоколы защиты данных. Издание предназначено для широкого круга читателей, включая студентов, начинающих специалистов и всех, кто интересуется вопросами информационной безопасности.</t>
  </si>
  <si>
    <t>Криптография с секретным ключом</t>
  </si>
  <si>
    <t>Фрэнк Рубин</t>
  </si>
  <si>
    <t>Криптография с секретным ключом.pdf</t>
  </si>
  <si>
    <t>Книга Фрэнка Рубина «Криптография с секретным ключом» представляет собой практическое руководство по созданию шифров — от простейших, выполняемых вручную, до современных компьютерных алгоритмов. Ключевые разделы охватывают подстановочные и блочные шифры, перестановку, фракционирование, потоковые шифры, одноразовый блокнот и матричные методы, а также принципы обеспечения невскрываемости. Издание предназначено для профессиональных инженеров, специалистов по информатике и криптографов-любителей, желающих научиться конструировать стойкие шифры и противостоять гипотетическим угрозам будущего.</t>
  </si>
  <si>
    <t>Cracking Codes with Python</t>
  </si>
  <si>
    <t>Al Sweigart</t>
  </si>
  <si>
    <t>Криптография_и_взлом_шифров_на_Python_2021_Эл_Свейгарт.pdf</t>
  </si>
  <si>
    <t>Книга Эла Свейгарта «Криптография и взлом шифров на Python» представляет собой практическое руководство по основам криптографии и методам взлома шифров с использованием языка программирования Python. Ключевые разделы охватывают такие темы, как шифр Цезаря, перестановочный шифр, аффинный шифр, шифр Виженера, частотный анализ, а также основы криптосистем с открытым ключом и генерацию простых чисел. Издание предназначено для начинающих программистов и энтузиастов, интересующихся криптографией, и не требует глубоких предварительных знаний в этой области.</t>
  </si>
  <si>
    <t>Криптография_с_секретным_ключом_2023_Фрэнк_Рубин_.pdf</t>
  </si>
  <si>
    <t>Книга Фрэнка Рубина «Криптография с секретным ключом» посвящена созданию и анализу симметричных шифров — от простейших ручных до современных компьютерных алгоритмов. В ней подробно рассматриваются подстановочные и перестановочные шифры, блочные и потоковые шифры, фракционирование, одноразовый блокнот, а также принципы безопасного шифрования и противодействия квантовым компьютерам. Издание предназначено для профессиональных инженеров, специалистов по информатике и криптографов-любителей, желающих научиться конструировать невскрываемые шифры и измерять их стойкость.</t>
  </si>
  <si>
    <t>Main.dvi - Стегнография ЭЦП IPR BOOKS</t>
  </si>
  <si>
    <t>Курс криптографии.pdf</t>
  </si>
  <si>
    <t>Курсовое_проектирование_для_криптографов</t>
  </si>
  <si>
    <t>Курсовое_проектирование_для_криптографов.zip</t>
  </si>
  <si>
    <t>PGP. Кодирование и шифрование информации с открытым ключом</t>
  </si>
  <si>
    <t>Максим Левин</t>
  </si>
  <si>
    <t>Бук-пресс</t>
  </si>
  <si>
    <t>Левин М. - PGP. Кодирование и шифрование информации с открытым ключом (2006).pdf</t>
  </si>
  <si>
    <t>Книга Максима Левина представляет собой руководство пользователя криптографической системы PGP (Pretty Good Privacy), предназначенной для шифрования данных и электронной почты с использованием технологии открытого ключа. В ней объясняются ключевые концепции: обеспечение секретности и подлинности сообщений, работа алгоритмов RSA и дайджеста сообщений, а также управление ключами и сжатие данных. Автор также поднимает вопросы конфиденциальности и важности массового использования шифрования для защиты частной переписки. Издание рассчитано на широкий круг пользователей, включая новичков, желающих освоить базовые принципы защиты информации.</t>
  </si>
  <si>
    <t>Манифест криптоанархиста</t>
  </si>
  <si>
    <t>Ян Хеглер</t>
  </si>
  <si>
    <t>FB2</t>
  </si>
  <si>
    <t>Манифест криптоанархиста.fb2</t>
  </si>
  <si>
    <t>Книга «Манифест криптоанархиста» Яна Хеглера посвящена анализу влияния информационных технологий, криптографии и блокчейна на трансформацию общества и экономики. Автор рассматривает ключевые этапы цивилизационного развития (письменность, книгопечатание, компьютеры, блокчейн) и обсуждает концепцию цифрового общества, основанного на принципах криптоанархии, свободного от неравенства. Издание предназначено для широкого круга читателей, интересующихся альтернативными взглядами на экономику и бизнес, включая предпринимателей, менеджеров и энтузиастов новых технологий, но может потребовать базового понимания темы.</t>
  </si>
  <si>
    <t>Математические основы криптологии</t>
  </si>
  <si>
    <t>Харин</t>
  </si>
  <si>
    <t>Математические основы криптологии - Харин.djvu</t>
  </si>
  <si>
    <t>Данный фрагмент книги Ю.С. Харина «Математические основы криптологии» посвящен теоретическим основам криптографии, в частности, рассматривает математические модели и методы, лежащие в основе современных криптосистем. Ключевые разделы, вероятно, охватывают теорию чисел, алгебраические структуры и вероятностные методы, необходимые для анализа стойкости шифров. Книга предназначена для специалистов и студентов старших курсов математических и технических специальностей, уже имеющих базовую математическую подготовку.</t>
  </si>
  <si>
    <t>Лекции по криптографии</t>
  </si>
  <si>
    <t>А. И. Музыкантский; В. В. Фурин</t>
  </si>
  <si>
    <t>Музыкантский_А_И_,_Фурин_В_В_Лекции_по_криптографии_МЦНМО_2019.pdf</t>
  </si>
  <si>
    <t>Книга представляет собой научно-популярное изложение основ криптографии, основанное на лекциях для студентов МГУ. В ней рассматриваются ключевые концепции: шифрование, криптографические протоколы (электронная подпись, голосование, торги), инфраструктура открытых ключей, а также добавлен раздел о криптовалютах и блокчейне. Издание ориентировано на широкую аудиторию, включая новичков, и доступно объясняет прикладные математические методы криптографии в массовых коммуникациях.</t>
  </si>
  <si>
    <t>О криптографии всерьез</t>
  </si>
  <si>
    <t>Жан-Филипп Омассон</t>
  </si>
  <si>
    <t>О криптографии всерьез.pdf</t>
  </si>
  <si>
    <t>Книга представляет собой практическое руководство по современному шифрованию, в котором анализируются фундаментальные математические идеи криптографии. Ключевые разделы охватывают шифрование с аутентификацией, безопасную случайность, функции хеширования, блочные шифры, а также криптографию с открытым ключом, включая RSA и эллиптические кривые. Издание предназначено как для профессиональных разработчиков, так и для тех, кто хочет разобраться в основах современной криптографии и научиться применять методы шифрования на практике.</t>
  </si>
  <si>
    <t>Основы криптографии</t>
  </si>
  <si>
    <t>В. И. Коржик; В. А. Яковлев</t>
  </si>
  <si>
    <t>ИЦ Интермедия</t>
  </si>
  <si>
    <t>Основы криптографии 2016.pdf</t>
  </si>
  <si>
    <t>Учебное пособие «Основы криптографии» посвящено симметричным и асимметричным криптосистемам, а также управлению ключами. Ключевые разделы охватывают идеальные (совершенные) и вычислительно стойкие шифры, включая блоковые и поточные шифры, криптосистемы с открытым ключом (РША, Эль-Гамаля), цифровую подпись и хеш-функции. Книга предназначена для студентов технических направлений (информационная безопасность, инфокоммуникации) и специалистов, интересующихся практическим применением криптографии, при этом для понимания достаточно базовых знаний теории вероятностей.</t>
  </si>
  <si>
    <t>Основы криптологии, Профессиональное руководство и интерактивный учебник</t>
  </si>
  <si>
    <t>Тилборг ван Х.К.А.</t>
  </si>
  <si>
    <t>Основы криптологии, Профессиональное руководство и интерактивный учебник, Тилборг ван Х.К.А., 2000.djvu</t>
  </si>
  <si>
    <t>Данный фрагмент книги Х.К.А. ван Тилборга представляет собой профессиональное руководство и интерактивный учебник по основам криптологии. Ключевые концепции включают симметричное и асимметричное шифрование, криптоанализ и математические основы защиты информации. Издание предназначено для специалистов и студентов, изучающих криптографию на продвинутом уровне, а также для практикующих разработчиков, желающих углубить теоретические знания.</t>
  </si>
  <si>
    <t>Основы математической логики и криптографии. Практикум в Excel</t>
  </si>
  <si>
    <t>О.А. Сдвижков</t>
  </si>
  <si>
    <t>КНОРУС</t>
  </si>
  <si>
    <t>Основы математической логики и криптографии.pdf</t>
  </si>
  <si>
    <t>Учебное пособие О.А. Сдвижкова посвящено практическому применению Excel для решения задач математической логики и криптографии. Книга состоит из двух глав: первая охватывает построение таблиц истинности, минимизацию булевых функций, анализ логических выражений и проверку классов Поста, а вторая — автоматизацию шифрования и дешифрования классическими шифрами и кодами. Материал рассчитан на студентов бакалавриата математических и IT-специальностей, но будет полезен и новичкам, включая старшеклассников, желающим освоить технологии Excel для решения логических и криптографических задач.</t>
  </si>
  <si>
    <t>Алгоритмы шифрования. Справочник</t>
  </si>
  <si>
    <t>Панасенко Алгоритмы шифрования Справочник.djvu</t>
  </si>
  <si>
    <t>Книга «Алгоритмы шифрования. Справочник» представляет собой техническое руководство по современным криптографическим методам. В ней подробно рассматриваются симметричные и асимметричные алгоритмы шифрования, хеш-функции и протоколы, а также их математические основы и практическая реализация. Издание ориентировано на специалистов в области информационной безопасности, разработчиков и студентов технических специальностей, имеющих базовую подготовку в математике и программировании.</t>
  </si>
  <si>
    <t>Аграновский; Хади</t>
  </si>
  <si>
    <t>Практическая криптография. Алгоритмы и их программирование [2009] Аграновский, Хади.djvu</t>
  </si>
  <si>
    <t>Книга «Практическая криптография. Алгоритмы и их программирование» посвящена практическому применению криптографических алгоритмов и их программной реализации. В ней рассматриваются ключевые концепции, такие как симметричное и асимметричное шифрование, хеширование, цифровые подписи и управление ключами. Издание ориентировано на специалистов и разработчиков, уже знакомых с основами программирования, которые хотят углубить свои знания в области криптографии и научиться внедрять алгоритмы в реальные проекты.</t>
  </si>
  <si>
    <t>Прикладная криптография</t>
  </si>
  <si>
    <t>Б. Шнайер</t>
  </si>
  <si>
    <t>2002</t>
  </si>
  <si>
    <t>Прикладная криптография [2002] Б. Шнайер.pdf</t>
  </si>
  <si>
    <t>Про криптографию (Символ — машина — квант)</t>
  </si>
  <si>
    <t>Сергей Деменок; Виктор де Касто</t>
  </si>
  <si>
    <t>Про криптографию_Rus_2020.pdf</t>
  </si>
  <si>
    <t>Книга «PRO криптографию (Символ — машина — квант)» посвящена истории и современному состоянию криптографии — от древних примитивных систем шифрования до современных компьютерных алгоритмов, включая перспективные разработки. Ключевые разделы охватывают эволюцию методов кодирования и шифрования, а также фундаментальные основы математики, физики и теории информации, лежащие в основе этой науки. Издание предназначено для широкого круга читателей, включая новичков, интересующихся научно-популярной литературой.</t>
  </si>
  <si>
    <t>Prime Numbers: A Computational Perspective</t>
  </si>
  <si>
    <t>Richard Crandall; Carl Pomerance</t>
  </si>
  <si>
    <t>URSS: Книжный дом «ЛИБРОКОМ»</t>
  </si>
  <si>
    <t>Простые числа-Криптографические и вычислительные аспекты.pdf</t>
  </si>
  <si>
    <t>Книга Ричарда Крэндалла и Карла Померанса посвящена вычислительной теории чисел, а именно — простым числам, их криптографическим и алгоритмическим аспектам. В ней рассматриваются классические и современные методы проверки простоты, разложения на множители, дискретного логарифмирования, а также применение эллиптических кривых и арифметики больших чисел. Издание включает актуальные результаты, такие как AKS-тест, и может изучаться на разных уровнях: от общего введения для новичков до глубокого анализа для специалистов в области криптографии и защиты информации.</t>
  </si>
  <si>
    <t>Decrypted Secrets: Methods and Maxims of Cryptology</t>
  </si>
  <si>
    <t>Friedrich L. Bauer</t>
  </si>
  <si>
    <t>Мир</t>
  </si>
  <si>
    <t>Расшифрованные секреты.pdf</t>
  </si>
  <si>
    <t>Книга Фридриха Бауэра «Расшифрованные секреты» представляет собой вводный курс по криптологии, охватывающий как классические, так и современные методы шифрования. Первая часть посвящена криптографии, включая шифры замены и перестановки, а также симметричные системы (DES, IDEA) и шифрование с открытым ключом, вторая часть — систематическому изложению криптоанализа на примерах взлома известных шифров. Издание отличается обилием исторических экскурсов и технических деталей, а также вниманием к лингвистическим аспектам криптоанализа. Книга будет интересна как специалистам, так и широкому кругу читателей — студентам, преподавателям и любителям математики, криптографии и истории.</t>
  </si>
  <si>
    <t>Реальная криптография.zip</t>
  </si>
  <si>
    <t>Книга Дэвида Вонга «Реальная криптография» представляет собой практическое введение в криптографию, объясняющее фундаментальные принципы информационной безопасности без сложной математики. В первой части рассматриваются базовые криптографические примитивы: хеш-функции, имитовставки, аутентифицированное шифрование, обмен ключами и подписи, а во второй — их применение в реальных протоколах, включая безопасную передачу данных, сквозное шифрование, криптовалюты и постквантовую криптографию. Издание ориентировано на разработчиков, системных администраторов и специалистов по безопасности, которые хотят понять, как работают инструменты защиты сетей и приложений, а также на новичков, желающих освоить тему с помощью наглядных примеров и графиков.</t>
  </si>
  <si>
    <t>Криптографические методы защиты информации</t>
  </si>
  <si>
    <t>Б. Я. Рябко; А. Н. Фионов</t>
  </si>
  <si>
    <t>Горячая линия — Телеком</t>
  </si>
  <si>
    <t>Рябко,_Фионов_Крипт_методы_защиты.pdf</t>
  </si>
  <si>
    <t>Это учебное пособие по криптографическим методам защиты информации, охватывающее как классические, так и современные подходы к шифрованию, включая шифры с открытыми ключами, цифровую подпись, криптографические протоколы, хеш-функции и криптографию на эллиптических кривых. Книга предназначена для студентов и инженеров в области информационных технологий, владеющих математикой на уровне технического вуза, и содержит строгое, но доступное изложение с задачами и описанием алгоритмов, включая российские ГОСТы.</t>
  </si>
  <si>
    <t>Введение в теорию чисел. Алгоритм RSA</t>
  </si>
  <si>
    <t>С. Коутинхо (S. C. Coutinho)</t>
  </si>
  <si>
    <t>2001</t>
  </si>
  <si>
    <t>Постмаркет</t>
  </si>
  <si>
    <t>С. Коутинхо (S. C. Coutinho). - Введение в теорию чисел. Алгоритм RSA-Постмаркет (2001).djvu</t>
  </si>
  <si>
    <t>Книга С. Коутинхо представляет собой введение в теорию чисел с акцентом на практическое применение криптографического алгоритма RSA. В ней последовательно разбираются фундаментальные математические концепции, такие как делимость, простые числа, сравнения и теорема Эйлера, которые лежат в основе асимметричного шифрования. Издание предназначено для читателей, имеющих начальную математическую подготовку, и служит мостом между чистой теорией чисел и современной криптографией.</t>
  </si>
  <si>
    <t>Статьи по криптографии</t>
  </si>
  <si>
    <t>Сидельников В.М.</t>
  </si>
  <si>
    <t>Сидельников В.М. - Статьи по криптографии (2002).djvu</t>
  </si>
  <si>
    <t>Данный фрагмент книги В.М. Сидельникова представляет собой сборник статей по криптографии, посвящённый математическим основам защиты информации. Ключевые разделы охватывают теорию кодирования, криптоанализ и методы построения криптосистем. Книга предназначена для специалистов и исследователей в области криптографии, имеющих серьёзную математическую подготовку, и не подходит для новичков.</t>
  </si>
  <si>
    <t>Смарт Н.</t>
  </si>
  <si>
    <t>Смарт Н. - Криптография для специалистов, работающих в области ЗИ.pdf</t>
  </si>
  <si>
    <t>Книга Нила Смарта «Криптография» представляет собой фундаментальный учебный курс, подробно охватывающий как симметричные шифры и криптосистемы с открытым ключом, так и стандарты цифровых подписей, а также методы отражения атак. Ключевые разделы включают математические основы (арифметика остатков, конечные поля, эллиптические кривые), исторические и современные шифры (DES, Rijndael), алгоритмы RSA и Эль-Гамаля, а также протоколы распределения ключей и хэш-функции. Издание предназначено для специалистов в области защиты информации и разработчиков программного обеспечения, имеющих профессиональный уровень подготовки.</t>
  </si>
  <si>
    <t>Современная криптография. Теория и практика</t>
  </si>
  <si>
    <t>Венбо Мао</t>
  </si>
  <si>
    <t>Современная криптография. Теория и практика [2005] Венбо Мао.djvu</t>
  </si>
  <si>
    <t>Книга Венбо Мао «Современная криптография. Теория и практика» посвящена фундаментальным и прикладным аспектам криптографии, включая математические основы, алгоритмы шифрования, протоколы аутентификации и доказательства безопасности. В ней подробно разбираются такие ключевые концепции, как симметричное и асимметричное шифрование, хеш-функции, цифровые подписи и криптографические протоколы. Издание ориентировано на специалистов в области информационной безопасности, разработчиков и студентов технических специальностей, имеющих базовую математическую подготовку.</t>
  </si>
  <si>
    <t>Стандарт криптографической защиты AES. Конечные поля</t>
  </si>
  <si>
    <t>Зензин; Иванов</t>
  </si>
  <si>
    <t>Стандарт криптографической защиты AES. Конечные поля [2002] Зензин, Иванов.djvu</t>
  </si>
  <si>
    <t>Данный фрагмент книги посвящён математическим основам стандарта криптографической защиты AES, а именно — теории конечных полей (полей Галуа). Ключевые концепции включают операции в поле GF(2^8), используемые при шифровании, и их применение в алгоритме Rijndael. Книга предназначена для специалистов в области криптографии и информационной безопасности, имеющих базовую математическую подготовку.</t>
  </si>
  <si>
    <t>Теоретико-числовые методы в криптографии</t>
  </si>
  <si>
    <t>Маховенко Е.Б.</t>
  </si>
  <si>
    <t>Теоретико-числовые методы в криптографии, Маховенко Е.Б., 2006.djvu</t>
  </si>
  <si>
    <t>Книга посвящена теоретико-числовым методам, лежащим в основе современной криптографии. В ней рассматриваются такие ключевые концепции, как модулярная арифметика, тесты простоты, дискретные логарифмы и алгоритмы факторизации. Издание предназначено для специалистов и студентов старших курсов, уже знакомых с основами высшей математики и криптографии.</t>
  </si>
  <si>
    <t>Теоретическая криптография</t>
  </si>
  <si>
    <t>Ростовцев А.Г.; Маховенко Е.Б.</t>
  </si>
  <si>
    <t>Теоретическая криптография. Ростовцев А.Г., Маховенко Е.Б..djvu</t>
  </si>
  <si>
    <t>Данная книга посвящена теоретическим основам криптографии, включая математические модели и алгоритмы защиты информации. В ней рассматриваются ключевые концепции, такие как симметричное и асимметричное шифрование, хеш-функции, протоколы аутентификации и доказательства с нулевым разглашением. Издание ориентировано на специалистов в области информационной безопасности и студентов технических специальностей, имеющих базовую математическую подготовку.</t>
  </si>
  <si>
    <t>Тилборг</t>
  </si>
  <si>
    <t>Тилборг-Основы криптографии.pdf</t>
  </si>
  <si>
    <t>Прикладная криптография: Протоколы, алгоритмы, исходные тексты на языке Си</t>
  </si>
  <si>
    <t>Шнайер Б.</t>
  </si>
  <si>
    <t>Шнайер Б. - Прикладная криптография  Протоколы, алгоритмы, исходные тексты на языке Си-Триумф (2012).pdf</t>
  </si>
  <si>
    <t>2003</t>
  </si>
  <si>
    <t>Знания и опыт экспертов</t>
  </si>
  <si>
    <t>Шнайер Б. - Прикладная криптография (Знания и опыт экспертов) - 2003.djvu</t>
  </si>
  <si>
    <t>Книга Брюса Шнайера «Прикладная криптография» посвящена практическим аспектам криптографии, включая алгоритмы, протоколы и их реализацию. В ней подробно рассматриваются симметричное и асимметричное шифрование, хеш-функции, цифровые подписи, а также криптоанализ и вопросы безопасности. Издание ориентировано на специалистов в области информационной безопасности, разработчиков и технических экспертов, имеющих базовое понимание математики и программирования.</t>
  </si>
  <si>
    <t>Эл_Свейгарт Криптография_и_взлом_шифров_на_Python 2021.pdf</t>
  </si>
  <si>
    <t>Книга Эла Свейгарта «Криптография и взлом шифров на Python» представляет собой практическое руководство по основам криптографии и методам взлома шифров с использованием языка программирования Python. В ней последовательно рассматриваются классические шифры (обратный, Цезаря, перестановочный, аффинный, подстановочный, Виженера), а также современные концепции, включая одноразовый шифроблокнот и криптосистемы с открытым ключом, с акцентом на написание и отладку кода. Книга предназначена для начинающих программистов и энтузиастов информационной безопасности, желающих изучить криптографию через практическое программирование.</t>
  </si>
  <si>
    <t>Элементарное введение в эллиптическую криптографию, Алгебраические и алгоритмические основы</t>
  </si>
  <si>
    <t>Болотов</t>
  </si>
  <si>
    <t>Элементарное введение в эллиптическую криптографию, Алгебраические и алгоритмические основы [2006] Болотов.djvu</t>
  </si>
  <si>
    <t>Книга Болотова представляет собой учебное пособие, посвященное математическим и алгоритмическим основам эллиптической криптографии. В ней подробно разбираются алгебраические структуры, лежащие в основе эллиптических кривых, и алгоритмы, используемые для криптографических преобразований. Ключевые разделы включают теорию конечных полей, свойства эллиптических кривых и методы вычисления дискретного логарифма. Издание ориентировано на читателей с базовой математической подготовкой, включая студентов и специалистов, интересующихся криптографией.</t>
  </si>
  <si>
    <t>How to Hack Like a Ghost: Breaching the Cloud</t>
  </si>
  <si>
    <t>Sparc Flow</t>
  </si>
  <si>
    <t>Безопасность/Пентестинг</t>
  </si>
  <si>
    <t>Пентестинг</t>
  </si>
  <si>
    <t>!Занимайся_хакингом.pdf</t>
  </si>
  <si>
    <t>C:\Users\alexa\YandexDisk\Книги\Безопасность\Пентестинг</t>
  </si>
  <si>
    <t>Книга «Занимайся хакингом как невидимка» Спарка Флоу представляет собой практическое руководство по взлому облачных инфраструктур на примере атаки на вымышленную консалтинговую фирму. Ключевые разделы охватывают построение анонимной хакерской инфраструктуры, настройку серверов управления и контроля (C2), использование контейнеризации и виртуализации, а также методы разведки, включая поиск уязвимостей через GitHub и SSL-сертификаты. Издание предназначено как для профессионалов в области безопасности, так и для энтузиастов, желающих освоить реальные техники атак и выявления скрытых уязвимостей облачных технологий.</t>
  </si>
  <si>
    <t>Active Directory глазами хакера</t>
  </si>
  <si>
    <t>Active Directory глазами хакера.pdf</t>
  </si>
  <si>
    <t>Книга «Active Directory глазами хакера» посвящена анализу уязвимостей и методам атаки на инфраструктуру Active Directory с позиции злоумышленника. В ней рассматриваются ключевые концепции, такие как повышение привилегий, lateral movement, атаки на Kerberos (например, Golden Ticket и DCSync) и эксплуатация доверительных отношений. Материал ориентирован на специалистов по информационной безопасности и системных администраторов среднего и продвинутого уровня, стремящихся понять механизмы взлома для построения эффективной защиты.</t>
  </si>
  <si>
    <t>Attacking Network Protocols</t>
  </si>
  <si>
    <t>Attacking_Network_Protocols_A_Hacker’s_Guide_to_Capture,_Analysis.pdf</t>
  </si>
  <si>
    <t>Эта книга Джеймса Форшоу, эксперта Google Project Zero, представляет собой практическое руководство по анализу, перехвату и эксплуатации сетевых протоколов приложений. Ключевые разделы охватывают захват трафика (пассивный и активный с использованием прокси), структуру бинарных и текстовых протоколов, методы реверс-инжиниринга, а также поиск и эксплуатацию уязвимостей. Издание предназначено для специалистов по информационной безопасности и хакеров среднего и продвинутого уровня, желающих освоить инструментарий для взлома сетевых протоколов.</t>
  </si>
  <si>
    <t>Black Hat Go</t>
  </si>
  <si>
    <t>Dan Kottmann; Chris Patten; Tom Steele</t>
  </si>
  <si>
    <t>black-hat-go-programming-pentesters.pdf</t>
  </si>
  <si>
    <t>Книга «Black Hat Go» посвящена использованию языка программирования Go для написания инструментов пентеста и этичного взлома. Она охватывает такие ключевые темы, как создание TCP-сканеров и прокси, взаимодействие с HTTP и DNS, эксплуатация SMB и NTLM, перехват пакетов, написание эксплойтов, а также построение полноценного RAT (трояна удалённого управления). Издание предназначено для специалистов по информационной безопасности и разработчиков, уже имеющих базовые навыки программирования, которые хотят освоить создание быстрых и эффективных хакерских утилит на Go.</t>
  </si>
  <si>
    <t>Black Hat Python: Python Programming for Hackers and Pentesters</t>
  </si>
  <si>
    <t>Justin Seitz; Tim Arnold</t>
  </si>
  <si>
    <t>Black_Hat_Python_Python_Programming_for Hackers.pdf</t>
  </si>
  <si>
    <t>Фрагмент представляет собой введение ко второму изданию книги «Black Hat Python», посвящённой использованию языка Python для написания хакерских инструментов и проведения пентестов. Ключевые разделы книги, судя по содержанию, охватывают создание программ для атак и тестирования на проникновение, а также работу с сетевыми протоколами и памятью. Книга предназначена для технических специалистов в области безопасности, уже имеющих базовые знания Python.</t>
  </si>
  <si>
    <t>Bug Bounty Hunting for Web Security: Find and Exploit Vulnerabilities in Web sites and Applications</t>
  </si>
  <si>
    <t>Sanjib Sinha</t>
  </si>
  <si>
    <t>Bug_Bounty_Hunting_For_Web_Security_Find_And_Exploit.pdf</t>
  </si>
  <si>
    <t>Книга «Bug Bounty Hunting for Web Security» авторства Санджиба Синхи посвящена поиску и эксплуатации уязвимостей веб-приложений в рамках программ bug bounty. В ней рассматриваются ключевые концепции, такие как межсайтовая подделка запросов (CSRF), межсайтовый скриптинг (XSS), внедрение заголовков и перенаправление URL, а также практическое использование инструментов вроде Burp Suite, OWASP ZAP и Kali Linux. Издание предназначено для начинающих и специалистов среднего уровня, желающих освоить практические навыки тестирования безопасности и охоты за багами.</t>
  </si>
  <si>
    <t>Hacking APIs</t>
  </si>
  <si>
    <t>Corey J. Ball</t>
  </si>
  <si>
    <t>Hacking APIs Breaking Web Application.pdf</t>
  </si>
  <si>
    <t>Книга Кори Болла «Hacking APIs» посвящена тестированию безопасности веб-API и учит читателя мыслить как злоумышленник. Она охватывает полный цикл атаки: от разведки и фаззинга до эксплуатации сложных уязвимостей контроля доступа, сопровождая теорию практическими лабораторными работами и реальными примерами. Издание предназначено как для начинающих пентестеров, так и для опытных специалистов по безопасности, желающих углубить навыки в области API-хакинга и автоматизации.</t>
  </si>
  <si>
    <t>Hacking For Dummies, 7th Edition</t>
  </si>
  <si>
    <t>Kevin Beaver</t>
  </si>
  <si>
    <t>Hacking For Dummies ... by Kevin Beaver.pdf</t>
  </si>
  <si>
    <t>Это книга «Hacking For Dummies» 7-го издания Кевина Бивера, которая представляет собой практическое руководство по тестированию на проникновение и оценке уязвимостей для повышения безопасности систем. Ключевые разделы охватывают методологию взлома, сбор информации, социальную инженерию, физическую безопасность, пароли, а также взлом сетевой инфраструктуры, беспроводных сетей и мобильных устройств. Книга предназначена для начинающих специалистов в области ИТ-безопасности и системных администраторов, желающих понять мышление хакера и научиться основам этичного хакинга.</t>
  </si>
  <si>
    <t>Hacking For Dummies, 7th Edition 2022.pdf</t>
  </si>
  <si>
    <t>Книга «Hacking For Dummies» 7-го издания Кевина Бивера представляет собой практическое руководство по тестированию на проникновение и оценке уязвимостей для повышения безопасности систем. Ключевые разделы охватывают методологию взлома, социальную инженерию, физическую безопасность, пароли, а также взлом сетевой инфраструктуры, беспроводных сетей и мобильных устройств. Издание предназначено для начинающих специалистов по безопасности и ИТ-администраторов, желающих понять мышление злоумышленников и научиться выявлять уязвимости в своих системах.</t>
  </si>
  <si>
    <t>Hands on Hacking</t>
  </si>
  <si>
    <t>Matthew Hickey; Jennifer Arcuri</t>
  </si>
  <si>
    <t>Hands on Hacking.pdf</t>
  </si>
  <si>
    <t>Фрагмент книги «Hands on Hacking» Мэттью Хики и Дженнифер Аркури представляет собой практическое руководство по компьютерному взлому и тестированию на проникновение, написанное профессиональным хакером с 20-летним опытом. Ключевые концепции включают оффенсивную безопасность, разработку эксплойтов и инструментов для тестирования, а также симуляцию атак на реальные системы. Книга предназначена для начинающих и практикующих специалистов в области кибербезопасности, стремящихся углубить понимание методов взлома и защиты.</t>
  </si>
  <si>
    <t>Kali Linux Penetration Testing Bible</t>
  </si>
  <si>
    <t>Gus Khawaja</t>
  </si>
  <si>
    <t>Kali Linux Penetration Testing Bible.pdf</t>
  </si>
  <si>
    <t>Это фрагмент выходных данных книги «Kali Linux Penetration Testing Bible» — руководства по тестированию на проникновение с использованием Kali Linux. Книга охватывает полный цикл пентеста: от сканирования сети и сбора информации до эксплуатации уязвимостей, повышения привилегий, работы с криптографией и автоматизации с помощью Python. Предназначена для специалистов по кибербезопасности и пентестеров среднего и продвинутого уровня, желающих углубить практические навыки.</t>
  </si>
  <si>
    <t>Kali Linux в действии. Аудит безопасности информационных систем</t>
  </si>
  <si>
    <t>Никита Скабцов</t>
  </si>
  <si>
    <t>Kali Linux в действии.pdf</t>
  </si>
  <si>
    <t>Книга Никиты Скабцова «Kali Linux в действии» посвящена аудиту безопасности информационных систем и тестированию на проникновение с использованием одноименного дистрибутива. В ней рассматриваются этические и правовые аспекты взлома, методологии проведения аудита (включая стандарты OSSTMM и другие), а также практические шаги от сбора открытой информации до закрепления в системе. Издание адресовано специалистам в сфере ИТ и информационной безопасности, имеющим опыт работы с сетевыми сервисами на Linux и Windows.</t>
  </si>
  <si>
    <t>Kali Linux от разработчиков</t>
  </si>
  <si>
    <t>Херцог Рафаэль; О'Горман Джим; Ахарони Мати</t>
  </si>
  <si>
    <t>Kali Linux Для_профессионалов_Херцог_Рафаэль.pdf</t>
  </si>
  <si>
    <t>Книга «Kali Linux от разработчиков» представляет собой практическое руководство по операционной системе Kali Linux, предназначенной для тестирования на проникновение и оценки защищенности информационных систем. В издании рассматриваются основы работы с командной строкой Linux, установка и настройка системы, управление пакетами Debian, а также продвинутые темы, такие как компиляция ядра, создание собственных ISO-образов и профессиональное шифрование данных. Материал ориентирован на специалистов в области информационной безопасности, но начинается с базовых концепций, что делает его полезным как для новичков, так и для опытных профессионалов.</t>
  </si>
  <si>
    <t>Рафаэль Херцог; Джим О’Горман; Мати Ахарони</t>
  </si>
  <si>
    <t>Kali Linux от разработчиков.pdf</t>
  </si>
  <si>
    <t>Книга представляет собой практическое руководство по операционной системе Kali Linux от её разработчиков, охватывающее установку, настройку и защиту системы. Ключевые разделы включают основы работы с командной строкой Linux, управление пакетами Debian, компиляцию ядра, создание собственных ISO-образов и промышленное шифрование. Издание предназначено для специалистов в области информационной безопасности и продвинутых пользователей, желающих освоить профессиональные методы работы с Kali Linux в корпоративных средах.</t>
  </si>
  <si>
    <t>Linux Basics for Hackers: Getting Started with Networking, Scripting, and Security in Kali</t>
  </si>
  <si>
    <t>OccupyTheWeb</t>
  </si>
  <si>
    <t>Linux Basics for Hackers.pdf</t>
  </si>
  <si>
    <t>Книга "Linux Basics for Hackers" представляет собой введение в операционную систему Linux, ориентированное на начинающих хакеров и специалистов по кибербезопасности. В ней рассматриваются основы работы с файловой системой и терминалом, управление сетями, манипуляции с текстом, установка программного обеспечения, настройка прав доступа и управление службами, причём все примеры приводятся в контексте хакерских задач. Издание предназначено для новичков, которые хотят преодолеть барьер незнания Linux и начать путь в сфере этичного взлома и пентестинга.</t>
  </si>
  <si>
    <t>Python Ethical Hacking from Scratch</t>
  </si>
  <si>
    <t>Fahad Ali Sarwar</t>
  </si>
  <si>
    <t>Python_Ethical_Hacking_from_Scratch_Think_like_an_ethical_hacker.epub</t>
  </si>
  <si>
    <t>Книга «Python Ethical Hacking from Scratch» Фахада Али Сарвара посвящена практическому изучению этичного хакинга с использованием Python 3. Автор предлагает читателям самостоятельно разрабатывать инструменты для сканирования сети, удаленного доступа и тестирования систем безопасности, а также учит думать как настоящий хакер, избегать обнаружения и работать с вредоносным ПО. Ключевые разделы охватывают фазы взлома (разведка, сканирование, эксплуатация уязвимостей, закрепление и сокрытие следов) и основы кибербезопасности. Книга предназначена для начинающих специалистов и энтузиастов, желающих получить практические навыки в области пентеста и разработки инструментов безопасности.</t>
  </si>
  <si>
    <t>The Art of Network Penetration Testing</t>
  </si>
  <si>
    <t>Royce Davis</t>
  </si>
  <si>
    <t>The_Art_of_Network_Penetration_Testing_How_to_take_over_any_company.pdf</t>
  </si>
  <si>
    <t>Книга Ройса Дэвиса «The Art of Network Penetration Testing» представляет собой практическое руководство по проведению внутреннего тестирования на проникновение в корпоративные сети. Ключевые концепции разделены на четыре фазы: сбор информации, целенаправленное проникновение, повышение привилегий и документирование результатов, с акцентом на поиск уязвимостей (например, EternalBlue), брутфорс паролей и эксплуатацию веб-сервисов (Tomcat, Jenkins). Издание предназначено для специалистов среднего уровня, уже знакомых с основами сетевых технологий и безопасности, желающих освоить методологию полного цикла пентеста.</t>
  </si>
  <si>
    <t>Аппаратный хакинг: взлом реальных вещей</t>
  </si>
  <si>
    <t>Джаспер ван Вуденберг; Колин О'Флинн</t>
  </si>
  <si>
    <t>Аппаратный хакинг.pdf</t>
  </si>
  <si>
    <t>Книга «Аппаратный хакинг: взлом реальных вещей» посвящена практическим методам взлома встроенных систем и аппаратному анализу безопасности. Ключевые разделы охватывают внедрение ошибок, анализ потребляемой мощности, дамп памяти устройств (например, Trezor One) и идентификацию компонентов. Издание предназначено для специалистов в области кибербезопасности и энтузиастов, имеющих базовые технические знания, и содержит лабораторные эксперименты для отработки атак.</t>
  </si>
  <si>
    <t>Аудит_безопасности_информационных_систем_2.pdf</t>
  </si>
  <si>
    <t>Книга Николая Скабцова посвящена аудиту безопасности информационных систем и тестам на проникновение. В ней рассматриваются методы законного взлома, включая сбор информации из открытых источников, сканирование систем, получение доступа и закрепление в системе. Особое внимание уделяется правовым аспектам: подчеркивается, что взлом допустим только в рамках аудита собственных систем или при наличии письменного соглашения. Издание предназначено для ИТ-специалистов и программистов, интересующихся практическими аспектами информационной безопасности.</t>
  </si>
  <si>
    <t>Взлом. Приемы, трюки и секреты хакеров</t>
  </si>
  <si>
    <t>Взлом_Приемы,_трюки_и_секреты_хакеров.pdf</t>
  </si>
  <si>
    <t>Этот сборник статей из журнала «Хакер» посвящен практическим методам поиска и эксплуатации уязвимостей, а также техникам обхода защитных механизмов в операционных системах. Ключевые разделы охватывают повышение привилегий через уязвимости в sudo и Windows, создание каналов связи для вредоносного ПО через анонимные сервисы, обфускацию кода и написание драйверов режима ядра. Книга предназначена для читателей, интересующихся информационной безопасностью и обладающих базовыми техническими знаниями, от энтузиастов до практикующих специалистов.</t>
  </si>
  <si>
    <t>Головоломки для Хакера</t>
  </si>
  <si>
    <t>Иван</t>
  </si>
  <si>
    <t>Головоломки_для_Хакера_2007_Иван.djvu</t>
  </si>
  <si>
    <t>Книга «Головоломки для хакера» (2007) посвящена практическим аспектам компьютерной безопасности и тестированию на проникновение. В ней рассматриваются ключевые концепции взлома, такие как анализ уязвимостей, написание эксплойтов и обход систем защиты. Издание предназначено для начинающих и中级 специалистов, желающих освоить методы этичного хакинга через решение практических задач и головоломок.</t>
  </si>
  <si>
    <t>Занимайся хакингом с ловкостью порнозвезды</t>
  </si>
  <si>
    <t>Спарк Флоу</t>
  </si>
  <si>
    <t>Занимайся_хакингом_с_ловкостью_порнозвезды.pdf</t>
  </si>
  <si>
    <t>Этот фрагмент книги Спарка Флоу «Занимайся хакингом с ловкостью порнозвезды» посвящён практическому пентесту и этичному хакингу, с акцентом на пошаговый взлом организаций. Ключевая концепция, выделенная автором, — принцип «чистого листа», требующий для каждой атаки использовать новый компьютер, IP-адрес и сервера, чтобы избежать связывания атак по цифровым следам. В отрывке подробно разбираются вопросы сетевой анонимности и безопасности, а также даётся совет никогда не использовать личный или рабочий IP-адрес. Книга предназначена как для начинающих хакеров, так и для специалистов по безопасности и пентестеров, желающих освоить профессиональные техники с открытым исходным кодом.</t>
  </si>
  <si>
    <t>Искусство тестирования на проникновение в сеть</t>
  </si>
  <si>
    <t>Ройс Дэвис</t>
  </si>
  <si>
    <t>Искусство_тестирования_на_проникновение_в_сеть 2021.pdf</t>
  </si>
  <si>
    <t>Книга Ройса Дэвиса посвящена методологии тестирования на проникновение в корпоративные сети с целью выявления уязвимостей. Автор последовательно описывает четыре этапа взлома: сбор информации, целенаправленное проникновение, постэксплуатацию с повышением привилегий и документирование результатов. Издание содержит практические инструкции по атакам на веб-сервисы, базы данных и непропатченные службы, а также упражнения для закрепления материала. Книга предназначена для технических специалистов, не имеющих опыта в сфере безопасности, и позволяет новичкам освоить хакерские приемы и инструменты пентестинга.</t>
  </si>
  <si>
    <t>Ловушка для багов [2020] Яворски.pdf</t>
  </si>
  <si>
    <t>Книга Питера Яворски «Ловушка для багов» представляет собой практическое руководство по веб-хакингу и поиску уязвимостей (баг-хантингу). В ней рассматриваются ключевые концепции и распространённые типы атак, такие как межсайтовый скриптинг (XSS), SQL-инъекции, подделка запросов (CSRF) и захват поддоменов, с примерами из реальных отчётов о багах в крупных компаниях. Издание предназначено как для новичков в кибербезопасности, желающих научиться делать интернет безопаснее, так и для опытных разработчиков, стремящихся писать более защищённый код.</t>
  </si>
  <si>
    <t>Основы Web хаккинга-более 30 примеров</t>
  </si>
  <si>
    <t>Peter Yaworski; Eugene Burmakin</t>
  </si>
  <si>
    <t>Основы Web_хаккинга-более 30 примеров_2016.pdf</t>
  </si>
  <si>
    <t>Книга «Основы веб-хакинга» Питера Яворски посвящена практическому изучению веб-уязвимостей и методам этичного хакинга. В ней разбираются такие ключевые концепции, как HTML-инъекции, межсайтовый скриптинг (XSS), SQL-инъекции, подделка межсайтовых запросов (CSRF) и уязвимости логики приложений, причём каждая тема сопровождается реальными примерами из оплаченных отчётов. Материал ориентирован на начинающих и практикующих специалистов в области информационной безопасности, желающих понять, как зарабатывать на поиске уязвимостей.</t>
  </si>
  <si>
    <t>Основы веб-хакинга</t>
  </si>
  <si>
    <t>Основы веб-хакинга.pdf</t>
  </si>
  <si>
    <t>Эта книга представляет собой практическое руководство по веб-безопасности, в котором на реальных примерах разбираются более 30 типов уязвимостей, включая SQL-инъекции, XSS-атаки, CRLF-инъекции и подделку межсайтовых запросов. В ней последовательно описываются методы поиска уязвимостей, инструменты белого хакера (Burp Suite, sqlmap, Nmap) и правила составления отчётов. Издание ориентировано на начинающих специалистов в области этичного хакинга и тестирования на проникновение, желающих изучить основы поиска и эксплуатации веб-уязвимостей.</t>
  </si>
  <si>
    <t>Основы веб-хакинга: нападение и защита (+DVD)</t>
  </si>
  <si>
    <t>Жуков Ю. В.</t>
  </si>
  <si>
    <t>Основы_веб_хакинга_нападение_и_защита_Ю_В_Жуков.pdf</t>
  </si>
  <si>
    <t>Книга Ю. В. Жукова «Основы веб-хакинга: нападение и защита» посвящена практическому изучению веб-безопасности, в частности, методам взлома сайтов и способам защиты от них. В издании рассматриваются такие ключевые концепции, как PHP-инклуд, SQL-инъекции, межсайтовый скриптинг, а также техники получения доступа к серверу и сокрытия следов. Материал предназначен для начинающих специалистов и всех интересующихся хакингом, так как обучение строится на учебных примерах, выполняемых в виртуальной среде на базе хакерских дистрибутивов Linux.</t>
  </si>
  <si>
    <t>Practical IoT Hacking: The Definitive Guide to Attacking the Internet of Things</t>
  </si>
  <si>
    <t>Fotios Chantzis; Ioannis Stais; Paulino Calderon; Evangelos Deirmentzoglou; Beau Woods</t>
  </si>
  <si>
    <t>Практический_хакинг_интернета_вещей.pdf</t>
  </si>
  <si>
    <t>Книга «Практический хакинг интернета вещей» представляет собой подробное руководство по анализу уязвимостей и тестированию безопасности устройств интернета вещей (IoT). Авторы рассматривают моделирование угроз, методы атак (например, подавление сигнала и воспроизведение), а также различия между защитой IoT и традиционной ИТ-безопасностью. Издание предназначено для тестировщиков безопасности, системных администраторов, разработчиков и продвинутых пользователей IoT-систем, желающих научиться выявлять и предотвращать угрозы.</t>
  </si>
  <si>
    <t>Собираем устройства для тестов на проникновение</t>
  </si>
  <si>
    <t>Собираем_устройства_для_тестов_на_проникновение.pdf</t>
  </si>
  <si>
    <t>Книга посвящена созданию устройств на базе Arduino и других платформ для тестирования систем безопасности (пентеста). В ней рассматриваются практические проекты, такие как сборка хакерских инструментов для перехвата данных, атак на беспроводные сети и обхода защиты. Материал ориентирован на специалистов по информационной безопасности и энтузиастов, уже имеющих базовые навыки работы с электроникой и программированием.</t>
  </si>
  <si>
    <t>Хакинг API взлом программных интерфейсов веб-приложений</t>
  </si>
  <si>
    <t>Хакинг API взлом программных интерфейсов веб-приложений.pdf</t>
  </si>
  <si>
    <t>Книга посвящена практическим аспектам тестирования на проникновение (пентеста) программных интерфейсов (API) веб-приложений, с акцентом на выявление и эксплуатацию уязвимостей. В ней рассматриваются ключевые концепции, такие как методы аутентификации, авторизации, инъекции, а также специфические для API атаки, включая манипуляции с параметрами и обход ограничений. Материал ориентирован на специалистов в области информационной безопасности и пентестеров, уже имеющих базовые знания в веб-технологиях и готовых углубиться в специфику взлома API.</t>
  </si>
  <si>
    <t>Хакинг: искусство эксплойта. 2-е издание</t>
  </si>
  <si>
    <t>Джон Эриксон</t>
  </si>
  <si>
    <t>Хакинг искусство эксплойта, 2-е издание.pdf</t>
  </si>
  <si>
    <t>Книга «Хакинг: искусство эксплойта» Джона Эриксона посвящена практическому изучению методов взлома и эксплуатации уязвимостей программного обеспечения. Ключевые разделы охватывают основы программирования на C и ассемблере, архитектуру процессора, работу с памятью и сегментацией, а также конкретные техники, такие как переполнение буфера и перехват TCP-соединений. Издание предназначено для читателей, уже имеющих базовые навыки программирования, и позволяет перейти от теории к созданию собственных эксплойтов.</t>
  </si>
  <si>
    <t>Хакинг на Linux</t>
  </si>
  <si>
    <t>Колисниченко Д. Н.</t>
  </si>
  <si>
    <t>Хакинг на LINUX.pdf</t>
  </si>
  <si>
    <t>Книга Д. Н. Колисниченко посвящена использованию Linux для несанкционированного доступа к информационным системам, то есть взлому. Первая часть охватывает взлом самой Linux-системы, включая получение прав root, уязвимости шифрования eCryptfs и атаки на Apache, MySQL и WordPress. Вторая часть знакомит с хакерским дистрибутивом Kali Linux, инструментами для взлома аккаунтов в соцсетях, скрытием активности через Tor и взломом Android-приложений. Материал рассчитан на читателей, уже имеющих базовые знания Linux, и носит исключительно информационный характер.</t>
  </si>
  <si>
    <t>Хакинг на Python + виртуальный диск с кодом</t>
  </si>
  <si>
    <t>Бухарев Р. С.</t>
  </si>
  <si>
    <t>Хакинг на Python.zip</t>
  </si>
  <si>
    <t>Эта книга представляет собой практическое руководство по кибербезопасности с использованием языка Python, охватывающее такие темы, как сетевое программирование, веб-хакинг, атаки на приложения (SQL-инъекции, XSS), взлом Wi-Fi и создание инструментов защиты. Ключевые разделы включают основы Python, работу с сокетами, автоматизацию веб-взаимодействий и криптографию. Издание предназначено для широкого круга пользователей, начиная от новичков с уверенными навыками работы с компьютером до тех, кто хочет освоить продвинутые приемы при знании основ программирования.</t>
  </si>
  <si>
    <t>Хакинг на примерах. Уязвимости, взлом, защита</t>
  </si>
  <si>
    <t>Ярошенко А. А.</t>
  </si>
  <si>
    <t>Хакинг на примерах.pdf</t>
  </si>
  <si>
    <t>Книга «Хакинг на примерах» посвящена основам информационной безопасности, уязвимостям и методам взлома, а также способам защиты от них. В ней рассматриваются такие темы, как анонимное посещение сайтов, взлом сайтов и электронной почты, использование инструментов Kali Linux и Metasploit, а также взлом паролей Windows и шифрования. Издание ориентировано на широкую аудиторию, включая новичков с базовыми навыками работы с компьютером, но для освоения более сложных приемов потребуется знание основ программирования.</t>
  </si>
  <si>
    <t>Хаккинг</t>
  </si>
  <si>
    <t>Хаккинг.zip</t>
  </si>
  <si>
    <t>Becoming the Hacker: The Playbook for Getting Inside the Mind of the Attacker</t>
  </si>
  <si>
    <t>Adrian Pruteanu</t>
  </si>
  <si>
    <t>Эдриан Прутяну Как стать хаккером.pdf</t>
  </si>
  <si>
    <t>Книга Эдриана Прутяну «Как стать хакером» представляет собой практическое руководство по защите веб-приложений, рассматривая уязвимости с точки зрения злоумышленника. Ключевые разделы включают введение в атаки на веб-приложения, эффективное обнаружение уязвимостей, работу с инструментарием тестировщика (Kali Linux, Burp Suite) и сценарии атак на системы управления контентом и контейнерные приложения. Издание предназначено для опытных разработчиков веб-приложений и специалистов по DevOps, интересующихся хакерскими атаками и методами противодействия им.</t>
  </si>
  <si>
    <t>THE ETHICAL GUIDE TO COMPUTER HACKING</t>
  </si>
  <si>
    <t>WILLIAMS EVELYN</t>
  </si>
  <si>
    <t>Безопасность/Этичный хакинг и социальная инженерия</t>
  </si>
  <si>
    <t>Этичный хакинг и социальная инженерия</t>
  </si>
  <si>
    <t>Ethical.Guide.To.Computer.Hacking.pdf</t>
  </si>
  <si>
    <t>C:\Users\alexa\YandexDisk\Книги\Безопасность\Этичный хакинг и социальная инженерия</t>
  </si>
  <si>
    <t>Эта книга представляет собой введение в мир компьютерного хакинга, рассматривая этические и неэтичные аспекты этой деятельности. В ней объясняются ключевые концепции, такие как разделение хакеров на «белых», «черных» и «серых шляп», а также подробно разбирается метод социальной инженерии как наиболее популярная техника взлома. Издание предназначено для новичков, желающих понять основы хакинга, методы защиты и распространённые угрозы, включая взлом аккаунтов, сетей и веб-сайтов.</t>
  </si>
  <si>
    <t>Practical Social Engineering: A Primer for the Ethical Hacker</t>
  </si>
  <si>
    <t>Joe Gray</t>
  </si>
  <si>
    <t>Социальная_инженерия_и_этичный_хакинг_на_практике.pdf</t>
  </si>
  <si>
    <t>Книга Джо Грея посвящена практическому применению методов социальной инженерии для этичного хакинга и оценки уязвимостей организаций. В ней рассматриваются ключевые концепции, такие как фишинг, вишинг, разведка по открытым источникам (OSINT) и психологические принципы влияния, включая шесть принципов доктора Чалдини. Особое внимание уделяется этическим и юридическим аспектам проведения подобных атак, а также важности соблюдения границ и защиты данных. Издание адресовано как профессиональным пентестерам и специалистам по безопасности, так и широкому кругу читателей, желающим повысить уровень личной и корпоративной защиты.</t>
  </si>
  <si>
    <t>Этичный хакинг. Практическое руководство по взлому</t>
  </si>
  <si>
    <t>Грэм Дэниел Г.</t>
  </si>
  <si>
    <t>Этичный_хакинг_Практическое_руководство_по_взлому_2022_1.pdf</t>
  </si>
  <si>
    <t>Книга «Этичный хакинг» представляет собой практическое руководство по взлому компьютерных систем, охватывающее темы от перехвата трафика до создания троянов и руткитов. Основные разделы включают основы сетевых технологий, криптографию, социальную инженерию, эксплуатацию уязвимостей и захват контроля над сетью. Издание предназначено для новичков, желающих сделать первый шаг в карьере пентестера, и содержит пошаговые инструкции по настройке виртуальной лаборатории для отработки навыков.</t>
  </si>
  <si>
    <t>Путь клиента. Создаем ценность продуктов и услуг через карты путей, блупринты и другие инструменты визуализации</t>
  </si>
  <si>
    <t>Джим Калбах</t>
  </si>
  <si>
    <t>Бизнес/Маркетинг</t>
  </si>
  <si>
    <t>Бизнес</t>
  </si>
  <si>
    <t>Маркетинг</t>
  </si>
  <si>
    <t>!!!Путь клиента.pdf</t>
  </si>
  <si>
    <t>C:\Users\alexa\YandexDisk\Книги\Бизнес\Маркетинг</t>
  </si>
  <si>
    <t>Книга Джима Калбаха «Путь клиента» посвящена визуализации пользовательского опыта с помощью карт путей, блупринтов и диаграмм для синхронизации бизнеса с потребностями клиентов. Ключевые концепции включают картирование опыта сотрудников, визуализацию стратегических инсайтов и пошаговый процесс создания карт от исследования до проведения семинаров. Издание предназначено для UX-дизайнеров, продакт-менеджеров и владельцев бизнесов, стремящихся превратить инсайты в практические решения, и подходит как для новичков, так и для опытных специалистов.</t>
  </si>
  <si>
    <t>Идеальный Landing Page. Создаем продающие веб-страницы</t>
  </si>
  <si>
    <t>А. С. Петроченков; Е. С. Новиков</t>
  </si>
  <si>
    <t>A_Petrochenkov_Idealny_Landing_Page.pdf</t>
  </si>
  <si>
    <t>Книга посвящена созданию эффективных посадочных страниц (landing pages) для увеличения продаж в интернете. Авторы подробно разбирают структуру интернет-маркетинга, методы привлечения клиентов, сегментацию аудитории и формулировку выгодного предложения. Ключевые разделы включают анализ конкурентов, работу с возражениями и построение воронки продаж. Материал предназначен для новичков и практикующих специалистов, желающих освоить создание продающих веб-страниц с нуля.</t>
  </si>
  <si>
    <t>Google Analytics для googлят.pdf</t>
  </si>
  <si>
    <t>Эта книга представляет собой практическое руководство по веб-аналитике, посвященное работе с инструментом Google Analytics. В ней подробно рассматриваются такие ключевые концепции, как воронка продаж, UTM-метки, настройка целей и событий, а также работа с обновленным интерфейсом 2017 года. Издание предназначено для широкой аудитории: от начинающих интернет-маркетологов и владельцев бизнеса до опытных аналитиков, желающих углубить свои знания.</t>
  </si>
  <si>
    <t>Presentation Secrets: Do What You Never Thought Possible with Your Presentations</t>
  </si>
  <si>
    <t>Alexei Kapterev</t>
  </si>
  <si>
    <t>Kak-sozdat-prezentaciyu.pdf</t>
  </si>
  <si>
    <t>Книга Алексея Каптерева «Мастерство презентации» посвящена созданию эффективных презентаций, способных изменить мир. Автор рассматривает три ключевых аспекта: структуру и драматургию выступления, дизайн слайдов и инфографику, а также технику подачи материала. Издание предназначено как для новичков, желающих освоить навыки публичных выступлений, так и для опытных специалистов, стремящихся повысить результативность своих презентаций.</t>
  </si>
  <si>
    <t>Marketing_Bez_Budgeta_2011</t>
  </si>
  <si>
    <t>Marketing_Bez_Budgeta_2011.pdf</t>
  </si>
  <si>
    <t>Эта книга посвящена маркетингу с минимальным бюджетом, предлагая практические стратегии продвижения без крупных финансовых вложений. Ключевые концепции включают использование бесплатных каналов, партнёрств, вирусного контента и креативных подходов для привлечения клиентов. Материал ориентирован на начинающих предпринимателей, владельцев малого бизнеса и специалистов, которые хотят эффективно продвигать продукты или услуги при ограниченных ресурсах.</t>
  </si>
  <si>
    <t>Vvedenie_v_Google_Analytics.pdf</t>
  </si>
  <si>
    <t>Книга Александра Петроченкова «Введение в Google Analytics» представляет собой практическое руководство по веб-аналитике, посвященное работе с одноименным инструментом Google. В ней подробно разбираются ключевые концепции: воронка продаж, UTM-метки, настройка целей и фильтров, а также интеграция с сервисами Google AdWords и «Яндекс.Директ». Издание предназначено для начинающих пользователей, которые хотят самостоятельно освоить аналитику и контролировать эффективность своего веб-ресурса без помощи наемных специалистов.</t>
  </si>
  <si>
    <t>Бизнес-копирайтинг. Как писать серьезные тексты для серьезных людей</t>
  </si>
  <si>
    <t>Денис Каплунов</t>
  </si>
  <si>
    <t>Бизнес-копирайтинг.pdf</t>
  </si>
  <si>
    <t>Книга Дениса Каплунова «Бизнес-копирайтинг» посвящена созданию серьезных, убедительных текстов для деловой аудитории, цель которых — формирование имиджа и доверия, а не просто продажа. Ключевые разделы охватывают информативность текста, конкретику и аргументацию, а также методы работы с возражениями и создания репутации автора. Издание предназначено для копирайтеров, маркетологов и предпринимателей, стремящихся писать для серьезных людей и добиваться измеримых результатов.</t>
  </si>
  <si>
    <t>Hacking Marketing: Agile Practices to Make Marketing Smarter, Faster, and More Innovative</t>
  </si>
  <si>
    <t>Scott Brinker</t>
  </si>
  <si>
    <t>Скотт_Бринкер_Agile_маркетинг_Хакерские_практики_для_эффективного.pdf</t>
  </si>
  <si>
    <t>Эта книга посвящена применению agile-методологии, заимствованной из сферы IT, в маркетинге для повышения его эффективности и адаптивности. Ключевые концепции включают переход от «водопадных» стратегий к коротким спринтам, итеративное тестирование, визуализацию рабочих процессов и балансировку гибкости с долгосрочной стратегией. Издание будет полезно как начинающим маркетологам, так и опытным специалистам, стремящимся внедрить хакерские практики и инновации для быстрого реагирования на изменения рынка.</t>
  </si>
  <si>
    <t>Оргдизайн продуктовой компании</t>
  </si>
  <si>
    <t>Алексей Воронин</t>
  </si>
  <si>
    <t>Бизнес/Менеджмент</t>
  </si>
  <si>
    <t>Менеджмент</t>
  </si>
  <si>
    <t>!Оргдизайн продуктовой компании_Алексей Воронин.pdf</t>
  </si>
  <si>
    <t>C:\Users\alexa\YandexDisk\Книги\Бизнес\Менеджмент</t>
  </si>
  <si>
    <t>Эта книга посвящена построению эффективной структуры управления в растущих продуктовых компаниях, с фокусом на процессах разработки продукта, а не на операционных задачах. Автор разбирает ключевые понятия, такие как «продукт» (то, за чем приходит клиент и что приносит деньги) и «продуктовая компания», а также на примере истории стартапа XScale иллюстрирует типичные проблемы роста, включая замедление разработки при расширении штата. В книге рассматриваются различные варианты организационных структур (фиче-команды, LeSS, Nexus) и анализируются дисфункции, возникающие при неправильном определении продукта. Материал будет полезен как руководителям и специалистам растущих продуктовых компаний, так и тем, кто только начинает внедрять продуктовый подход.</t>
  </si>
  <si>
    <t>2021 Hype Cycles: Innovating Delivery Through Trust, Growth and Change</t>
  </si>
  <si>
    <t>Philip Dawson</t>
  </si>
  <si>
    <t>Gartner, Inc.</t>
  </si>
  <si>
    <t>2021_hype_cycles_innovating_delivery_through_trust_growth_and_change.pdf</t>
  </si>
  <si>
    <t>Этот фрагмент отчёта Gartner за 2021 год посвящён инновационной доставке продуктов и услуг в условиях постпандемической неопределённости. Ключевые концепции включают три сквозные темы: «Инжиниринг доверия», «Ускорение роста» и «Формирование изменений», а также адаптивную стратегию и использование Hype Cycles для управления рисками. Материал предназначен для ИТ-руководителей, стратегов и аналитиков, то есть для специалистов и экспертов, отвечающих за технологическое планирование и инновации в организациях.</t>
  </si>
  <si>
    <t>Управление изменениями без потрясений и конфликтов</t>
  </si>
  <si>
    <t>Ицхак Калдерон Адизес</t>
  </si>
  <si>
    <t>Альпина Диджитал</t>
  </si>
  <si>
    <t>Adizes_I._Metodologiyaadizesa._Upravlenie_Izmeneniyami_B.a4.pdf</t>
  </si>
  <si>
    <t>Книга Ицхака Адизеса посвящена управлению изменениями в организациях без разрушительных конфликтов. Автор предлагает методологию, основанную на четырех ролях принятия решений (PAEI), и утверждает, что проблемы — это нормальный признак развития. Ключевые разделы включают анализ краткосрочной и долгосрочной результативности, а также описание типов менеджеров (Герой-одиночка, Бюрократ, Поджигатель). Книга предназначена для руководителей компаний и менеджеров, стремящихся к качественным решениям и конструктивному взаимодействию в команде.</t>
  </si>
  <si>
    <t>Стили менеджмента – эффективные и неэффективные</t>
  </si>
  <si>
    <t>Adizes_I._Stili_Menedjmenta.pdf</t>
  </si>
  <si>
    <t>Книга Ицхака Адизеса посвящена анализу стилей управления и доказывает, что идеального руководителя не существует, а эффективное управление требует взаимодополняющей команды. Автор вводит PAEI-код, описывающий четыре необходимые роли менеджера: Производитель (P), Администратор (A), Предприниматель (E) и Интегратор (I). В книге подробно разбираются как сбалансированные стили, так и неэффективные перекосы, например, Герой-одиночка, Бюрократ или Поджигатель. Издание ориентировано на практикующих менеджеров, руководителей и специалистов в области управления, но будет понятно и широкой аудитории.</t>
  </si>
  <si>
    <t>Управление в эпоху кризиса</t>
  </si>
  <si>
    <t>Ицхак Адизес</t>
  </si>
  <si>
    <t>Adizes_Upravlenie_v_epohu_krizisa.pdf</t>
  </si>
  <si>
    <t>Книга Ицхака Адизеса посвящена управлению компанией в условиях кризиса, который автор рассматривает не как катастрофу, а как стимул для прогресса и изобретательности. Ключевая концепция заключается в том, что проблемы компаний вызваны внутренней дезинтеграцией, а не внешними причинами, поэтому для выживания необходимо интегрировать все системы бизнеса и синхронизировать миссию, стратегию, структуру ответственности и полномочий. Автор проводит параллель между человеческим организмом и организацией, утверждая, что крепкие и готовые к переменам компании закаляются в трудные времена, а неподготовленные — рискуют обанкротиться. Книга предназначена для руководителей и менеджеров, стремящихся сохранить ключевых сотрудников и компанию в непростые времена.</t>
  </si>
  <si>
    <t>Менеджмент разработки программного обеспечения</t>
  </si>
  <si>
    <t>Alexander Blagov</t>
  </si>
  <si>
    <t>Agile проекты.pdf</t>
  </si>
  <si>
    <t>Этот фрагмент книги Александра Благова посвящён организации работы в компаниях по разработке программного обеспечения. В нём описывается оптимальная структура команды, разделённой на основную и вспомогательную группы, а также подробно разбираются ключевые роли в проекте — от менеджера и архитектора до тестировщика и технического писателя. Особое внимание уделяется принципам совмещения ролей, чтобы избежать конфликта интересов и не увеличивать сроки разработки. Материал будет полезен как начинающим специалистам, желающим понять структуру IT-команды, так и практикующим менеджерам и руководителям проектов.</t>
  </si>
  <si>
    <t>Свод знаний по управлению бизнес-процессами: BPM CBOK 4.0</t>
  </si>
  <si>
    <t>Коллектив авторов</t>
  </si>
  <si>
    <t>BPM CBOK 4 - a6.pdf</t>
  </si>
  <si>
    <t>Книга «Свод знаний по управлению бизнес-процессами: BPM CBOK 4.0» представляет собой авторитетное руководство по дисциплине процессного управления (BPM), в котором собраны проверенные на практике методы оптимизации и постоянного совершенствования бизнес-процессов. Ключевые разделы охватывают полный жизненный цикл BPM, включая моделирование процессов (с разбором нотаций BPMN, EPC, IDEF0), их анализ, а также новые темы, такие как Agile, RPA, блокчейн и искусственный интеллект. Издание предназначено для широкого круга специалистов — от руководителей и бизнес-аналитиков до преподавателей и студентов, а также служит основой для профессиональной сертификации.</t>
  </si>
  <si>
    <t>Начните убеждать по-новому</t>
  </si>
  <si>
    <t>Гэри Уильямс; Роберт Миллер</t>
  </si>
  <si>
    <t>effektivnye-kommunikacii-7747.pdf</t>
  </si>
  <si>
    <t>Этот фрагмент книги Гэри Уильямса и Роберта Миллера посвящен искусству убеждения руководителей и объясняет, почему даже самые логичные предложения часто отклоняются. Ключевая концепция заключается в том, что эффективность убеждения зависит не от содержания аргументов, а от их подачи, которую необходимо адаптировать под один из пяти стилей принятия решений: харизматик, мыслитель, скептик, последователь или контролер. Материал предназначен для специалистов и менеджеров, которые хотят научиться влиять на руководство и повысить шансы на одобрение своих идей.</t>
  </si>
  <si>
    <t>Эмоциональный интеллект в переговорах</t>
  </si>
  <si>
    <t>Роджер Фишер; Даниэль Шапиро</t>
  </si>
  <si>
    <t>emocii-v-peregovorah.pdf</t>
  </si>
  <si>
    <t>Книга Роджера Фишера и Даниэля Шапиро посвящена управлению эмоциями в переговорах, предлагая не игнорировать чувства, а использовать их для достижения лучших результатов. Ключевая концепция — работа с пятью основными потребностями: признание, аффилиация, автономия, статус и роль, что позволяет генерировать позитивные эмоции и справляться с негативными. Издание предназначено для широкой аудитории — от новичков до опытных переговорщиков, включая руководителей, дипломатов и всех, кто сталкивается с конфликтами в повседневной жизни.</t>
  </si>
  <si>
    <t>Эмоциональное лидерство: искусство управления людьми на основе эмоционального интеллекта</t>
  </si>
  <si>
    <t>emocional-noe-liderstvo-iskusstvo-upravleniya-lyud-mi-na-osnove-emocional-nogo-intellekta-7742.pdf</t>
  </si>
  <si>
    <t>Эта книга посвящена концепции эмоционального лидерства, основанной на способности руководителя «зажигать» людей и вызывать у них эмоциональный резонанс для достижения высоких результатов. Ключевая идея заключается в том, что эмоциональный интеллект лидера является первоосновой успеха, а модель лидерства опирается на открытия неврологии, объясняющие влияние настроения и поведения руководителя на подчиненных. В книге рассматриваются практические аспекты реализации такого лидерства на уровне отдельного руководителя, команды и организации, а также предостерегается от лидерства, способного отравить эмоциональный климат. Издание предназначено для руководителей, менеджеров высшего звена и специалистов, интересующихся современными подходами к управлению и развитию лидерских качеств.</t>
  </si>
  <si>
    <t>Структура в кулаке: создание эффективной организации</t>
  </si>
  <si>
    <t>Генри Минцберг</t>
  </si>
  <si>
    <t>Genri_mintsberg_Структура в кулаке.pdf</t>
  </si>
  <si>
    <t>Книга Генри Минцберга «Структура в кулаке» посвящена проектированию эффективных организаций и охватывает такие темы, как механизмы координации, дизайн должностных позиций, сверхструктура, децентрализация и влияние внешней среды. Ключевые разделы включают анализ пяти частей организации (операционное ядро, стратегический апекс, срединная линия, техноструктура, вспомогательный персонал) и описание типов структур, таких как простая структура, механистическая и профессиональная бюрократия. Книга предназначена как для специалистов в области менеджмента и студентов, так и для предпринимателей, желающих улучшить свою организацию.</t>
  </si>
  <si>
    <t>Прыгни выше головы! 20 привычек, от которых нужно отказаться, чтобы покорить вершину успеха</t>
  </si>
  <si>
    <t>Маршалл Голдсмит</t>
  </si>
  <si>
    <t>Олимп-Бизнес</t>
  </si>
  <si>
    <t>Goldsmit_M.Прыгни выше головы.pdf</t>
  </si>
  <si>
    <t>Книга Маршалла Голдсмита посвящена парадоксу успеха: люди, уже добившиеся высоких результатов, часто страдают от «головокружения от успехов» и приобретают вредные привычки, которые мешают им двигаться дальше. Ключевая концепция — описание 20 деструктивных поведенческих привычек (таких как чрезмерное стремление к победе, склонность к оценкам и самооправдание), от которых необходимо отказаться, чтобы «прыгнуть выше головы». Книга предназначена в первую очередь для руководителей высшего звена и опытных специалистов, которые хотят преодолеть плато в карьере и личностном росте.</t>
  </si>
  <si>
    <t>How the Best Leaders Lead: Proven Secrets to Getting the Most Out of Yourself and Others</t>
  </si>
  <si>
    <t>Brian Tracy</t>
  </si>
  <si>
    <t>kak-upravlyayut-luchshie.pdf</t>
  </si>
  <si>
    <t>Эта книга Брайана Трейси посвящена лидерству как ключевому навыку, обеспечивающему успех компании в условиях жесткой конкуренции. Автор обобщает опыт лучших топ-менеджеров, рассматривая такие темы, как сильные и слабые стороны лидера, управление командами, найм лучших сотрудников и принятие решений. Издание предназначено для руководителей отделов и компаний, а также для всех, кто хочет развить свои лидерские и управленческие навыки, то есть для специалистов и практикующих менеджеров.</t>
  </si>
  <si>
    <t>Сам себе MBA. Самообразование на 100%</t>
  </si>
  <si>
    <t>Джош Кауфман</t>
  </si>
  <si>
    <t>Kaufman_D._Sam_Sebe_Mba_Samoobrazova.a4.pdf</t>
  </si>
  <si>
    <t>Книга Джоша Кауфмана «Сам себе MBA» представляет собой практическое руководство по самостоятельному освоению ключевых бизнес-дисциплин, которое критикует традиционные бизнес-школы за шаблонность и дороговизну. Автор выделяет пять основных компонентов бизнеса (ценность, маркетинг, продажи, финансы и психология) и предлагает более 200 ментальных моделей для решения реальных задач, охватывая такие темы, как формы ценности, ценообразование, переговоры и управление вниманием. Книга предназначена для начинающих предпринимателей и специалистов, желающих получить системные бизнес-знания без формального MBA.</t>
  </si>
  <si>
    <t>Командный подход. Создание высокоэффективной организации</t>
  </si>
  <si>
    <t>komandnyy-podhod-sozdanie-vysokoeffektivnoy-organizacii-7748.pdf</t>
  </si>
  <si>
    <t>Эта книга посвящена командной эффективности и условиям, при которых команды действительно работают. Авторы утверждают, что ключевым фактором успеха является не столько лидер, сколько неукоснительное соблюдение всеми членами команды базовых дисциплинирующих правил, а также наличие четкой, вдохновляющей задачи. В отличие от большинства книг, фокусирующихся на сплоченности, здесь подчеркивается, что тренинги по командообразованию бесполезны без усвоения этих правил, которые работают на всех уровнях организации. Издание предназначено для менеджеров, руководителей и специалистов, стремящихся осознанно внедрять командный подход для достижения реальных результатов, а не ради самого процесса.</t>
  </si>
  <si>
    <t>Built to Last: Successful Habits of Visionary Companies</t>
  </si>
  <si>
    <t>Jim C. Collins; Jerry I. Porras</t>
  </si>
  <si>
    <t>postroennie-navechno.pdf</t>
  </si>
  <si>
    <t>Книга Джима Коллинза и Джерри Порраса «Построенные навечно» посвящена исследованию причин долгосрочного успеха выдающихся компаний-долгожителей в сравнении с их конкурентами. Ключевые концепции включают создание «часов, а не говорение времени» (построение организации, а не просто следование идее), сохранение сути и стимулирование прогресса, а также культ идеологии и большие амбициозные цели. Издание предназначено для руководителей и предпринимателей всех уровней, от новичков до опытных специалистов, стремящихся построить организации, способные процветать десятилетиями.</t>
  </si>
  <si>
    <t>The Leader Habit: Master the Skills You Need to Lead in Just Minutes a Day</t>
  </si>
  <si>
    <t>Martin Lanik</t>
  </si>
  <si>
    <t>HarperCollins</t>
  </si>
  <si>
    <t>privychki-lidera.pdf</t>
  </si>
  <si>
    <t>Книга Мартина Ланика «Привычки лидера» посвящена идее, что эффективное руководство — это не врожденный талант, а набор доведенных до автоматизма действий и привычек, которые можно развить с помощью коротких ежедневных практик. Основываясь на исследовании десятков лидеров, автор выделяет 22 ключевых навыка, разделенных на блоки «Ориентация на результат» и «Ориентация на людей», и предлагает пятиминутные упражнения для их закрепления. Издание предназначено для руководителей любого уровня, от новичков до опытных специалистов, стремящихся системно улучшить свои лидерские качества.</t>
  </si>
  <si>
    <t>Новая наука создания великолепной команды</t>
  </si>
  <si>
    <t>Алекс (Сэнди) Пентленд</t>
  </si>
  <si>
    <t>upravlenie-komandoy-7739.pdf</t>
  </si>
  <si>
    <t>Фрагмент книги посвящен исследованию факторов, определяющих высокую эффективность команд, и опровергает мнение о том, что создание успешной команды — это исключительно искусство. Ключевая концепция заключается в том, что решающее значение имеет не содержание разговоров, а схемы взаимодействия между членами группы, которые можно измерить и улучшить. Автор выделяет три движущие силы продуктивного общения: энергию, контактирование и поиск, и утверждает, что, корректируя свое коммуникативное поведение, команды могут значительно повысить свои показатели. Материал будет полезен как новичкам, так и опытным руководителям и специалистам, стремящимся понять научные основы построения высокоэффективных коллективов.</t>
  </si>
  <si>
    <t>Научная мотивация труда (Полная версия книги)</t>
  </si>
  <si>
    <t>Владимир Иванович Бовыкин</t>
  </si>
  <si>
    <t>Бовыкин В.И.</t>
  </si>
  <si>
    <t>Бовыкин Научная организация труда 2021.pdf</t>
  </si>
  <si>
    <t>Книга посвящена проблеме мотивации труда и повышения производительности персонала. Автор утверждает, что существуют всего три эффективные технологии управления, способные решить эту проблему, в то время как традиционные системы оплаты (окладно-премиальные, KPI, сдельные) не работают. В работе раскрывается теория научной мотивации и даются практические рекомендации по внедрению одной из трёх технологий. Книга рассчитана на собственников, генеральных директоров, руководителей подразделений и специалистов служб персонала, то есть на уровень специалиста и руководителя.</t>
  </si>
  <si>
    <t>Дизайн-мышление. Все инструменты в одной книге</t>
  </si>
  <si>
    <t>Оливер Кемпкенс</t>
  </si>
  <si>
    <t>Дизайн-мышление.pdf</t>
  </si>
  <si>
    <t>Книга Оливера Кемпкенса представляет собой практическое руководство по методологии дизайн-мышления, основанное на 150 кейсах компаний из списка Fortune 100. В ней подробно описываются все стадии разработки продукта, включая чек-листы для брейнштормов, модели генерации идей и прототипирования, а также инструменты для конкурентного анализа. Издание предназначено как для начинающих, так и для опытных специалистов — фасилитаторов, корпоративных тренеров и проектных менеджеров, желающих внедрить дизайн-мышление в бизнес-процессы.</t>
  </si>
  <si>
    <t>RTF</t>
  </si>
  <si>
    <t>Дизайн-мышление.rtf</t>
  </si>
  <si>
    <t>Boss: бесподобный или бесполезный</t>
  </si>
  <si>
    <t>Иммельман Рэймонд</t>
  </si>
  <si>
    <t>2008</t>
  </si>
  <si>
    <t>Институт комплексных стратегических исследований</t>
  </si>
  <si>
    <t>Иммельман Рэймонд. Boss_ бесподобный или бесполезный.fb2</t>
  </si>
  <si>
    <t>Это бизнес-роман, посвященный управлению людьми и созданию эффективной команды на основе глубинных человеческих отношений и корпоративных традиций. Ключевая концепция книги — противопоставление «просто компании» и организации, где люди объединены общей идеей, а задача руководителя — не управлять, а вдохновлять. В качестве практического инструмента предлагается авторская «формула философского камня» успешного предприятия. Книга предназначена для широкого круга вдумчивых читателей, интересующихся менеджментом и организационным поведением, и будет полезна как новичкам, так и опытным специалистам.</t>
  </si>
  <si>
    <t>Как пасти котов. Наставление для программистов, руководящих другими программистами</t>
  </si>
  <si>
    <t>Дж. Рейнвотер</t>
  </si>
  <si>
    <t>Как пасти котов..pdf</t>
  </si>
  <si>
    <t>Книга Дж. Рейнвотера «Как пасти котов» посвящена лидерству и управлению командами программистов, которых автор сравнивает с независимыми кошками. Ключевые разделы охватывают адаптацию к роли руководителя, управление собой и командой, организацию успеха, проведение совещаний, а также философию технического лидерства. Издание предназначено как для начинающих менеджеров из числа программистов, так и для опытных руководителей, желающих пересмотреть свои принципы лидерства.</t>
  </si>
  <si>
    <t>Как управлять интеллектуалами. Я, нерды и гики</t>
  </si>
  <si>
    <t>Майкл Лопп</t>
  </si>
  <si>
    <t>Как управлять интеллектуалами..pdf</t>
  </si>
  <si>
    <t>Книга Майкла Лоппа «Как управлять интеллектуалами. Я, нерды и гики» посвящена управлению творческими и техническими специалистами (разработчиками, гиками, нердами) в IT-среде. Автор на основе личного опыта работы в крупных корпорациях разбирает ключевые концепции: типы руководителей и разработчиков, совещательную культуру, коммуникационные стратегии, лидерские роли и методы предотвращения катастроф в проектах. Издание предназначено для проект-менеджеров, начинающих и действующих руководителей, а также для всех, кто хочет понять, как эффективно взаимодействовать с интеллектуалами и выживать в токсичной корпоративной среде.</t>
  </si>
  <si>
    <t>Культурный код. Секреты чрезвычайно успешных групп и организаций</t>
  </si>
  <si>
    <t>Дэниел Койл</t>
  </si>
  <si>
    <t>КоЛибри, Азбука-Аттикус</t>
  </si>
  <si>
    <t>Культурный код - Дениэл.pdf</t>
  </si>
  <si>
    <t>Книга Дэниела Койла «Культурный код» посвящена исследованию механизмов, которые превращают обычные группы в чрезвычайно успешные команды. Автор на примере таких организаций, как Google, Pixar и спецназ ВМС США, выделяет три ключевых принципа эффективной культуры: создание безопасной среды, уязвимость для укрепления доверия и формирование общего смысла. Книга будет полезна как руководителям и менеджерам, так и рядовым сотрудникам, стремящимся понять, как построить сильную и продуктивную команду.</t>
  </si>
  <si>
    <t>Оцифруйся или умри. Как трансформировать компанию с помощью искусственного интеллекта и обойти конкурентов</t>
  </si>
  <si>
    <t>Марко Янсити; Карим Лахани</t>
  </si>
  <si>
    <t>Оцифруйся или умри.pdf</t>
  </si>
  <si>
    <t>Книга «Оцифруйся или умри» посвящена стратегической трансформации традиционного бизнеса в цифровую компанию с помощью искусственного интеллекта. Авторы, профессора Гарвардской школы бизнеса, рассматривают ИИ как ключевой фактор конкурентного преимущества и описывают переход от разрозненных ИТ-решений к единой платформе и «фабрике ИИ». В книге сформулированы пять принципов успешной трансформации, включая единую стратегию, плоскую структуру и гибкую организацию, а также разбираются риски и этические вопросы. Издание написано доступным языком с множеством примеров и будет полезно как руководителям традиционного и технологического бизнеса, так и студентам с предпринимателями.</t>
  </si>
  <si>
    <t>One Up: Creativity, Competition, and the Global Business of Video Games</t>
  </si>
  <si>
    <t>Joost van Dreunen</t>
  </si>
  <si>
    <t>Columbia University Press</t>
  </si>
  <si>
    <t>По ту сторону игр.pdf</t>
  </si>
  <si>
    <t>Книга «По ту сторону игр» посвящена анализу бизнес-моделей и рыночных механизмов глобальной индустрии видеоигр, рассматривая такие феномены, как Minecraft и Pokémon GO. Автор развенчивает миф о том, что творчество и «идеальная игра» гарантируют успех, подчеркивая ключевую роль финансового планирования, маркетинга и понимания экономики отрасли. В предисловии критикуется романтизация «одинокого гения» и пренебрежение к деловой стороне, свойственное как начинающим дизайнерам, так и инвесторам. Материал будет полезен специалистам индустрии, студентам игровых направлений и всем, кто хочет понять, как устроен игровой бизнес изнутри.</t>
  </si>
  <si>
    <t>Сохраняя энергию стартапа: Как техногиганты ежедневно изобретают будущее и остаются на вершине</t>
  </si>
  <si>
    <t>Алекс Канторовиц</t>
  </si>
  <si>
    <t>Сохраняя энергию стартапа.pdf</t>
  </si>
  <si>
    <t>Книга Алекса Канторовица «Сохраняя энергию стартапа» посвящена исследованию внутренних механизмов и корпоративных культур крупнейших IT-гигантов, которые позволяют им оставаться инновационными и доминировать на рынке. Во вступительном слове подчеркивается ценность обмена опытом через книги, а предисловие описывает личную встречу автора с Марком Цукербергом, иллюстрирующую нестандартный подход к управлению и открытость к критике. Ключевая концепция книги — анализ того, как технологические лидеры ежедневно изобретают будущее, сохраняя «энергию стартапа» и трансформируя привычное восприятие. Издание предназначено для специалистов, руководителей и всех, кто интересуется стратегиями развития и инновациями в бизнесе.</t>
  </si>
  <si>
    <t>BABOK v3: Руководство к своду знаний по бизнес-анализу</t>
  </si>
  <si>
    <t>Международный институт бизнес-анализа (IIBA)</t>
  </si>
  <si>
    <t>Международный институт бизнес-анализа</t>
  </si>
  <si>
    <t>Бизнес/Стратегия</t>
  </si>
  <si>
    <t>Стратегия</t>
  </si>
  <si>
    <t>BABOK_v3_Rukovodstvo.pdf</t>
  </si>
  <si>
    <t>C:\Users\alexa\YandexDisk\Книги\Бизнес\Стратегия</t>
  </si>
  <si>
    <t>Этот фрагмент представляет собой оглавление и введение к руководству BABOK v3 — международному своду знаний по бизнес-анализу. Книга описывает ключевые концепции, процессы и техники бизнес-анализа, включая планирование, выявление требований, анализ стратегии и оценку решений. Материал предназначен для практикующих бизнес-аналитиков и специалистов, готовящихся к сертификации, и требует базового понимания профессиональной терминологии.</t>
  </si>
  <si>
    <t>Kaufman_D._Sam_Sebe_Mba_Samoobrazova.epub</t>
  </si>
  <si>
    <t>Книга Джоша Кауфмана «Сам себе MBA» посвящена идее самообразования в бизнесе как альтернативе дорогостоящим и устаревшим программам MBA. Автор предлагает освоить ключевые ментальные модели и практические концепции управления, маркетинга, финансов и лидерства, которые можно применять сразу. В приведённом фрагменте через историю деда-самоучки иллюстрируется главный принцип книги: постоянное обучение «без отрыва от производства» и последовательное наращивание навыков ведут к успеху. Книга предназначена для новичков и предпринимателей, которые хотят получить работающие знания без формального бизнес-образования.</t>
  </si>
  <si>
    <t>Стратегия чистого листа: Как перестать планировать и начать делать бизнес</t>
  </si>
  <si>
    <t>strategiya-chistogo-lista-kak-perestat-planirovat-i-nachat-delat-biznes-38397.pdf</t>
  </si>
  <si>
    <t>Книга посвящена разоблачению двух мифов бизнеса — мифа о Росте и мифа о Провидце, и противопоставляет им концепцию «оппортунизма» как эффективной альтернативы долгосрочному стратегическому планированию. Автор делит предпринимателей на «стратегов» (визионеров, следующих заранее продуманному плану) и «оппортунистов» (экспериментаторов, действующих тактически и хватающихся за подвернувшиеся возможности), доказывая на основе исследований, что успех не зависит от уровня стратегичности. Ключевая проблема в том, что большинство менеджеров на деле являются оппортунистами, но стыдятся в этом признаться из-за сложившихся стереотипов, что порождает «двоемыслие» и неэффективное использование стратегических инструментов. Книга предназначена для предпринимателей и менеджеров любого уровня, особенно для тех, кто чувствует несоответствие между навязанными шаблонами и реальной практикой ведения бизнеса.</t>
  </si>
  <si>
    <t>Go: An Asian Paradigm for Business Strategy</t>
  </si>
  <si>
    <t>Yasuyuki Miura</t>
  </si>
  <si>
    <t>1995</t>
  </si>
  <si>
    <t>Ishi Press, Inc.</t>
  </si>
  <si>
    <t>Го и восточная бизнес-стратегия.pdf</t>
  </si>
  <si>
    <t>Книга Ясуюки Миуры «Го и восточная бизнес-стратегия» исследует параллели между древней игрой Го и принципами ведения бизнеса, предлагая рассматривать Го как модель стратегического мышления и гармоничного сосуществования, а не войны. Ключевые разделы охватывают правила игры, язык жестов, концепции доски, фусэки (дебют), дзёсэки (стандартные последовательности) и философию камней и игроков. Книга предназначена для широкого круга читателей, интересующихся восточной философией, стратегией и бизнесом, от новичков до специалистов.</t>
  </si>
  <si>
    <t>Introduction to Financial Derivatives with Python</t>
  </si>
  <si>
    <t>Elisa Alòs</t>
  </si>
  <si>
    <t>Бизнес/Финансы</t>
  </si>
  <si>
    <t>Финансы</t>
  </si>
  <si>
    <t>Introduction to Financial Derivatives with Python.pdf</t>
  </si>
  <si>
    <t>C:\Users\alexa\YandexDisk\Книги\Бизнес\Финансы</t>
  </si>
  <si>
    <t>Этот учебник представляет собой введение в финансовые деривативы и их реализацию на языке Python, предназначенное для студентов бакалавриата по финансам, экономике или финансовой математике. Книга охватывает все основные темы по деривативам, а также основы численных методов, используемых в финансовой индустрии, и их программную реализацию. Материал рассчитан на новичков, не требующих предварительных знаний в программировании или продвинутой математике, выходящих за рамки базового анализа.</t>
  </si>
  <si>
    <t>Fake: How Lies Are Making the Poor and Middle Class Poorer</t>
  </si>
  <si>
    <t>Robert T. Kiyosaki</t>
  </si>
  <si>
    <t>Попурри</t>
  </si>
  <si>
    <t>Kiyiosaki_R._Feyik_Kak_Loj_Delaet_Bedn.a4.pdf</t>
  </si>
  <si>
    <t>Книга Роберта Кийосаки «Фейк» посвящена разоблачению ложных финансовых концепций и информационных манипуляций, которые, по мнению автора, обедняют средний класс. Ключевые разделы включают критику академической элиты и системы образования, а также введение понятия «фейковых денег» как инструмента перераспределения ценностей. Книга предназначена для широкого круга читателей, включая новичков, желающих научиться отличать реальные финансовые факты от вымысла.</t>
  </si>
  <si>
    <t>Skin in the Game: Hidden Asymmetries in Daily Life</t>
  </si>
  <si>
    <t>Nassim Nicholas Taleb</t>
  </si>
  <si>
    <t>Taleb_N. Рискуя собственной шкурой.pdf</t>
  </si>
  <si>
    <t>Книга Нассима Талеба «Рискуя собственной шкурой» посвящена скрытой асимметрии повседневной жизни и важности личной ответственности за принимаемые решения. Ключевые концепции включают принцип «шкуры на кону» (когда лицо, принимающее решение, делит риски с другими), правило «побеждает самый нетерпимый» (власть упрямого меньшинства) и критику «интеллектуалов-идиотов», не несущих последствий своих советов. Книга предназначена для широкого круга читателей, от новичков до специалистов, интересующихся философией риска, экономикой и критическим мышлением.</t>
  </si>
  <si>
    <t>A Survey on Security and Privacy Issues of Bitcoin</t>
  </si>
  <si>
    <t>Mauro Conti; Sandeep Kumar E; Chhagan Lal; Sushmita Ruj</t>
  </si>
  <si>
    <t>Блокчейн/Безопасность блокчейн</t>
  </si>
  <si>
    <t>Блокчейн</t>
  </si>
  <si>
    <t>Безопасность блокчейн</t>
  </si>
  <si>
    <t>A Survey on Security and Privacy Issues of Bitcoin.pdf</t>
  </si>
  <si>
    <t>C:\Users\alexa\YandexDisk\Книги\Блокчейн\Безопасность блокчейн</t>
  </si>
  <si>
    <t>Данный фрагмент представляет собой научный обзор (survey) проблем безопасности и приватности криптовалюты Bitcoin. В работе рассматриваются уязвимости ключевых технологий Bitcoin, таких как блокчейн и консенсусный протокол Proof-of-Work, а также анализируются существующие угрозы (например, двойные траты и атаки на майнинг) и методы их предотвращения. Отдельное внимание уделяется вопросам анонимности пользователей и современным решениям для защиты конфиденциальности. Материал предназначен для исследователей и специалистов в области кибербезопасности, а также для продвинутых пользователей, интересующихся теоретическими основами и практическими уязвимостями криптовалют.</t>
  </si>
  <si>
    <t>Analysis of Man-In-The-Middle of Attack on Bitcoin Address</t>
  </si>
  <si>
    <t>Abba Garba; Zhi Guan; Anran Li; Zhong Chen</t>
  </si>
  <si>
    <t>Analysis of Man-In-The-Middle of Attack on Bitcoin Address.pdf</t>
  </si>
  <si>
    <t>Данный фрагмент научной статьи посвящен анализу уязвимости биткоин-адресов к атаке «человек посередине» (MITM). Авторы исследуют, как злоумышленники могут подменять адреса получателей на веб-сайтах, форумах и в социальных сетях, что приводит к краже средств, и приводят результаты масштабного анализа более 10 000 адресов. Ключевые разделы включают описание механизма атаки, методологию сбора данных и обзор мер противодействия. Материал предназначен для специалистов в области криптографии и безопасности информационных систем.</t>
  </si>
  <si>
    <t>Analysis of Spliting Attacks on Bitcoin and GHOST Consensus Protocols</t>
  </si>
  <si>
    <t>Lyudmila Kovalchuk; Dmytro Kaidalov; Oleksiy Shevtsov; Andrii Nastenko; Mariia Rodinko; Roman Oliynykov</t>
  </si>
  <si>
    <t>IEEE</t>
  </si>
  <si>
    <t>Analysis of Spliting Attacks on Bitcoin and GHOST Consensus Protocols.pdf</t>
  </si>
  <si>
    <t>Данный фрагмент представляет собой научную статью, посвященную анализу атак расщепления (splitting attacks) на консенсусные протоколы Bitcoin и GHOST. Авторы предлагают новые математические модели, описывающие стратегию злоумышленника, который открыто создает и поддерживает форк, заставляя честных майнеров тратить ресурсы на две ветки равной длины. В работе выводятся верхние границы вероятности успешного удержания форка, что позволяет оценить необходимое количество блоков для защиты от таких атак. Материал рассчитан на специалистов в области криптографии и блокчейна, знакомых с вероятностными моделями и техническими деталями работы консенсусов.</t>
  </si>
  <si>
    <t>Blockchain Technology for IoE: Security and Privacy Perspectives</t>
  </si>
  <si>
    <t>Arun Solanki; Anuj Kumar Singh; Sudeep Tanwar</t>
  </si>
  <si>
    <t>Blockchain Technology for IoE Security.pdf</t>
  </si>
  <si>
    <t>Эта книга посвящена вопросам безопасности и конфиденциальности в среде «Интернета всего» (IoE) с использованием технологий распределенного реестра и блокчейна. В ней рассматриваются такие ключевые концепции, как механизмы консенсуса, криптосенсоры, алгоритмы шифрования и аутентификации, а также применение блокчейна для криминалистики и обнаружения вредоносных транзакций. Издание предназначено для исследователей и студентов магистратуры в области вычислительной техники, криптографии, IoT и компьютерной инженерии.</t>
  </si>
  <si>
    <t>Low-Level Attacks in Bitcoin Wallets</t>
  </si>
  <si>
    <t>Gkaniatsou, A; Arapinis, M; Kiayias, A</t>
  </si>
  <si>
    <t>Low-Level Attacks in BitcoinWallets.pdf</t>
  </si>
  <si>
    <t>Данный фрагмент научной статьи посвящён анализу атак низкого уровня на аппаратные кошельки Bitcoin, в частности на устройства Ledger Wallet, сертифицированные по стандарту EAL5+. Авторы выявляют уязвимости в протоколах связи между кошельком и компьютером, формулируют минимальную модель угроз для аппаратных кошельков и предлагают лёгкое исправление для защиты от таких атак. Материал предназначен для специалистов в области информационной безопасности и криптографии, интересующихся практическими уязвимостями криптовалютных устройств.</t>
  </si>
  <si>
    <t>Безопасность_блокчейна_снизу_вверх</t>
  </si>
  <si>
    <t>Безопасность_блокчейна_снизу_вверх.pdf</t>
  </si>
  <si>
    <t>Книга посвящена безопасности блокчейн-систем, рассматривая уязвимости и методы защиты на всех уровнях — от базовой архитектуры до прикладных смарт-контрактов. Ключевые разделы охватывают криптографические основы, консенсусные механизмы, атаки на сеть и практические рекомендации по аудиту кода. Издание ориентировано на специалистов в области информационной безопасности и разработчиков, уже знакомых с основами блокчейна, но будет полезно и продвинутым новичкам, желающим углубить понимание угроз.</t>
  </si>
  <si>
    <t>Architecture for Blockchain Applications</t>
  </si>
  <si>
    <t>Xiwei Xu; Ingo Weber; Mark Staples</t>
  </si>
  <si>
    <t>Блокчейн/Основы блокчейн и протоколы</t>
  </si>
  <si>
    <t>Основы блокчейн и протоколы</t>
  </si>
  <si>
    <t>Architecture for BlockChain.pdf</t>
  </si>
  <si>
    <t>C:\Users\alexa\YandexDisk\Книги\Блокчейн\Основы блокчейн и протоколы</t>
  </si>
  <si>
    <t>Книга «Architecture for Blockchain Applications» представляет собой руководство по инженерным аспектам блокчейна, охватывающее его архитектуру, доступные платформы и области применения. Ключевые концепции включают анализ disruptive-природы технологии, её влияние на производителей (в отличие от потребителей) и примеры использования, такие как управление цепочками поставок. Издание предназначено для инженеров-программистов и специалистов, желающих проектировать системы с использованием блокчейна, предполагая у читателя базовый технический уровень.</t>
  </si>
  <si>
    <t>Big Data and Blockchain Technology for Secure IoT Applications</t>
  </si>
  <si>
    <t>Shitharth Selvarajan; Gouse Baig Mohammad; Sadda Bharath Reddy</t>
  </si>
  <si>
    <t>Big Data and Blockchain Technology for Secure IoT.pdf</t>
  </si>
  <si>
    <t>Книга посвящена интеграции технологий больших данных и блокчейна для обеспечения безопасности приложений Интернета вещей (IoT). В ней рассматриваются фундаментальные принципы этих технологий, их синергетический потенциал для защиты от киберугроз, а также практические примеры, включая мониторинг в реальном времени, обнаружение аномалий и неизменяемое хранение данных. Издание предназначено для исследователей, практиков и политиков, стремящихся разобраться в сложностях безопасности IoT, и предлагает баланс между теорией и практическим применением.</t>
  </si>
  <si>
    <t>Bitcoin For Dummies, 2nd Edition</t>
  </si>
  <si>
    <t>Peter Kent; Tyler Bain</t>
  </si>
  <si>
    <t>Bitcoin For Dummies , 2nd Edition.pdf</t>
  </si>
  <si>
    <t>Книга «Bitcoin For Dummies», 2-е издание, представляет собой практическое руководство для новичков, которое объясняет основы биткоина, его технологию и принципы работы. Ключевые разделы охватывают покупку, продажу и безопасное хранение биткоинов, инвестирование, а также технические аспекты сети и майнинга. Издание предназначено для читателей без специальной подготовки, желающих понять, как использовать и защищать криптовалюту.</t>
  </si>
  <si>
    <t>Blockchain based Internet of Things</t>
  </si>
  <si>
    <t>Debashis De; Siddhartha Bhattacharyya; Joel J. P. C. Rodrigues</t>
  </si>
  <si>
    <t>Blockchain based IoT..pdf</t>
  </si>
  <si>
    <t>Эта книга представляет собой сборник научных трудов под редакцией Дебашиса Де, Сиддхартхи Бхаттачарьи и Джоэла Родригеса, посвященный интеграции технологии блокчейн с Интернетом вещей (IoT). В предисловии рассматриваются проблемы безопасности экосистем IoT, такие как уязвимость данных и устройств, и предлагается блокчейн как прозрачная и высокозащищенная платформа для транзакций, устраняющая риски несанкционированного доступа. Издание предназначено для специалистов и исследователей в области инженерии данных и коммуникаций, интересующихся передовыми подходами к созданию распределенных и надежных инфраструктур.</t>
  </si>
  <si>
    <t>Blockchain for Business; IT Principles into Practice</t>
  </si>
  <si>
    <t>Marco Comuzzi</t>
  </si>
  <si>
    <t>Blockchain for Business_IT Principles.pdf</t>
  </si>
  <si>
    <t>Книга «Blockchain for Business: IT Principles into Practice» предлагает структурированное введение в технологию блокчейна с концептуальной, технологической и бизнес-точек зрения. Авторы объясняют базовые принципы работы блокчейна (транзакции, механизмы консенсуса, смарт-контракты и криптографию), затем рассматривают конкретные платформы (Bitcoin, Ethereum, частные блокчейны) и инструменты для оценки применимости технологии в различных бизнес-сценариях. Издание предназначено для студентов старших курсов (промышленный инжиниринг, менеджмент, информационные системы), а также для практикующих специалистов (бизнес-аналитики, ИТ-архитекторы), не требуя углублённых предварительных знаний.</t>
  </si>
  <si>
    <t>Blockchain in a Volatile-Uncertain-Complex-Ambiguous World</t>
  </si>
  <si>
    <t>Kaliyan Mathiyazhagan; V. Raja Sreedharan; Deepak Mathivathanan; Vijaya Sunder M</t>
  </si>
  <si>
    <t>Blockchain in a Volatile-Uncertain-Complex-Ambiguous World.pdf</t>
  </si>
  <si>
    <t>Книга «Blockchain in a Volatile-Uncertain-Complex-Ambiguous World» под редакцией Калияна Матияжагана посвящена применению технологии блокчейн для управления цепочками поставок в условиях высокой неопределенности и сложности (VUCA-мир). В издании рассматриваются основы блокчейна, его классификация, консенсусные алгоритмы, а также конкретные кейсы внедрения в мясной, фармацевтической и агропродовольственной отраслях. Ключевые разделы охватывают преодоление неопределенности и двусмысленности в операциях, а также проблемы и вызовы адаптации технологии. Книга предназначена для исследователей, практиков в сфере логистики и управления цепочками поставок, а также для специалистов, интересующихся современными цифровыми решениями.</t>
  </si>
  <si>
    <t>Blockchain : Empowering Digital Economy</t>
  </si>
  <si>
    <t>Yang Yan; Bin Wang; Jun Zou</t>
  </si>
  <si>
    <t>World Scientific Publishing Co. Pte. Ltd.</t>
  </si>
  <si>
    <t>Blockchain_Empowering_Digital_Economy_Yang_Yan,_Bin_Wang,_Jun_Zou.pdf</t>
  </si>
  <si>
    <t>Книга «Blockchain: Empowering Digital Economy» систематически описывает взаимосвязь между блокчейном и цифровой экономикой, а также развитие технологии блокчейна в Китае и за рубежом. В ней подробно рассматривается применение блокчейна в ключевых отраслях, роль местных органов власти в продвижении инноваций, а также правовые и нормативные аспекты технологии. Издание предназначено для специалистов государственных органов, сотрудников государственных предприятий, работников сферы интернета, больших данных и искусственного интеллекта, а также для преподавателей, студентов и исследователей.</t>
  </si>
  <si>
    <t>Building With Ethereum: Products, Protocols, and Platforms</t>
  </si>
  <si>
    <t>Jamie Rumbelow</t>
  </si>
  <si>
    <t>Building_With_Ethereum_Products_Protocols_and_Platforms.pdf</t>
  </si>
  <si>
    <t>Книга Джейми Рамблоу «Building With Ethereum» посвящена практическим аспектам разработки на блокчейне Ethereum и разделяет экосистему на три уровня: протоколы (базовая инфраструктура), продукты (пользовательские приложения) и платформы (среды для разработчиков). Ключевые концепции включают инженерию доверия, психологию пользователя и профессиональный арбитраж в крипто-бизнесе. Издание предназначено для разработчиков и технических специалистов, уже знакомых с основами блокчейна, которые хотят перейти от теории к созданию реальных решений.</t>
  </si>
  <si>
    <t>Decentralized Applications</t>
  </si>
  <si>
    <t>Siraj Raval</t>
  </si>
  <si>
    <t>Decentralized_Applications_proglib.pdf</t>
  </si>
  <si>
    <t>Книга Сираджа Равала «Decentralized Applications» посвящена созданию децентрализованных приложений (dapps) на основе технологии блокчейн Биткоина. Автор определяет четыре ключевых признака таких приложений: открытый исходный код, внутренняя криптовалюта, децентрализованный консенсус и отсутствие единой точки отказа. В книге рассматриваются примеры существующих dapps (PopcornTime, OpenBazaar), а также технологии для децентрализации данных, вычислений, идентификации и пропускной способности. Издание включает практическое руководство по созданию первого dapp с использованием IPFS и языка Go. Книга ориентирована на разработчиков и технических специалистов, имеющих базовое понимание блокчейна, но будет полезна и новичкам, интересующимся архитектурой децентрализованных систем.</t>
  </si>
  <si>
    <t>Grokking Bitcoin</t>
  </si>
  <si>
    <t>Kalle Rosenbaum</t>
  </si>
  <si>
    <t>Grokking Bitcoin by Kalle Rosenbaum (z-lib.org).pdf</t>
  </si>
  <si>
    <t>Книга «Grokking Bitcoin» Калле Розенбаума представляет собой практическое введение в технологию Биткоина, объясняя его устройство с нуля. Ключевые разделы охватывают криптографические хеш-функции и цифровые подписи, адреса, кошельки, транзакции, блокчейн и доказательство работы (Proof of Work). Издание предназначено для новичков, желающих понять фундаментальные принципы работы Биткоина без глубоких технических знаний.</t>
  </si>
  <si>
    <t>Introducing Blockchain with Java: Program, Implement, and Extend Blockchains with Java</t>
  </si>
  <si>
    <t>Spiro Buzharovski</t>
  </si>
  <si>
    <t>Introducing.Blockchain.with.Java.pdf</t>
  </si>
  <si>
    <t>Книга Спиро Бужаровского посвящена созданию, реализации и расширению блокчейнов с использованием языка Java. В ней рассматриваются фундаментальные концепции, такие как шифрование, хеширование, смарт-контракты и примеры рабочих процессов на примере Bitcoin, а также практическая реализация ядра блокчейна, включая классы Block, Transaction и Wallet, и настройка базы данных SQLite. Издание предназначено для разработчиков, знакомых с Java, которые хотят освоить программирование блокчейн-систем с нуля до продвинутого уровня.</t>
  </si>
  <si>
    <t>Mastering Bitcoin</t>
  </si>
  <si>
    <t>Andreas M. Antonopoulos</t>
  </si>
  <si>
    <t>Mastering_Bitcoin_russian 2017.pdf</t>
  </si>
  <si>
    <t>Книга «Mastering Bitcoin» Андреаса Антонопулоса представляет собой технический справочник, посвящённый технологии Биткойн и блокчейна, которые описываются как децентрализованная сеть доверия и фундаментальная основа для нового поколения интернета и финансовых приложений. В предисловии автор делится личным опытом осознания важности Биткойна, а в книге рассматриваются такие ключевые концепции, как криптовалюты, протоколы, транзакции, блокчейн, а также практические примеры кода на Python и C++. Издание предназначено в первую очередь для программистов и разработчиков, желающих глубоко понять работу криптовалют и создавать приложения на их основе, однако первые главы могут быть полезны и для новичков.</t>
  </si>
  <si>
    <t>NFTs for Beginners: Understand how NFTs are revolutionizing the concept of digital ownership</t>
  </si>
  <si>
    <t>Rajan Arya</t>
  </si>
  <si>
    <t>BPB Online</t>
  </si>
  <si>
    <t>NFTs for beginer.pdf</t>
  </si>
  <si>
    <t>Книга «NFTs for Beginners» авторства Раджана Арьи представляет собой вводное руководство, посвящённое невзаимозаменяемым токенам (NFT) и их роли в цифровой собственности. В ней рассматриваются ключевые концепции: типы и элементы NFT, принципы взаимозаменяемости и невзаимозаменяемости, стандарты токенов (Ethereum, Tezos), а также практические аспекты покупки, хранения и инвестирования в NFT с использованием кошельков вроде MetaMask. Издание предназначено для новичков, желающих понять основы технологии блокчейн, цифрового искусства и коллекционирования.</t>
  </si>
  <si>
    <t>Principles and Practice of Blockchains</t>
  </si>
  <si>
    <t>Kevin Daimi; Ioanna Dionysiou; Nour El Madhoun</t>
  </si>
  <si>
    <t>Springer Nature Switzerland</t>
  </si>
  <si>
    <t>Principles and Practice of Blockchains.pdf</t>
  </si>
  <si>
    <t>Книга «Principles and Practice of Blockchains» представляет собой сборник научных и прикладных работ, посвящённых технологии блокчейн, её основам (консенсусные протоколы, смарт-контракты, децентрализованные приложения) и применению в таких областях, как Интернет вещей, мобильные устройства и здравоохранение. Ключевые разделы охватывают фундаментальные принципы блокчейна, вопросы безопасности и конфиденциальности в IoT, а также децентрализованные системы для управления медицинскими данными. Издание предназначено как для широкой аудитории, желающей повысить осведомлённость о блокчейне, так и для специалистов и студентов, изучающих кибербезопасность и смежные дисциплины.</t>
  </si>
  <si>
    <t>Python для программирования криптовалют</t>
  </si>
  <si>
    <t>Джимми Сонг</t>
  </si>
  <si>
    <t>Python для программирования криповалют.pdf</t>
  </si>
  <si>
    <t>Книга Джимми Сонга «Python для программирования криптовалют» посвящена созданию биткойн-протокола с нуля на языке Python. Ключевые разделы охватывают конечные поля, эллиптические кривые, криптографию, сериализацию, транзакции, язык Script, блоки и протокол Segwit. Издание предназначено для программистов среднего уровня, желающих глубоко понять внутреннее устройство биткойна и научиться реализовывать его компоненты программно.</t>
  </si>
  <si>
    <t>The Basics of Bitcoins and Blockchains</t>
  </si>
  <si>
    <t>Antony Lewis</t>
  </si>
  <si>
    <t>The_Basics_of_Bitcoins_and_Blockchains_An_Introduction_to_Cryptocurrencies.epub</t>
  </si>
  <si>
    <t>Книга «The Basics of Bitcoins and Blockchains» Энтони Льюиса представляет собой доступное введение в мир криптовалют и технологии блокчейн, объясняя их историю, механизмы работы и ключевые концепции. В ней рассматриваются такие темы, как природа денег, криптография, устройство биткоина и Ethereum, а также практические аспекты хранения и покупки криптовалют. Издание предназначено для новичков, желающих получить чёткое и понятное объяснение основ без излишнего технического жаргона.</t>
  </si>
  <si>
    <t>The Book of Crypto: The Complete Guide to Understanding Bitcoin, Cryptocurrencies and Digital Assets</t>
  </si>
  <si>
    <t>Henri Arslanian</t>
  </si>
  <si>
    <t>The_Book_of_Crypto_The_Complete_Guide_to_Understanding_Bitcoin,.epub</t>
  </si>
  <si>
    <t>Книга «The Book of Crypto» авторства Анри Арсланяна представляет собой всеобъемлющее руководство по пониманию биткоина, криптовалют и цифровых активов. В ней рассматриваются ключевые концепции, такие как история денег, технология блокчейн, Ethereum, стейблкоины, DeFi, NFT и CBDC, а также практические аспекты вроде майнинга, регулирования и криптобирж. Издание предназначено для широкой аудитории, включая новичков и специалистов из сферы финансовых услуг, желающих получить фундаментальные знания о криптоактивах.</t>
  </si>
  <si>
    <t>Блокчейн для чайников</t>
  </si>
  <si>
    <t>()</t>
  </si>
  <si>
    <t>Блокчейн для чайников.pdf</t>
  </si>
  <si>
    <t>Книга «Блокчейн для чайников» представляет собой вводное руководство по технологии блокчейн, объясняющее её базовые принципы, такие как децентрализация, криптографическая защита и механизмы консенсуса. В ней рассматриваются ключевые разделы, включая историю появления биткоина, устройство распределённого реестра, смарт-контракты и практические примеры использования блокчейна в финансах, логистике и других сферах. Издание ориентировано на новичков и читателей без технического бэкграунда, желающих понять, как работает эта технология и где она применяется.</t>
  </si>
  <si>
    <t>Mastering Blockchain</t>
  </si>
  <si>
    <t>Imran Bashir</t>
  </si>
  <si>
    <t>Блокчейн.pdf</t>
  </si>
  <si>
    <t>Книга Имрана Башира «Блокчейн. Исчерпывающее руководство» представляет собой всестороннее техническое руководство по технологии блокчейн, охватывающее её внутренние процессы от криптографии и децентрализованных идентификаторов до DeFi, NFT и Web3. Ключевые разделы включают историю блокчейна, архитектуру, типы блокчейнов (публичные, приватные, первого и второго уровня), а также концепции децентрализации и распределённых систем. Издание предназначено для разработчиков ПО, руководителей и широкого круга энтузиастов, при этом предполагается наличие базовых знаний любого языка программирования.</t>
  </si>
  <si>
    <t>Блокчейн: архитектура, криптовалюты, инструменты разработки, смарт-контракты</t>
  </si>
  <si>
    <t>Имран Башир</t>
  </si>
  <si>
    <t>Блокчейн_архитектура,_криптовалюты.pdf</t>
  </si>
  <si>
    <t>Книга Имрана Башира посвящена теоретическим и практическим аспектам технологии блокчейн, включая архитектуру, криптографию и механизмы работы криптовалют. В ней подробно рассматриваются такие ключевые концепции, как децентрализация, смарт-контракты, платформы Bitcoin и Ethereum, а также альтернативные решения вроде Hyperledger. Издание предназначено в первую очередь для разработчиков, желающих освоить распределенные системы и создавать децентрализованные приложения.</t>
  </si>
  <si>
    <t>Грокаем технологию Биткоин</t>
  </si>
  <si>
    <t>Калле Розенбаум</t>
  </si>
  <si>
    <t>Грокаем_технологию_Биткоин.pdf</t>
  </si>
  <si>
    <t>Книга «Грокаем технологию Биткоин» Калле Розенбаума посвящена глубокому концептуальному разбору технологии Биткоин, включая майнинг, криптографию, транзакции и форки. Ключевые разделы охватывают хеш-функции, цифровые подписи, анатомию транзакций и верификацию. Издание предназначено для читателей с базовыми знаниями в IT (базы данных, сети, математика), но не требует продвинутых навыков программирования.</t>
  </si>
  <si>
    <t>Децентрализованные приложения. Технология Blockchain в действии</t>
  </si>
  <si>
    <t>С. Равал</t>
  </si>
  <si>
    <t>Децентрализованные приложения БлокЧейн в действии.pdf</t>
  </si>
  <si>
    <t>Эта книга Сираджа Равала знакомит с основами создания децентрализованных приложений (dApps) на технологии блокчейн, используя Bitcoin в качестве отправной точки. Автор выделяет четыре ключевых свойства таких приложений: открытый исходный код, наличие внутренней валюты, децентрализованный консенсус и отсутствие единой точки отказа. В книге рассматриваются примеры успешных dApps, таких как OpenBazaar и PopcornTime, а также поддерживающие технологии и экосистема. Издание ориентировано на разработчиков и специалистов, интересующихся практическим созданием децентрализованного программного обеспечения, с акцентом на коммерчески успешные модели.</t>
  </si>
  <si>
    <t>Изучите блокчейн, создав свой: краткий путь к пониманию криптовалют</t>
  </si>
  <si>
    <t>Дэниэл ван Флаймен</t>
  </si>
  <si>
    <t>Изучите блокчейн, создав свой 2020.pdf</t>
  </si>
  <si>
    <t>Эта книга представляет собой практическое руководство по изучению технологии блокчейн и криптовалют через создание собственного блокчейна с нуля на языке Python. Ключевые разделы охватывают хэш-функции, структуру блоков, механизм доказательства работы (PoW), сетевые протоколы, основы криптографии и создание полноценного транзакционного узла. Издание предназначено для начинающих разработчиков и энтузиастов, желающих понять внутреннее устройство блокчейна, а не просто использовать готовые криптовалюты.</t>
  </si>
  <si>
    <t>Криптвоюматика 2.0. Стань сыном маминой подруги</t>
  </si>
  <si>
    <t>Алексей Антонов; Алексей Викторович Марков</t>
  </si>
  <si>
    <t>АСТ</t>
  </si>
  <si>
    <t>Криптвоюматика 2.0.pdf</t>
  </si>
  <si>
    <t>Книга «Криптвоюматика 2.0» в доступной и ироничной форме рассказывает о криптовалютах, блокчейне и инвестициях, делая акцент на событиях хайпа 2017 года. Авторы разбирают ключевые концепции: майнинг, ICO, рост и падение биткоина и эфира, влияние регуляторов и эффект толпы. Издание предназначено для новичков, которые хотят понять основы крипторынка и разобраться в его бурной истории без скучной теории.</t>
  </si>
  <si>
    <t>Криптвоюматика. Как потерять всех друзей и заставить всех себя ненавидеть</t>
  </si>
  <si>
    <t>Алексей Марков; Алексей Антонов</t>
  </si>
  <si>
    <t>ООО «Издательство АСТ»</t>
  </si>
  <si>
    <t>Криптвоюматика.fb2</t>
  </si>
  <si>
    <t>Книга «Криптвоюматика» Алексея Маркова и Алексея Антонова в ироничной и доступной форме рассказывает о криптовалютах, их истории, росте и падении в 2017 году, а также о связанных с ними явлениях — майнинге, ICO и биржевых фьючерсах. Авторы объясняют, почему биткоин и другие цифровые активы стали мировым феноменом, разбирают ключевые события и термины, такие как капитализация рынка и хайп. Книга предназначена для новичков, которые хотят понять основы криптовалют без скучной теории, с юмором и без прикрас.</t>
  </si>
  <si>
    <t>Начало работы с Ethereum: пошаговое руководство, как стать разработчиком блокчейна</t>
  </si>
  <si>
    <t>Дави Педро Бауэр</t>
  </si>
  <si>
    <t>Начало работы с Ethereum.pdf</t>
  </si>
  <si>
    <t>Книга Дави Педро Бауэра представляет собой пошаговое руководство для начинающих разработчиков, желающих освоить создание смарт-контрактов и токенов на платформе Ethereum. В ней рассматриваются установка необходимых инструментов (VS Code, Docker, Truffle, Ganache, MetaMask), основы языка Solidity, а также практические примеры создания и развертывания токенов стандарта ERC-20 в тестовых и рабочих сетях, включая Polygon. Издание предназначено для новичков, делающих первые шаги в блокчейн-разработке.</t>
  </si>
  <si>
    <t>Mastering Ethereum</t>
  </si>
  <si>
    <t>Andreas M. Antonopoulos; Dr. Gavin Wood</t>
  </si>
  <si>
    <t>Осваиваем Ethereum.pdf</t>
  </si>
  <si>
    <t>Это практическое руководство по платформе Ethereum, посвященное созданию смарт-контрактов и децентрализованных приложений (DApps). Книга охватывает ключевые концепции блокчейна, работу с кошельками, клиентами Ethereum и криптографией, а также включает сравнение с Bitcoin и описание четырех стадий разработки Ethereum. Издание предназначено для разработчиков и специалистов, уже знакомых с основами блокчейна, желающих углубиться в практическое программирование на Ethereum.</t>
  </si>
  <si>
    <t>Andreas M. Antonopoulos; David A. Harding</t>
  </si>
  <si>
    <t>Осваиваем биткойн.pdf</t>
  </si>
  <si>
    <t>Третье издание книги «Осваиваем Биткойн» представляет собой техническое руководство по криптовалюте биткойн и технологии блокчейн. В книге подробно описываются децентрализованная сеть, пиринговая архитектура, жизненный цикл транзакций, принципы безопасности и майнинг. Издание включает примеры кода и методики разработки блокчейн-приложений. Книга предназначена для разработчиков, инженеров и архитекторов программных систем, а также для всех, кто хочет углубленно изучить криптовалюты.</t>
  </si>
  <si>
    <t>Освоение Lightning Network</t>
  </si>
  <si>
    <t>Андреас Н. Антонопулос; Олаулува Осунтокун; Рене Пикхард</t>
  </si>
  <si>
    <t>Освоение Lightning Network.pdf</t>
  </si>
  <si>
    <t>Книга «Освоение Lightning Network» посвящена протоколу второго уровня для биткоина, который обеспечивает мгновенные, дешёвые и приватные платежи, включая микроплатежи. В ней рассматриваются базовые концепции сети Lightning, принципы её работы, а также протоколы справедливости и безопасности, лежащие в основе децентрализованных платежей. Издание предназначено для программистов, знакомых с основами биткоина, но отдельные главы доступны и широкому кругу читателей, интересующихся блокчейном.</t>
  </si>
  <si>
    <t>Blockchain Basics: A Non-Technical Introduction in 25 Steps</t>
  </si>
  <si>
    <t>Daniel Drescher</t>
  </si>
  <si>
    <t>Основы_блокчейна_вводный_курс_для_начинающих_в_25_небольших_главах.pdf</t>
  </si>
  <si>
    <t>Книга представляет собой вводный курс по технологии блокчейн, написанный в диалоговом стиле без использования сложного жаргона. В ней последовательно разбираются ключевые концепции, такие как пиринговые и распределенные системы, структуры данных, криптография и механизмы достижения консенсуса. Материал излагается пошагово с помощью примеров и метафор, что делает его доступным для широкого круга читателей с любым уровнем технической подготовки, включая полных новичков.</t>
  </si>
  <si>
    <t>Принципы и методы технологии блокчейн в приложении к криптовалютам</t>
  </si>
  <si>
    <t>В.А. Шурыгин; И.М. Ядыкин</t>
  </si>
  <si>
    <t>Принципы_и_методы_технологии_блокчейн.pdf</t>
  </si>
  <si>
    <t>Это учебное пособие посвящено принципам и методам технологии блокчейн в приложении к криптовалютам. В книге рассматриваются терминология, протокол и свойства биткоина, способы майнинга, правовое регулирование, а также обзор бирж и обменников криптовалют. Издание предназначено для студентов технических специальностей, таких как «Информатика и вычислительная техника» и «Информационно-аналитические системы безопасности», то есть для подготовленных читателей, а не для новичков.</t>
  </si>
  <si>
    <t>Blockchain Revolution</t>
  </si>
  <si>
    <t>Tapscott, Don; Tapscott, Alex</t>
  </si>
  <si>
    <t>Penguin Random House</t>
  </si>
  <si>
    <t>Тапскот Blockchain_Revolution 1993-2010.pdf</t>
  </si>
  <si>
    <t>Книга «Blockchain Revolution» Дона и Алекса Тапскоттов посвящена технологии блокчейн, её потенциалу для трансформации финансов, бизнеса и общества, а также сравнению её влияния с интернетом. Авторы исследуют ключевые концепции, такие как децентрализованное доверие, криптовалюты и «Реестр вещей» для Интернета вещей, разбирая как возможности, так и риски технологии. Издание содержит предисловия от ведущих экспертов в области экономики, технологий и финансов, подчёркивающих его актуальность. Книга предназначена для широкой аудитории, включая новичков, желающих понять основы блокчейна, и специалистов, стремящихся к углублённому анализу его применения.</t>
  </si>
  <si>
    <t>Тиана Лоуренс</t>
  </si>
  <si>
    <t>Тиана_Лоуренс БлокЧейн для чайников.pdf</t>
  </si>
  <si>
    <t>Книга «Блокчейн для чайников» Тианы Лоуренс представляет собой вводное руководство по технологии блокчейн, объясняющее её базовые принципы и возможности применения. В ней рассматриваются ключевые концепции, такие как распределённый реестр, механизмы консенсуса и криптография, а также практические примеры использования в финансах, логистике и других сферах. Издание ориентировано на новичков, не имеющих специальных технических знаний, и написано простым, доступным языком.</t>
  </si>
  <si>
    <t>Экономика знаний. Блокчейн и умные контракты</t>
  </si>
  <si>
    <t>Солодов А.В; Мунистер В.Д.</t>
  </si>
  <si>
    <t>Экономика_знаний_Блокчейн_и_умные_контракты.pdf</t>
  </si>
  <si>
    <t>Книга посвящена исследованию применения технологии блокчейн и умных контрактов в сфере образования и науки. Авторы анализируют правовое положение криптовалют, устройство блокчейна и смарт-контрактов, а также описывают подходы к решению проблем в этих областях с помощью цифровых технологий. Издание предназначено для читателей, начинающих знакомство с темой, и содержит как теоретические модели, так и практический модуль для разработки реальных проектов.</t>
  </si>
  <si>
    <t>Building Ethereum Dapps: Decentralized applications on the Ethereum blockchain</t>
  </si>
  <si>
    <t>Roberto Infante</t>
  </si>
  <si>
    <t>Блокчейн/Разработка</t>
  </si>
  <si>
    <t>Разработка</t>
  </si>
  <si>
    <t>Infante_R_Building_Ethereum_Dapps_Decentralized_applications_on.pdf</t>
  </si>
  <si>
    <t>C:\Users\alexa\YandexDisk\Книги\Блокчейн\Разработка</t>
  </si>
  <si>
    <t>Книга Роберто Инфанте посвящена созданию децентрализованных приложений (dapps) на блокчейне Ethereum. Автор рассматривает сложный процесс разработки, опираясь на ключевые концепции блокчейна, такие как «разрешение на инновации» и «переосмысление доверия», а также затрагивает историю развития технологии от Биткоина до Ethereum. Издание предназначено для разработчиков, уже имеющих опыт программирования, которые хотят освоить создание dapps и внести вклад в развитие этой быстрорастущей, но пока медленно внедряемой технологии.</t>
  </si>
  <si>
    <t>Блокчеин Руководствo для разработчиков 2020</t>
  </si>
  <si>
    <t>Блокчеин Руководствo для разработчиков 2020.pdf</t>
  </si>
  <si>
    <t>Данный фрагмент книги представляет собой техническое руководство по блокчейну для разработчиков. Ключевые концепции, вероятно, охватывают архитектуру распределенного реестра, механизмы консенсуса и смарт-контракты. Книга предназначена для специалистов, уже имеющих опыт программирования, и углубляется в практические аспекты разработки на блокчейн-платформах.</t>
  </si>
  <si>
    <t>Блокчейн. Разработка приложений</t>
  </si>
  <si>
    <t>Нараян Прасти</t>
  </si>
  <si>
    <t>Блокчейн. Разработка приложений.pdf</t>
  </si>
  <si>
    <t>Эта книга представляет собой практическое руководство по разработке децентрализованных приложений (ДП) на платформе Ethereum. В ней подробно рассматриваются ключевые концепции: написание смарт-контрактов на языке Solidity, работа с интерактивной консолью Geth и библиотекой web3.js, а также использование среды разработки Truffle. Отдельное внимание уделяется созданию сервиса кошелька и развертыванию приложений корпоративного уровня. Издание предназначено для программистов, преподавателей, студентов и специалистов отделов развития, уже имеющих базовые навыки в разработке.</t>
  </si>
  <si>
    <t>Блокчейн. Руководство для начинающих разработчиков</t>
  </si>
  <si>
    <t>Блокчейн. Руководство для начинающих разработчиков.pdf</t>
  </si>
  <si>
    <t>Данная книга представляет собой руководство по технологии блокчейн, ориентированное на начинающих разработчиков. В ней рассматриваются ключевые концепции, такие как структура блоков, механизмы консенсуса, криптография и смарт-контракты. Основное внимание уделяется практическим аспектам создания и развертывания децентрализованных приложений. Издание предназначено для новичков, желающих освоить основы разработки на блокчейне.</t>
  </si>
  <si>
    <t>Разработка смарт-контрактов в Ethereum</t>
  </si>
  <si>
    <t>Тимур Машнин</t>
  </si>
  <si>
    <t>Разработка_смарт_контрактов_в_Ethereum 2022.pdf</t>
  </si>
  <si>
    <t>Книга Тимура Машнина посвящена разработке смарт-контрактов на платформе Ethereum, начиная с объяснения её отличий от Bitcoin и заканчивая практическим созданием децентрализованных приложений (Dapp). В ней подробно рассматриваются ключевые концепции: язык Solidity, среда разработки Remix, стандарты токенов (ERC-20, ERC-721, ERC-1155), а также такие темы, как NFT, флэш-кредиты и создание собственной криптовалюты. Материал ориентирован на новичков и разработчиков, желающих освоить инструментарий Ethereum и научиться программировать смарт-контракты с нуля.</t>
  </si>
  <si>
    <t>Angular для профессионалов</t>
  </si>
  <si>
    <t>Адам Фримен</t>
  </si>
  <si>
    <t>Веб-разработка/Angular</t>
  </si>
  <si>
    <t>Веб-разработка</t>
  </si>
  <si>
    <t>Angular</t>
  </si>
  <si>
    <t>Angular для профессионалов.pdf</t>
  </si>
  <si>
    <t>C:\Users\alexa\YandexDisk\Книги\Веб-разработка\Angular</t>
  </si>
  <si>
    <t>Книга Адама Фримена «Angular для профессионалов» представляет собой исчерпывающее руководство по фреймворку Angular для создания динамических веб-приложений на JavaScript. Автор последовательно раскрывает ключевые концепции, начиная с основ MVC и заканчивая продвинутыми темами, такими как привязка данных, директивы, компоненты, службы, маршрутизация, анимация и модульное тестирование. Издание предназначено для опытных разработчиков, желающих углубить свои знания и освоить все возможности Angular для эффективной работы.</t>
  </si>
  <si>
    <t>Angular и TypeScript. Сайтостроение для профессионалов</t>
  </si>
  <si>
    <t>Яков Файн; Антон Моисеев</t>
  </si>
  <si>
    <t>Angular и TypeScript.pdf</t>
  </si>
  <si>
    <t>Книга «Angular и TypeScript. Сайтостроение для профессионалов» посвящена разработке веб-приложений с использованием фреймворка Angular и языка TypeScript. В ней рассматриваются ключевые концепции, такие как маршрутизация, внедрение зависимостей, работа с формами, HTTP и WebSockets, а также модульное тестирование и упаковка приложений с помощью Webpack. Издание предназначено для веб-разработчиков, уже знакомых с JavaScript, и не требует предварительных знаний TypeScript или AngularJS.</t>
  </si>
  <si>
    <t>Angular 2 Cookbook</t>
  </si>
  <si>
    <t>Мэтт Фрисби</t>
  </si>
  <si>
    <t>Angular_Сборник_рецептов_2018.pdf</t>
  </si>
  <si>
    <t>Книга «Angular. Сборник рецептов» Мэтта Фрисби представляет собой практическое руководство по фреймворку Angular 2, охватывающее стратегии миграции с AngularJS, работу с компонентами, директивами, формами, маршрутизацией, тестированием и производительностью. Ключевые разделы включают создание реактивных форм, использование наблюдаемых объектов из библиотеки ReactiveX, внедрение зависимостей и организацию приложений. Издание предназначено для разработчиков, уже знакомых с основами JavaScript и Angular, желающих углубить знания через готовые рецепты и примеры кода.</t>
  </si>
  <si>
    <t>Building Offline Applications with Angular: Develop Reliable, Performant Web Applications for Desktop and Mobile Platforms</t>
  </si>
  <si>
    <t>Venkata Keerti Kotaru</t>
  </si>
  <si>
    <t>Building_Offline_Applications_with_Angular_Develop_Reliable,_Performant.pdf</t>
  </si>
  <si>
    <t>Книга Венкаты Кеерти Котару посвящена созданию надёжных веб-приложений на Angular, устойчивых к изменениям сетевого подключения и работающих в офлайн-режиме. Ключевые концепции включают использование сервис-воркеров, кэширование данных в IndexedDB (в том числе с помощью обёртки Dexie.js), а также создание устанавливаемых прогрессивных веб-приложений. Издание предназначено как для начинающих, так и для более опытных разработчиков, желающих освоить современные подходы к построению офлайн-функциональности.</t>
  </si>
  <si>
    <t>Learning Angular, Third Edition</t>
  </si>
  <si>
    <t>Aristeidis Bampakos; Pablo Deeleman</t>
  </si>
  <si>
    <t>Learning_Angular,_3rd_Edition_A_no_nonsense_beginner’s_guide_to.pdf</t>
  </si>
  <si>
    <t>Это фрагмент официальных выходных данных и введения к книге «Learning Angular, Third Edition», которая представляет собой практическое руководство для начинающих по созданию веб-приложений с использованием Angular 10 и TypeScript. Книга охватывает ключевые концепции фреймворка, такие как работа с компонентами, TypeScript и Angular Material, и предназначена для новичков, желающих освоить Angular с нуля.</t>
  </si>
  <si>
    <t>Pro Angular 16</t>
  </si>
  <si>
    <t>Adam Freeman</t>
  </si>
  <si>
    <t>Pro_Angular_16.pdf</t>
  </si>
  <si>
    <t>Книга «Pro Angular 16» Адама Фримена посвящена фреймворку Angular 16 и предназначена для опытных веб-разработчиков, уже знакомых с основами программирования. Ключевой концепцией издания является внедрение сигналов (signals), которые изменяют подход к отслеживанию изменений данных. Книга разделена на три части: знакомство с Angular и создание первого приложения, подробный разбор встроенных компонентов и возможностей настройки, а также продвинутые функции, включая HTTP-запросы, маршрутизацию и модульное тестирование.</t>
  </si>
  <si>
    <t>Learning Angular 2</t>
  </si>
  <si>
    <t>Pablo Deeleman</t>
  </si>
  <si>
    <t>Дилеман Изучаем angular-2 2017.pdf</t>
  </si>
  <si>
    <t>Книга Пабло Дилемана «Изучаем Angular 2» представляет собой практическое руководство по созданию современных веб-приложений с использованием фреймворка Angular 2, полностью переписанного для повышения производительности. В издании последовательно рассматриваются ключевые концепции: создание компонентов на TypeScript, настройка маршрутизации, работа с формами и аутентификация пользователей, а также анимация и модульное тестирование. Книга предназначена для веб-разработчиков, желающих освоить разработку мобильных и настольных приложений следующего поколения на Angular 2.</t>
  </si>
  <si>
    <t>Фримен - Angular для профессионалов - 2018.pdf</t>
  </si>
  <si>
    <t>Книга Адама Фримена «Angular для профессионалов» представляет собой исчерпывающее руководство по фреймворку Angular для создания динамических веб-приложений на JavaScript. Ключевые концепции включают архитектуру MVC, привязки данных, директивы, компоненты, службы, маршрутизацию, анимацию и модульное тестирование, а также практическое создание реального приложения SportsStore. Издание предназначено для опытных разработчиков, уже знакомых с основами веб-разработки, которые хотят углубленно изучить Angular и его продвинутые возможности.</t>
  </si>
  <si>
    <t>WordPress с нуля</t>
  </si>
  <si>
    <t>Молочков В. П.</t>
  </si>
  <si>
    <t>Веб-разработка/Backend</t>
  </si>
  <si>
    <t>Backend</t>
  </si>
  <si>
    <t>!WordPress с нуля 2021.pdf</t>
  </si>
  <si>
    <t>C:\Users\alexa\YandexDisk\Книги\Веб-разработка\Backend</t>
  </si>
  <si>
    <t>Книга Владимира Молочкова «WordPress с нуля» представляет собой практическое руководство по созданию сайтов на системе управления контентом WordPress, предназначенное для начинающих пользователей без опыта программирования. В ней подробно рассматриваются установка и настройка локальных серверов Denwer и OpenServer, работа с темами и плагинами, а также создание различных типов сайтов, включая блоги, визитки и интернет-магазины. Отдельное внимание уделяется адаптации дизайна под мобильные устройства, выбору хостинга и переносу сайта в интернет. Материал ориентирован на новичков, желающих освоить создание сайтов с нуля.</t>
  </si>
  <si>
    <t>Designing APIs with Swagger and OpenAPI</t>
  </si>
  <si>
    <t>Joshua S. Ponelat; Lukas L. Rosenstock</t>
  </si>
  <si>
    <t>Designing APIs with Swagger and OpenAPI 2022.pdf</t>
  </si>
  <si>
    <t>Эта книга посвящена проектированию и описанию API с использованием спецификации OpenAPI и инструментов Swagger. В ней рассматриваются ключевые концепции, такие как структура OpenAPI-документа, описание эндпоинтов, параметров, схем данных, аутентификации и версионирования, а также практика подхода «design-first» (сначала дизайн, потом код). Издание предназначено для разработчиков и архитекторов, уже имеющих базовый опыт работы с API, которые хотят освоить современные стандарты документирования и автоматизации.</t>
  </si>
  <si>
    <t>Fullstack GraphQL Applications with React, Node.js, and Neo4j</t>
  </si>
  <si>
    <t>William Lyon</t>
  </si>
  <si>
    <t>Full Stack GraphQL Applications V9 2022.pdf</t>
  </si>
  <si>
    <t>Книга Уильяма Лайона посвящена созданию полнофункциональных приложений с использованием стека GRANDstack (GraphQL, React, Apollo и Neo4j). Автор последовательно рассматривает проектирование GraphQL-схемы, интеграцию с графовой базой данных Neo4j, построение фронтенда на React с Apollo Client, а также вопросы авторизации, развертывания и продвинутые темы вроде лимитирования запросов. Издание предназначено для разработчиков, знакомых с основами Node.js и клиентского JavaScript, желающих освоить построение сложных, насыщенных данными приложений с использованием графовой модели данных на всех уровнях.</t>
  </si>
  <si>
    <t>HTTP/2 в действии</t>
  </si>
  <si>
    <t>HTTP 2 в действии 2021.pdf</t>
  </si>
  <si>
    <t>Книга «HTTP/2 в действии» представляет собой практическое руководство по новому стандарту протокола HTTP/2, который заменил HTTP/1.1 и предлагает улучшения в скорости, безопасности и эффективности за счет таких концепций, как поддержка потоков, server push, сжатие заголовков и приоритизация. Издание разделено на четыре части, охватывающие переход на HTTP/2, его использование (включая фреймы, мультиплексирование и push), продвинутые возможности (например, сжатие HPACK) и будущее протокола (QUIC и HTTP/3). Книга предназначена для веб-разработчиков и администраторов веб-сайтов, как для начинающих, так и для специалистов, желающих освоить оптимизацию веб-производительности.</t>
  </si>
  <si>
    <t>Node.js, Express, MongoDB и React. 23 урока для начинающих</t>
  </si>
  <si>
    <t>Дронов В. А.</t>
  </si>
  <si>
    <t>Node.js, Express, MongoDB и React. 23 урока.pdf</t>
  </si>
  <si>
    <t>Эта книга представляет собой практическое руководство по созданию веб-приложений с использованием стека MERN (Node.js, Express, MongoDB и React). Она состоит из 23 уроков, охватывающих основы серверного программирования на Node.js, работу с фреймворком Express, базами данных MongoDB и построение клиентской части на React. Книга предназначена для начинающих веб-разработчиков и содержит более 40 практических упражнений и заданий для самостоятельной работы.</t>
  </si>
  <si>
    <t>Web-программирование на Python</t>
  </si>
  <si>
    <t>Янцев В. В.</t>
  </si>
  <si>
    <t>Web-программирование на Python.pdf</t>
  </si>
  <si>
    <t>Книга представляет собой учебное пособие по веб-программированию на «чистом» Python, без использования фреймворков. Ключевые разделы охватывают настройку среды разработки (Apache, Python, Notepad++), основы синтаксиса (переменные, операторы, строки, списки, функции) и создание практических проектов, включая написание простого работоспособного сайта. Издание предназначено для студентов среднего профессионального образования и новичков, желающих освоить веб-разработку на Python с нуля.</t>
  </si>
  <si>
    <t>Web API Development with Python: A Beginner's Guide using Flask and FastAPI</t>
  </si>
  <si>
    <t>Haider, Rehan</t>
  </si>
  <si>
    <t>CloudBytes</t>
  </si>
  <si>
    <t>Web_API_Development_with_Python_A_Beginners_Guide.pdf</t>
  </si>
  <si>
    <t>Эта книга представляет собой практическое руководство для начинающих по созданию веб-API на Python с использованием фреймворков Flask и FastAPI. Она разделена на три части: введение в концепции API, взаимодействие с существующими API и, основная часть, пошаговое создание собственных API (от простых до асинхронных). Книга предназначена для новичков, имеющих базовые навыки программирования, и фокусируется на обучении через практические примеры и выполнение заданий.</t>
  </si>
  <si>
    <t>WordPress с нуля.pdf</t>
  </si>
  <si>
    <t>Книга Владимира Молочкова представляет собой практическое руководство по созданию сайтов на CMS WordPress, начиная с установки локальных серверов Denwer и OpenServer. В ней подробно рассматриваются настройка тем и плагинов, разработка собственных шаблонов, создание различных типов сайтов (от визитки до интернет-магазина) и перенос готового проекта на хостинг. Ключевые разделы включают работу с базами данных, адаптацию дизайна под мобильные устройства и обзор популярных плагинов. Издание ориентировано на начинающих разработчиков, не требующих профессиональных знаний в программировании и дизайне.</t>
  </si>
  <si>
    <t>GraphQL: язык запросов для современных веб-приложений</t>
  </si>
  <si>
    <t>Алекс Бэнкс; Ева Порселло</t>
  </si>
  <si>
    <t>Алекс_Бэнкс GraphQL_Язык_запросов_для_современных_веб_приложений 2019.pdf</t>
  </si>
  <si>
    <t>Книга Алекса Бэнкса и Евы Порселло «GraphQL: язык запросов для современных веб-приложений» представляет собой практическое руководство по технологии GraphQL, которая является альтернативой REST и предназначена для эффективной передачи данных по HTTP. В издании рассматриваются теория графов, анатомия запросов, построение схем и API, а также работа с клиентами GraphQL и применение технологии в реальных проектах. Книга ориентирована на веб-разработчиков, уже знакомых с основами программирования, и подходит как для новичков, желающих освоить GraphQL, так и для специалистов, стремящихся углубить свои знания.</t>
  </si>
  <si>
    <t>Веб-разработка с применением Node и Express. Полноценное использование стека JavaScript</t>
  </si>
  <si>
    <t>Браун Итан</t>
  </si>
  <si>
    <t>Веб-разработка с использованием Node и Express.pdf</t>
  </si>
  <si>
    <t>Эта книга посвящена веб-разработке с использованием стека JavaScript, а именно фреймворка Express и платформы Node. В ней рассматриваются ключевые концепции, такие как маршрутизация, шаблонизация, обработка форм, работа с базами данных, безопасность и создание REST API. Издание предназначено для программистов, имеющих небольшой опыт работы с JavaScript, но не требует предварительного знакомства с Node.</t>
  </si>
  <si>
    <t>Web Development with Node and Express: Leveraging the JavaScript Stack</t>
  </si>
  <si>
    <t>Ethan Brown</t>
  </si>
  <si>
    <t>Веб_разработка_с_применением_Node_и_Express -2021.pdf</t>
  </si>
  <si>
    <t>Книга Итана Брауна посвящена созданию динамических веб-приложений с использованием фреймворка Express и стека JavaScript на Node.js. В ней рассматриваются ключевые концепции, такие как серверный рендеринг, разработка REST API, работа с шаблонизатором Handlebars, обработка форм, cookie и сеансы, а также вопросы безопасности и ввода в эксплуатацию. Издание предназначено как для фронтенд-, так и для бэкенд-разработчиков, имеющих базовые знания JavaScript и желающих освоить Express на профессиональном уровне.</t>
  </si>
  <si>
    <t>Разработка веб-приложений</t>
  </si>
  <si>
    <t>Разработка веб-приложений 2020.pdf</t>
  </si>
  <si>
    <t>Building Web Apps with WordPress</t>
  </si>
  <si>
    <t>Brian Messenlehner; Jason Coleman</t>
  </si>
  <si>
    <t>Разработка_веб_приложений_на_WordPress.pdf</t>
  </si>
  <si>
    <t>Книга Брайана Мессенленера и Джейсона Коулмана посвящена использованию WordPress в качестве фреймворка для создания веб-приложений, включая мобильные и прогрессивные. Рассматриваются структура каталогов и базы данных, типы записей, таксономии, разработка тем с адаптивным дизайном, работа с REST API, JavaScript-фреймворки, вопросы безопасности и масштабирования, а также проект Gutenberg. Издание предназначено для веб-разработчиков, уже знакомых с основами WordPress и желающих углубить свои знания для создания полноценных приложений.</t>
  </si>
  <si>
    <t>Свой сайт на Wordpress: легко, быстро, бесплатно</t>
  </si>
  <si>
    <t>Маргарита Козодой</t>
  </si>
  <si>
    <t>Свой_сайт_на_Wordpress_легко,_быстро,_бесплатно.pdf</t>
  </si>
  <si>
    <t>Книга Маргариты Козодой представляет собой практическое руководство по созданию сайта на бесплатном хостинге с помощью системы управления контентом WordPress, ориентированное на новичков без навыков программирования. В 13 шагов автор на примере сайта рукодельницы или маленькой фирмы объясняет регистрацию, установку движка, создание страниц и записей, а также добавление видео, карт и интерактивных элементов, таких как пазл. Ключевые разделы включают обоснование выбора WordPress (бесплатный, гибкий, популярный), различие между сайтом и интернет-магазином, а также способы взаимодействия с посетителями и интеграцию с соцсетями. Книга предназначена для педагогов, школьников, предпринимателей и всех, кто хочет самостоятельно создать личный или проектный сайт без финансовых затрат.</t>
  </si>
  <si>
    <t>A Semantic Web Primer</t>
  </si>
  <si>
    <t>Grigoris Antoniou; Paul Groth; Frank van Harmelen; Rinke Hoekstra</t>
  </si>
  <si>
    <t>Семантический веб.pdf</t>
  </si>
  <si>
    <t>Книга представляет собой всестороннее руководство по инициативе W3C «Семантический веб», описывающее переход к новому этапу развития интернета. В ней систематически рассматриваются ключевые технологии, такие как RDF, RDFS, SPARQL и OWL2, а также принципы логического вывода и онтологического инжиниринга. Издание предназначено для студентов, преподавателей и веб-разработчиков, предполагая начальные навыки веб-разработки и знание основ баз данных и математической логики.</t>
  </si>
  <si>
    <t>Learning PHP, MySQL &amp; JavaScript</t>
  </si>
  <si>
    <t>Robin Nixon</t>
  </si>
  <si>
    <t>Создаем динамические веб-сайты.pdf</t>
  </si>
  <si>
    <t>Это седьмое издание практического руководства Робина Никсона по созданию динамических веб-сайтов с использованием стека технологий: PHP, MySQL, JavaScript, CSS и HTML5. Книга охватывает ключевые концепции от установки сервера и основ PHP до работы с базами данных MySQL, обработки форм, аутентификации, асинхронного обмена данными и продвинутой стилизации с помощью CSS. Издание предназначено для читателей, владеющих лишь основами HTML, и позволяет освоить динамическое веб-программирование с нуля до создания полноценного сайта социальной сети.</t>
  </si>
  <si>
    <t>Стек MEAN. Mongo, Express, Angular, Node</t>
  </si>
  <si>
    <t>Холмс С.</t>
  </si>
  <si>
    <t>Стек MEAN. Mongo, Express, Angular, Node.pdf</t>
  </si>
  <si>
    <t>Книга Симона Холмса посвящена разработке веб-приложений с использованием стека MEAN, который объединяет MongoDB, Express, Angular и Node.js на едином языке JavaScript. В ней рассматриваются ключевые концепции full-stack разработки, включая проектирование архитектуры, создание статических сайтов и REST API, работу с базами данных MongoDB через Mongoose, а также интеграцию динамических компонентов Angular для построения одностраничных приложений. Отдельное внимание уделяется вопросам аутентификации пользователей и обеспечения безопасности API. Издание предназначено для программистов, уже знакомых с основами веб-разработки и желающих освоить современный стек технологий на JavaScript.</t>
  </si>
  <si>
    <t>Django 4 By Example</t>
  </si>
  <si>
    <t>Antonio Melé</t>
  </si>
  <si>
    <t>Веб-разработка/Django</t>
  </si>
  <si>
    <t>Django</t>
  </si>
  <si>
    <t>Django 4 в примерах [2023] Антонио Меле.pdf</t>
  </si>
  <si>
    <t>C:\Users\alexa\YandexDisk\Книги\Веб-разработка\Django</t>
  </si>
  <si>
    <t>Книга Антонио Меле «Django 4 в примерах» посвящена созданию веб-приложений на Python с использованием фреймворка Django. В ней рассматриваются четыре практических проекта разной направленности: приложение для блога, сайт электронной коммерции, социальная сеть и платформа электронного обучения. Издание предназначено для читателей с базовыми знаниями Python, а также для программистов, переходящих на Django с других фреймворков или желающих углубить свои навыки.</t>
  </si>
  <si>
    <t>Django RESTful Web Services</t>
  </si>
  <si>
    <t>Gaston C. Hillar</t>
  </si>
  <si>
    <t>Django-RESTful-Web-Services_RuLit_Me_618227.epub</t>
  </si>
  <si>
    <t>Книга Gaston C. Hillar «Django RESTful Web Services» посвящена созданию RESTful API и веб-сервисов на Python с использованием фреймворка Django. В ней рассматриваются практические подходы к разработке, вероятно, включая настройку проектов, сериализацию данных и работу с запросами. Издание ориентировано на разработчиков, уже знакомых с Python и Django, желающих освоить создание современных веб-сервисов.</t>
  </si>
  <si>
    <t>Django 4 for the Impatient: Learn the Core Concepts of Python Web Development with Django in One Weekend</t>
  </si>
  <si>
    <t>Greg Lim; Daniel Correa</t>
  </si>
  <si>
    <t>Django_4_for_the_Impatient_Learn_the_Core_Concepts_of_Python_Web.pdf</t>
  </si>
  <si>
    <t>Книга «Django 4 for the Impatient» посвящена основам веб-разработки на Python с использованием фреймворка Django. В ней рассматриваются ключевые концепции, такие как структура проекта, управление URL-адресами, создание HTML-шаблонов, работа с моделями и админ-панелью. Издание предназначено для новичков, желающих быстро освоить Django за короткое время, например, за выходные.</t>
  </si>
  <si>
    <t>Django for APIs</t>
  </si>
  <si>
    <t>William S. Vincent</t>
  </si>
  <si>
    <t>Django_for_APIs_Build_Web_APIs_with_Python 2019.pdf</t>
  </si>
  <si>
    <t>Эта книга Уильяма Винсента посвящена созданию RESTful веб-API с использованием Django и Django REST Framework, начиная с основ и заканчивая продвинутыми темами, такими как аутентификация, разрешения, ViewSets и документация. Ключевые разделы охватывают переход от традиционного Django к API, создание блога и Todo-приложения, а также интеграцию с фронтендом на React. Книга предназначена для начинающих разработчиков, уже знакомых с основами Django и Python, которые хотят освоить современный «API-first» подход к веб-разработке.</t>
  </si>
  <si>
    <t>Django: практика создания Web-сайтов на Python</t>
  </si>
  <si>
    <t>Дронов В.А.</t>
  </si>
  <si>
    <t>Django_Практика_создания_Web_сайтов_на_Python.pdf</t>
  </si>
  <si>
    <t>Книга Владимира Дронова посвящена практической разработке веб-сайтов на языке Python с использованием библиотеки Django. В ней рассматриваются ключевые концепции фреймворка: создание моделей, контроллеров и шаблонов, работа с формами и выгрузкой файлов, разграничение доступа, а также более продвинутые темы, такие как форматирование BBCode, отправка электронной почты и создание полнофункционального сайта на AJAX. Издание предназначено для широкого круга веб-программистов, уже знакомых с основами Python и желающих освоить практическое применение Django для создания коммерческих проектов.</t>
  </si>
  <si>
    <t>Python, Django и Bootstrap для начинающих</t>
  </si>
  <si>
    <t>Анатолий Постолит</t>
  </si>
  <si>
    <t>Python, Django и Bootstrap для начинающих.pdf</t>
  </si>
  <si>
    <t>Книга Анатолия Постолита посвящена разработке веб-приложений с использованием языка Python, фреймворков Django и Bootstrap, а также среды PyCharm. В ней рассматриваются установка инструментов, основы веб-технологий, HTML, CSS и JavaScript, а также создание шаблонов, работа с базами данных через модели Django и пошаговое создание сайта с развертыванием в интернете. Издание предназначено для начинающих программистов, желающих освоить создание веб-приложений.</t>
  </si>
  <si>
    <t>Python, Django и PyCharm для начинающих</t>
  </si>
  <si>
    <t>Постолит А. В.</t>
  </si>
  <si>
    <t>Python, Django, PyCharm.pdf</t>
  </si>
  <si>
    <t>Книга Анатолия Постолита посвящена основам разработки веб-приложений с использованием языка Python, фреймворка Django и среды разработки PyCharm. В ней рассматриваются базовые веб-технологии (HTML, CSS, JavaScript), установка инструментов, основы Python, а также ключевые концепции Django, включая маршрутизацию, шаблоны, формы и работу с базами данных через модели. Издание предназначено для начинающих программистов, желающих освоить создание веб-сайтов с нуля.</t>
  </si>
  <si>
    <t>Secure Web Application Development: A Hands-On Guide with Python and Django</t>
  </si>
  <si>
    <t>Matthew Baker</t>
  </si>
  <si>
    <t>Secure Web Application Development.pdf</t>
  </si>
  <si>
    <t>Книга Мэтью Бейкера посвящена практическим аспектам создания безопасных веб-приложений с использованием Python и Django. В ней рассматриваются типы атак (серверные и клиентские), принцип многоуровневой защиты (Defense in Depth) и предоставляется практическая среда для отработки навыков. Издание предназначено для разработчиков, уже знакомых с основами веб-разработки и желающих углубить знания в области безопасности.</t>
  </si>
  <si>
    <t>Владимир Дронов</t>
  </si>
  <si>
    <t>Владимир_Дронов_Django_практика.pdf</t>
  </si>
  <si>
    <t>Книга Владимира Дронова «Django. Практика» посвящена практическому освоению веб-фреймворка Django. В ней рассматриваются ключевые концепции, такие как модели, представления, шаблоны и маршрутизация, а также работа с базами данных и админ-панелью. Издание ориентировано на разработчиков, уже имеющих базовые знания Python и желающих углубиться в создание веб-приложений на Django.</t>
  </si>
  <si>
    <t>Django 3.0. Практика создания веб-сайтов на Python</t>
  </si>
  <si>
    <t>Дронов Практика создания сайтов на Python 2021.pdf</t>
  </si>
  <si>
    <t>Книга Владимира Дронова посвящена практическому созданию веб-сайтов на языке Python с использованием фреймворка Django 3.0. В ней подробно рассматриваются ключевые компоненты Django: модели, контроллеры, шаблоны, формы, а также дополнительные инструменты, такие как REST-службы, аутентификация через соцсети и работа с базами данных. Издание предназначено для веб-программистов, уже имеющих базовые знания, и включает создание полнофункционального проекта — электронной доски объявлений.</t>
  </si>
  <si>
    <t>Форсье Д.; Биссекс П.; Чан У</t>
  </si>
  <si>
    <t>Форсье_Д_,_Биссекс_П_,_Чан_У_Django.djvu</t>
  </si>
  <si>
    <t>Книга посвящена практическому освоению веб-фреймворка Django на языке Python. В ней рассматриваются ключевые концепции, такие как модели, представления, шаблоны, маршрутизация URL и работа с базами данных, а также разбираются примеры создания реальных проектов. Издание ориентировано на разработчиков, уже знакомых с основами Python, и подходит как для новичков в веб-разработке, так и для специалистов, желающих углубить знания в Django.</t>
  </si>
  <si>
    <t>Bootstrap и CSS-препроцессор Sass. Самое необходимое</t>
  </si>
  <si>
    <t>Прохоренок Н. А.</t>
  </si>
  <si>
    <t>Веб-разработка/Frontend</t>
  </si>
  <si>
    <t>Frontend</t>
  </si>
  <si>
    <t>Bootstrap и CSS-препроцессор Sass 2022.pdf</t>
  </si>
  <si>
    <t>C:\Users\alexa\YandexDisk\Книги\Веб-разработка\Frontend</t>
  </si>
  <si>
    <t>Книга Николая Прохоренка посвящена разработке адаптивных веб-сайтов с использованием библиотеки Bootstrap и CSS-препроцессора Sass. В ней подробно рассматриваются система сеток на flex-контейнерах, стилевое оформление элементов, готовые компоненты Bootstrap (панели навигации, карточки, карусель, модальные окна), а также сборка SCSS-файлов под конкретный проект. Издание содержит множество практических примеров, хорошо структурировано и подойдет как для начинающих, так и для опытных веб-разработчиков, желающих систематизировать знания.</t>
  </si>
  <si>
    <t>Building Micro-Frontends</t>
  </si>
  <si>
    <t>Luca Mezzalira</t>
  </si>
  <si>
    <t>Building Micro-Front... by Mezzalira  Luca.pdf</t>
  </si>
  <si>
    <t>Книга Луки Меццалиры «Building Micro-Frontends» посвящена архитектуре микросервисов на клиентской стороне. В четвёртой главе рассматривается применение фреймворка для принятия решений, который помогает выбрать между вертикальным и горизонтальным разделением приложения. Вертикальное разделение подходит для проектов с единым пользовательским опытом, где оболочка приложения управляет глобальной маршрутизацией, а горизонтальное — для случаев, требующих повторного использования поддоменов, SEO или работы с большими командами разработчиков. Книга предназначена для специалистов, уже знакомых с разработкой одностраничных приложений и желающих освоить микросервисную архитектуру на фронтенде.</t>
  </si>
  <si>
    <t>CSS in Depth</t>
  </si>
  <si>
    <t>Keith J. Grant</t>
  </si>
  <si>
    <t>CSS для профи.pdf</t>
  </si>
  <si>
    <t>Книга «CSS для профи» Кита Гранта посвящена углублённому изучению каскадных таблиц стилей и предназначена для веб-разработчиков, стремящихся перейти на профессиональный уровень. В ней рассматриваются ключевые концепции: каскадность, специфичность, наследование, блочная модель, а также современные методы вёрстки, включая Flexbox, CSS-сетки и адаптивный дизайн. Отдельное внимание уделяется темам повышенной сложности: работе с фонами, тенями, шрифтами, переходами, трансформациями и анимацией. Издание ориентировано на специалистов, уже имеющих базовые знания CSS и желающих освоить продвинутые техники для создания интерактивных и отзывчивых сайтов.</t>
  </si>
  <si>
    <t>CSS – каскадные таблицы стилей. Подробное руководство</t>
  </si>
  <si>
    <t>Эрик А. Мейер</t>
  </si>
  <si>
    <t>CSS_каскадные_таблицы_стилей 2018.pdf</t>
  </si>
  <si>
    <t>Это третье издание подробного руководства по каскадным таблицам стилей (CSS) от признанного эксперта Эрика Мейера, посвященное визуальному оформлению веб-документов. Книга охватывает стандарты CSS2 и CSS2.1, включая такие ключевые темы, как селекторы, каскад и наследование, модель блоков, шрифты и позиционирование, а также новые селекторы CSS3. Издание содержит множество примеров и рекомендаций по поддержке различными браузерами, выступая в роли полного справочника. Книга будет полезна как опытным веб-разработчикам, так и новичкам, владеющим основами HTML 4.0.</t>
  </si>
  <si>
    <t>Figma: проектирование и прототипирование интерфейсов в соответствии с принципами UX/UI</t>
  </si>
  <si>
    <t>Фабио Стаяно</t>
  </si>
  <si>
    <t>Figma проектирование.pdf</t>
  </si>
  <si>
    <t>Книга Фабио Стаяно посвящена проектированию и прототипированию интерфейсов в Figma с применением принципов UX/UI. В ней рассматриваются такие ключевые концепции, как работа с переменными, условное прототипирование, инструменты искусственного интеллекта, а также создание интерактивных прототипов и организация командной работы. Издание адресовано как начинающим UX/UI-дизайнерам, так и опытным специалистам, желающим освоить Figma или перейти на неё с других сред разработки.</t>
  </si>
  <si>
    <t>Front-end. Клиентская разработка для профессионалов. Node.js, ES6, REST</t>
  </si>
  <si>
    <t>Крис Аквино; Тодд Ганди</t>
  </si>
  <si>
    <t>Front_end_Клиентская разработка для профессионалов_Node_js_ES6.pdf</t>
  </si>
  <si>
    <t>Книга «Front-end. Клиентская разработка для профессионалов» посвящена современным практикам создания клиентской части веб-приложений с использованием JavaScript, HTML5 и CSS3. В ней рассматриваются такие ключевые технологии, как Node.js, ES6 и REST, а также описывается настройка среды разработки, работа с инструментами Chrome и стилями. Издание предназначено для профессиональных разработчиков, уже имеющих базовые знания и стремящихся углубить свои навыки в создании качественного клиентского кода.</t>
  </si>
  <si>
    <t>Изучаем HTML, XHTML и CSS</t>
  </si>
  <si>
    <t>Робсон Э.; Фримен Э.</t>
  </si>
  <si>
    <t>Head First - Изучаем HTML, XHTML и CSS.pdf</t>
  </si>
  <si>
    <t>Это второе издание популярного руководства по основам веб-разработки, которое в доступной и наглядной форме (стиль Head First) обучает созданию веб-страниц с использованием HTML, XHTML и CSS, включая новейший стандарт HTML5. Книга охватывает ключевые концепции: разделение структуры (HTML) и презентации (CSS), работу с современными браузерами и мобильными устройствами, а также профессиональные приёмы для визуально привлекательного дизайна. Материал предназначен для новичков, которые хотят с нуля научиться создавать качественные веб-страницы для общения, семьи или клиентов.</t>
  </si>
  <si>
    <t>HTML, JavaScript, PHP и MySQL. Джентльменский набор Web-мастера. 5-е изд.</t>
  </si>
  <si>
    <t>Н. А. Прохоренок; В. А. Дронов</t>
  </si>
  <si>
    <t>HTML,_JavaScript,_PHP_и_MySQL_Джентльменский_набор_Web_мастера_2019.pdf</t>
  </si>
  <si>
    <t>Книга представляет собой практическое руководство по созданию интерактивных веб-сайтов с использованием технологий HTML, JavaScript, PHP и MySQL, а также форматирования страниц с помощью CSS. В пятом издании рассматриваются возможности PHP 7.2, новые инструменты JavaScript (включая рисование на холсте и локальное хранилище данных), а также актуальные версии HTML, CSS, Apache и AJAX. Особое внимание уделяется настройке веб-сервера Apache и созданию программной среды на компьютере разработчика, а также администрированию баз данных MySQL через PHP и phpMyAdmin. Издание предназначено для веб-разработчиков, как начинающих, так и более опытных специалистов, желающих освоить полный стек технологий.</t>
  </si>
  <si>
    <t>HTML5. Разработка приложений для мобильных устройств</t>
  </si>
  <si>
    <t>Э. Вейл</t>
  </si>
  <si>
    <t>HTML5_Разработка_приложений_для_мобильных_устройств.pdf</t>
  </si>
  <si>
    <t>Эта книга посвящена разработке веб-приложений и сайтов для мобильных устройств с использованием технологий HTML5 и CSS3. В ней подробно рассматриваются новые элементы HTML5, веб-формы, API (например, localStorage), масштабируемая векторная графика (SVG), холст (Canvas), а также возможности CSS3, включая адаптивный дизайн, анимацию и работу с сенсорами. Издание предназначено для веб-разработчиков, желающих освоить создание приложений, одинаково хорошо работающих на различных мобильных платформах (iOS, Android, Windows Phone) и настольных компьютерах.</t>
  </si>
  <si>
    <t>Hugo in Action</t>
  </si>
  <si>
    <t>Atishay Jain</t>
  </si>
  <si>
    <t>Hugo in Action Static sites and dynamic Jamstack apps 2022.pdf</t>
  </si>
  <si>
    <t>Книга «Hugo in Action» посвящена созданию статических сайтов и динамических Jamstack-приложений с помощью генератора статических сайтов Hugo. В первой части рассматриваются основы работы с Hugo, включая установку, управление контентом через Markdown и шаблоны, а также создание тем и модулей. Вторая часть книги охватывает расширение функциональности сайтов с помощью Jamstack: интеграцию API, использование JavaScript, создание кастомных вебхуков и добавление возможностей электронной коммерции. Издание предназначено для веб-разработчиков разного уровня, от новичков до опытных специалистов, желающих освоить современный подход к созданию быстрых и производительных сайтов.</t>
  </si>
  <si>
    <t>Javascript и jQuery. Интерактивная веб-разработка</t>
  </si>
  <si>
    <t>Джон Дакетт</t>
  </si>
  <si>
    <t>Э</t>
  </si>
  <si>
    <t>Javascript и jQuery.  ДжонДакетт 2017.pdf</t>
  </si>
  <si>
    <t>Это книга представляет собой практическое руководство по созданию интерактивных веб-сайтов с использованием языков JavaScript и библиотеки jQuery. Она охватывает основы программирования, работу с DOM, событиями, AJAX, JSON, API, а также обработку ошибок и валидацию форм. Книга предназначена для новичков, уже знакомых с HTML и CSS, и предлагает визуальный способ обучения с примерами и фрагментами кода на каждой странице.</t>
  </si>
  <si>
    <t>JavaScript для FrontEnd-разработчиков. Написание. Тестирование. Развертывание</t>
  </si>
  <si>
    <t>Кириченко А. В.</t>
  </si>
  <si>
    <t>JavaScript_ FrontEnd.pdf</t>
  </si>
  <si>
    <t>Книга Александра Кириченко посвящена созданию качественного JavaScript-кода для фронтенда, охватывая полный цикл разработки: от архитектуры и написания кода до тестирования, отладки и развертывания. Ключевые разделы включают анализ сложности кода, статический анализ с помощью JSLint, цикломатическую сложность, связанность и автоматизацию процессов. Издание будет полезно как начинающим, так и опытным JavaScript-разработчикам, стремящимся повысить качество и эффективность своего кода.</t>
  </si>
  <si>
    <t>Learning Web Design</t>
  </si>
  <si>
    <t>Jennifer Niederst Robbins</t>
  </si>
  <si>
    <t>Learning_Web_Design_A_Beginner’s_Guide_to_HTML,_CSS,_JavaScript.pdf</t>
  </si>
  <si>
    <t>Это пятое издание книги Дженнифер Роббинс «Learning Web Design», которое представляет собой практическое руководство для начинающих по современной веб-разработке. Книга охватывает основы HTML, CSS, JavaScript и веб-графики, обучая созданию веб-страниц с нуля через наглядные примеры и упражнения. Среди ключевых концепций — структура HTML, каскадные таблицы стилей, работа с изображениями, а также принципы адаптивного дизайна и доступности. Издание предназначено для новичков, желающих получить прочную основу в веб-производстве, а также для тех, кто хочет обновить свои навыки.</t>
  </si>
  <si>
    <t>UX on the Go: A Flexible Guide to User Experience Design</t>
  </si>
  <si>
    <t>Andrew Mara</t>
  </si>
  <si>
    <t>mara_andrew_ux_on_the_go_a_flexible_guide_to_user_experience.pdf</t>
  </si>
  <si>
    <t>Книга Эндрю Мары «UX on the Go» представляет собой практическое руководство по проектированию пользовательского опыта, которое учит проводить исследования пользователей и быстро создавать прототипы интерфейсов. Ключевые концепции включают три руководящих принципа дизайн-системы, прохождение полного цикла UX-проекта от сбора команды до верификации прототипа, а также 16 практических заданий для отработки навыков. Издание предназначено для новичков в UX-дизайне, а также для студентов и профессионалов в области технической коммуникации, IT, веб-дизайна и бизнеса.</t>
  </si>
  <si>
    <t>CSS. Карманный справочник</t>
  </si>
  <si>
    <t>Meyer_E_CSS_Karmanny_spravochnik.pdf</t>
  </si>
  <si>
    <t>Это четвёртое издание карманного справочника по CSS от Эрика А. Мейера, представляющее собой краткое справочное руководство по каскадным таблицам стилей. Книга охватывает основные понятия CSS, включая селекторы, значения свойств, визуальную разметку, блочную и внутристрочную модели, а также содержит подробный справочник свойств с описанием их синтаксиса и применения. Издание предназначено для веб-разработчиков и дизайнеров, уже знакомых с основами CSS, которым необходим компактный и удобный справочник для быстрой навигации по свойствам и концепциям.</t>
  </si>
  <si>
    <t>New Perspectives on HTML5 and CSS3</t>
  </si>
  <si>
    <t>Patrick Carey</t>
  </si>
  <si>
    <t>New_Perspectives_HTML5_and_CSS3_Comprehensive_Course.pdf</t>
  </si>
  <si>
    <t>Этот фрагмент представляет собой введение к учебнику «New Perspectives on HTML5 and CSS3, 7th Edition» Патрика Кэри, предназначенному для всестороннего изучения веб-технологий. Книга охватывает ключевые концепции HTML5 и CSS3, используя практический, проблемно-ориентированный подход с реальными примерами для подготовки студентов к работе за пределами класса. Издание рассчитано на учащихся, которые хотят выйти за рамки базовых навыков и освоить современные инструменты веб-разработки.</t>
  </si>
  <si>
    <t>Основы Web-Дизайна. Руководство</t>
  </si>
  <si>
    <t>Рафал Томал</t>
  </si>
  <si>
    <t>Osnovy_Web-Dizayna_Rukovodstvo.pdf</t>
  </si>
  <si>
    <t>Это руководство по веб-дизайну, в котором автор Рафал Томал делится своим отработанным процессом создания сайтов — от поиска идей и вдохновения до финального макета в Photoshop. Книга охватывает ключевые этапы работы: типографику, работу с цветом, прототипирование и сборку проекта, а также подчеркивает важность структурированного подхода вместо хаотичного творчества. Материал предназначен для начинающих и практикующих веб-дизайнеров, которые хотят систематизировать свою работу и создавать эффективные, красивые сайты.</t>
  </si>
  <si>
    <t>Successful Freelancing for Web Designers</t>
  </si>
  <si>
    <t>Robert Bowen; Tim Mercer; Cameron Chapman; Paul Boag; Andrew Follett; Sam Barnes; Graham Smith; Ryan Scherf; Aurimas Adomavicius; Andy Rutledge; Luke Reimer; Rob Smith; Jeff Gardner; Peter Smart; Aaron Griffith; Alyssa Gregory; Thursday Bram</t>
  </si>
  <si>
    <t>Successful_Freelancing_for_Web.pdf</t>
  </si>
  <si>
    <t>Эта книга представляет собой сборник статей для веб-дизайнеров и разработчиков, которые хотят превратить свои технические навыки в успешный фриланс-бизнес. Основное внимание уделяется не дизайну, а управлению проектами, общению с клиентами, маркетингу, финансовым вопросам и заключению контрактов. Ключевые разделы охватывают привычки эффективного фрилансера, типы клиентов и работу с ними, стратегии привлечения заказчиков и ценообразование. Материал предназначен как для новичков, только начинающих самостоятельную карьеру, так и для опытных специалистов, желающих улучшить свои деловые навыки.</t>
  </si>
  <si>
    <t>Svelte и Sapper в действии</t>
  </si>
  <si>
    <t>Марк Волкманн</t>
  </si>
  <si>
    <t>Svelte_и_Sapper_в_действии_2022_Марк_Волкманн.pdf</t>
  </si>
  <si>
    <t>Книга Марка Волкманна «Svelte и Sapper в действии» посвящена созданию быстрых и эффективных веб-приложений с помощью фреймворка Svelte и его серверного расширения Sapper. Ключевые концепции включают компиляцию приложений в компактные пакеты, уникальную модель управления состояниями, упрощённую маршрутизацию, разбиение кода, поддержку автономного режима и генерацию статических сайтов. Издание предназначено для веб-разработчиков уровня профессионал, желающих освоить современные инструменты для оптимизации производительности.</t>
  </si>
  <si>
    <t>The Art of Micro Frontends</t>
  </si>
  <si>
    <t>Florian Rappl</t>
  </si>
  <si>
    <t>The_Art_of_Micro_Frontends_Build_websites_using_compositional_UI.pdf</t>
  </si>
  <si>
    <t>Книга «The Art of Micro Frontends» Флориана Раппля посвящена архитектурному паттерну микрофронтендов, который позволяет создавать масштабируемые веб-приложения с помощью композиционных пользовательских интерфейсов. В ней рассматриваются ключевые концепции, такие как модульность, независимая разработка и развертывание компонентов, а также организационные и аспекты безопасности. Издание предназначено для архитекторов и опытных разработчиков, стремящихся внедрить микрофронтенды в крупных проектах, и помогает оценить преимущества и сложности этого подхода по сравнению с монолитными решениями.</t>
  </si>
  <si>
    <t>Web Coding</t>
  </si>
  <si>
    <t>Engr. Michael David</t>
  </si>
  <si>
    <t>Web Coding.pdf</t>
  </si>
  <si>
    <t>Книга представляет собой практическое руководство по веб-разработке, охватывающее основы создания сайтов. Основные разделы посвящены языку разметки HTML (включая теги, таблицы, формы), каскадным таблицам стилей CSS (селекторы, свойства), фреймворку Bootstrap (сетка, компоненты) и языку программирования JavaScript (переменные, типы данных). Материал предназначен для начинающих разработчиков, желающих освоить базовые технологии фронтенда.</t>
  </si>
  <si>
    <t>Webpack 5 Up and Running</t>
  </si>
  <si>
    <t>Tom Owens</t>
  </si>
  <si>
    <t>Webpack_5_Up_and_Running_A_quick_and_practical_introduction.pdf</t>
  </si>
  <si>
    <t>Книга «Webpack 5 Up and Running» представляет собой практическое введение в сборщик JavaScript-приложений Webpack 5. В ней рассматриваются фундаментальные концепции работы Webpack, его терминология, принципы функционирования, а также новые возможности пятой версии, включая режимы сборки. Издание предназначено для разработчиков, желающих быстро освоить настройку и использование Webpack, и подходит как для новичков, так и для специалистов, стремящихся обновить свои знания.</t>
  </si>
  <si>
    <t>Введение в проектирование пользовательских интерфейсов</t>
  </si>
  <si>
    <t>С. В. Ветров</t>
  </si>
  <si>
    <t>Забайкальский государственный университет</t>
  </si>
  <si>
    <t>Введение_в_проектирование_пользовательских_интерфейсов.pdf</t>
  </si>
  <si>
    <t>Это учебное пособие Сергея Ветрова, посвященное основам проектирования пользовательских интерфейсов и человеко-машинного взаимодействия. Книга охватывает широкий спектр тем: от психологии восприятия (внимание, память, ментальные модели) и визуального дизайна до методологий проектирования UX, юзабилити-тестирования и количественного анализа интерфейсов (законы Фиттса и Хика). Издание предназначено для студентов бакалавриата, обучающихся по направлению «Информатика и вычислительная техника», то есть для новичков в данной области.</t>
  </si>
  <si>
    <t>Веб-дизайн для начинающих. HTML, CSS, JavaScript и веб-графика. — 5-е изд.</t>
  </si>
  <si>
    <t>Роббинс Дж.</t>
  </si>
  <si>
    <t>Веб-дизайн для начинающих.pdf</t>
  </si>
  <si>
    <t>Книга представляет собой практическое руководство по веб-дизайну для начинающих, охватывающее основы HTML, CSS, JavaScript и работу с веб-графикой. Ключевые разделы включают создание веб-страниц с текстом, ссылками и формами, применение CSS для стилизации и макетирования, а также адаптивный дизайн с использованием Flexbox и Grid. Издание предназначено для новичков, желающих освоить создание сайтов с нуля, и содержит упражнения для закрепления материала.</t>
  </si>
  <si>
    <t>Веб-дизайн для недизайнеров</t>
  </si>
  <si>
    <t>Трэйси Осборн</t>
  </si>
  <si>
    <t>Веб-дизайн для недизайнеров.pdf</t>
  </si>
  <si>
    <t>Книга Трэйси Осборн «Веб-дизайн для недизайнеров» представляет собой практическое руководство по основам веб-дизайна, охватывающее ключевые принципы, такие как работа с сеткой, цветом, типографикой и белым пространством. Автор предлагает готовые решения и «шорткаты» для быстрого улучшения внешнего вида сайтов, делая акцент на функциональности и удобстве восприятия. Издание предназначено для новичков и всех, кто хочет самостоятельно создавать современные и красивые веб-сайты без привлечения профессиональных дизайнеров.</t>
  </si>
  <si>
    <t>Веб-дизайн. Книга идей веб-разработчика</t>
  </si>
  <si>
    <t>Патрик Макнейл</t>
  </si>
  <si>
    <t>Веб-дизайн. Книга идей веб-разработчика 2014.pdf</t>
  </si>
  <si>
    <t>Книга Патрика Макнейла представляет собой тематический сборник из более чем 650 примеров современного веб-дизайна, структурированный по технологиям, стилям, элементам и типам сайтов. В новом издании также рассматриваются системы управления содержимым (CMS) для выбора подходящей платформы. Издание предназначено для веб-разработчиков и дизайнеров любого уровня, стремящихся найти актуальные креативные образцы и поддерживать свои проекты в соответствии с современными трендами.</t>
  </si>
  <si>
    <t>Web Components in Action</t>
  </si>
  <si>
    <t>Ben Farrell</t>
  </si>
  <si>
    <t>Веб-компоненты в действии.pdf</t>
  </si>
  <si>
    <t>Книга Бена Фаррелла посвящена созданию веб-компонентов — переиспользуемых элементов пользовательского интерфейса, которые дают разработчику полный контроль над стилями и поведением. В первой части рассматривается создание простого компонента с нуля, вторая часть посвящена улучшению организации проекта и работе с теневой моделью DOM, а третья — объединению компонентов для решения сложных задач. Издание предназначено для веб-разработчиков, уже имеющих опыт работы с HTML, CSS и JavaScript.</t>
  </si>
  <si>
    <t>Веб-компоненты в действии</t>
  </si>
  <si>
    <t>Бен Фаррелл</t>
  </si>
  <si>
    <t>Веб_компоненты_в_действии_2020.pdf</t>
  </si>
  <si>
    <t>Книга «Веб-компоненты в действии» посвящена современной разработке пользовательских интерфейсов на основе веб-компонентов. В ней подробно описываются рабочие процессы, дающие полный контроль над стилями и поведением компонентов, а также упрощающие их создание и повторное использование. Издание разделено на три части: от создания простого компонента с нуля до организации проекта и совместной работы с несколькими компонентами для решения сложных задач. Книга предназначена для веб-разработчиков, уже имеющих опыт работы с HTML, CSS и JavaScript.</t>
  </si>
  <si>
    <t>The Elements of User Experience</t>
  </si>
  <si>
    <t>Jesse James Garrett</t>
  </si>
  <si>
    <t>Джесс Гарретт Веб_дизайн ориенированный на пользователя.pdf</t>
  </si>
  <si>
    <t>Книга Джесса Гарретта «Веб-дизайн: Элементы опыта взаимодействия» посвящена созданию сайтов, ориентированных на пользователя, и объясняет, как сбалансировать стратегические цели бизнеса с потребностями аудитории. Ключевая концепция — модель из пяти уровней разработки опыта взаимодействия: от стратегии и набора возможностей до структуры, компоновки и поверхности (визуального дизайна). Издание предназначено для новичков и практикующих веб-разработчиков и дизайнеров, желающих системно подойти к проектированию удобных и эффективных сайтов.</t>
  </si>
  <si>
    <t>Законы UX-дизайна</t>
  </si>
  <si>
    <t>Джон Яблонски</t>
  </si>
  <si>
    <t>Законы UX-дизайна.pdf</t>
  </si>
  <si>
    <t>Книга Джона Яблонски «Законы UX-дизайна» посвящена применению психологии поведения пользователей для создания интуитивно понятных цифровых продуктов и сервисов. В ней рассматриваются ключевые концепции, такие как законы Якоба, Фиттса, Хика, Миллера, Постеля, Теслера, эффект фон Ресторфф, правило «на пике и в конце» и влияние эстетики на восприятие юзабилити. Издание предназначено для дизайнеров, стремящихся обосновывать свои решения эмпирическими данными, и будет полезно как специалистам, так и новичкам, желающим глубже понять человеческое поведение в контексте интерфейсов.</t>
  </si>
  <si>
    <t>Как создать сайт. Комикс-путеводитель по HTML, CSS и WordPress</t>
  </si>
  <si>
    <t>Нейт Купер</t>
  </si>
  <si>
    <t>Как создать сайт.pdf</t>
  </si>
  <si>
    <t>Книга представляет собой комикс-путеводитель по основам веб-разработки, в котором художница Ким в увлекательной сюжетной форме изучает HTML, CSS и конструктор WordPress. Ключевые разделы охватывают базовые HTML-теги, работу с изображениями и файловой структурой, а также знакомство с CSS для оформления страниц. Издание предназначено для абсолютных новичков, в первую очередь для детей, желающих научиться создавать сайты с нуля.</t>
  </si>
  <si>
    <t>Как сделать сайт-визитку своими руками</t>
  </si>
  <si>
    <t>Михаил Русаков</t>
  </si>
  <si>
    <t>Как_сделать_сайт_визитку_своими_руками.pdf</t>
  </si>
  <si>
    <t>Книга Михаила Русакова представляет собой практическое руководство по самостоятельному созданию сайта-визитки. Автор разбивает процесс на четыре ключевых этапа: создание дизайна, верстка страниц, написание программной части (движка) и размещение в интернете. В книге подробно рассматриваются технические аспекты, включая верстку меню, блоков новостей, подвала, адаптацию под разные экраны, а также добавление JavaScript и настройку отправки форм. Издание предназначено для начинающих, желающих освоить основы сайтостроения с нуля.</t>
  </si>
  <si>
    <t>Секреты CSS. Идеальные решения ежедневных задач</t>
  </si>
  <si>
    <t>Леа Веру</t>
  </si>
  <si>
    <t>Леа Веру Секреты CSSидеальные решения элементарных задач 2016.pdf</t>
  </si>
  <si>
    <t>Книга Леи Веру «Секреты CSS» посвящена нестандартным приёмам и эффективным решениям повседневных задач веб-дизайна, выходящим за рамки базовых справочников. Ключевые разделы охватывают работу с фоном и рамками, создание сложных фигур и визуальных эффектов, а также типографику и взаимодействие с пользователем. Издание предназначено для веб-разработчиков и дизайнеров, уже знакомых с основами CSS и стремящихся углубить свои знания для написания гибкого и лаконичного кода.</t>
  </si>
  <si>
    <t>Большая книга CSS3</t>
  </si>
  <si>
    <t>Д. Макфарланд</t>
  </si>
  <si>
    <t>Макфарланд_Большая_книга_CSS3 2014.pdf</t>
  </si>
  <si>
    <t>Книга Дэвида Макфарланда «Большая книга CSS3» представляет собой практическое руководство по использованию каскадных таблиц стилей третьего поколения для создания современных веб-сайтов. В издании рассматриваются основы CSS, форматирование текста, работа с графикой, навигацией, анимацией, а также создание адаптивных макетов для различных устройств. Книга предназначена как для начинающих веб-разработчиков, желающих освоить CSS с нуля, так и для опытных специалистов, стремящихся углубить свои знания и изучить продвинутые приемы.</t>
  </si>
  <si>
    <t>Построение пользовательских интерфейсов</t>
  </si>
  <si>
    <t>Малышев К. В.</t>
  </si>
  <si>
    <t>Малышев_К_В_Построение_пользовательских_интерфейсов.pdf</t>
  </si>
  <si>
    <t>Эта книга посвящена построению пользовательских интерфейсов и объясняет, почему одни электронные продукты вызывают доверие и используются годами, а другие отвергаются после первого запуска. Ключевые разделы охватывают пользовательский опыт (UX), аспекты его улучшения, методы исследования аудитории и работу с персонажами. Издание будет полезно как начинающим дизайнерам интерфейсов, так и практикующим UI/UX-специалистам, а также менеджерам и руководителям студий.</t>
  </si>
  <si>
    <t>Проектирование сайтов</t>
  </si>
  <si>
    <t>Мальцев Игорь Петрович</t>
  </si>
  <si>
    <t>Мальцеа Проектирование Веб-сайтов.pdf</t>
  </si>
  <si>
    <t>Эта книга представляет собой пошаговое руководство по проектированию сайтов, основная цель которого — помочь заказчику сформировать грамотное техническое задание для веб-разработчика. Автор разбирает ключевые этапы брифинга: классификацию сайтов по цели, функциональности и доступности, а также детальные вопросы по дизайну, верстке и навигации. Издание адресовано в первую очередь новичкам, которые планируют создать сайт, но сталкиваются с непониманием терминологии и не могут четко сформулировать свои требования.</t>
  </si>
  <si>
    <t>Наглядный CSS</t>
  </si>
  <si>
    <t>Грег Сидельников</t>
  </si>
  <si>
    <t>Наглядный_CSS_2021_Грег_Сидельников.pdf</t>
  </si>
  <si>
    <t>Книга «Наглядный CSS» Грега Сидельникова представляет собой иллюстрированный справочник по современным свойствам CSS, систематизированным по категориям (положение, макеты, анимация и т.д.). Вместо объёмной документации автор использует более 250 иллюстраций для наглядного объяснения работы свойств, включая селекторы, псевдоэлементы и псевдоселекторы. Издание предназначено для программистов любого уровня, желающих быстро переводить визуальные задачи в код, и может служить настольным справочником.</t>
  </si>
  <si>
    <t>Single Page Web Applications</t>
  </si>
  <si>
    <t>Michael S. Mikowski; Josh C. Powell</t>
  </si>
  <si>
    <t>Оодностраничный веб 2014.pdf</t>
  </si>
  <si>
    <t>Книга Майкла Миковски и Джоша Пауэлла посвящена разработке одностраничных веб-приложений (SPA), в которых пользовательский интерфейс и бизнес-логика переносятся в браузер, а взаимодействие с сервером сводится к синхронизации данных. В ней рассматриваются ключевые концепции, такие как организация командной разработки, проектирование, тестирование и сопровождение SPA с использованием JavaScript на всех уровнях, без привязки к конкретному фреймворку. Издание предназначено для веб-разработчиков, уже имеющих базовые навыки работы с HTML5, CSS3 и JavaScript, и стремящихся перейти от традиционных многостраничных сайтов к современным одностраничным приложениям.</t>
  </si>
  <si>
    <t>Основы web-дизайна. Методика проектирования</t>
  </si>
  <si>
    <t>И. А. Нагаева; А. Б. Фролов; И. А. Кузнецов</t>
  </si>
  <si>
    <t>Основы web-дизайна. 2021.pdf</t>
  </si>
  <si>
    <t>Учебное пособие посвящено основам создания Web-документов, методам их разработки и продвижения. Ключевые разделы охватывают язык гипертекстовой разметки HTML, включая форматирование текста, списки, графику, ссылки и таблицы. Книга предназначена для студентов среднего профессионального образования и бакалавриата, то есть для новичков в веб-дизайне.</t>
  </si>
  <si>
    <t>Основы разработки веб-приложений</t>
  </si>
  <si>
    <t>С. Пьюривал</t>
  </si>
  <si>
    <t>Основы разработки WEB приложений 2015.pdf</t>
  </si>
  <si>
    <t>Книга С. Пьюривала «Основы разработки веб-приложений» представляет собой практическое руководство по созданию веб-приложений с нуля, используя HTML, JavaScript и бесплатные инструменты. Ключевые разделы охватывают создание пользовательского интерфейса, построение серверной части, организацию связи между клиентом и сервером, а также развертывание приложения в облаке. Издание предназначено для начинающих веб-разработчиков, желающих получить глубокие практические знания в этой области.</t>
  </si>
  <si>
    <t>Проектирование и разработка web-приложений. Введение в frontend и backend разработку на JavaScript и node.js</t>
  </si>
  <si>
    <t>А. М. Заяц; Н. П. Васильев</t>
  </si>
  <si>
    <t>Проектирование_и_разработка_WEB_приложений.pdf</t>
  </si>
  <si>
    <t>Учебное пособие посвящено основам проектирования и разработки веб-приложений с использованием JavaScript и Node.js, охватывая как клиентскую (frontend), так и серверную (backend) части. Ключевые разделы включают работу с объектной моделью документа (DOM), библиотеку jQuery для упрощения манипуляций со страницей, а также введение в платформу Node.js для серверного программирования. Книга предназначена для студентов средних профессиональных учреждений, владеющих основами HTML, CSS и JavaScript, то есть для начинающих специалистов.</t>
  </si>
  <si>
    <t>Реактивные веб-сайты. Клиентская оптимизация в алгоритмах и примерах</t>
  </si>
  <si>
    <t>Мациевский Н.С.; Степанищев Е.В.; Кондратенко Г.И.</t>
  </si>
  <si>
    <t>Интернет-Университет Информационных Технологий; БИНОМ. Лаборатория знаний</t>
  </si>
  <si>
    <t>Реактивные_веб_сайты.pdf</t>
  </si>
  <si>
    <t>Книга «Реактивные веб-сайты» посвящена клиентской оптимизации веб-сайтов, то есть методам ускорения загрузки и отображения страниц в браузере пользователя. Ключевые разделы охватывают сжатие текстовых файлов, уменьшение размера изображений, сокращение количества HTTP-запросов, оптимизацию структуры CSS и JavaScript, а также автоматизацию этих процессов с помощью инструмента Web Optimizer. Издание предназначено как для начинающих специалистов, желающих освоить тонкости ускорения сайтов, так и для профессионалов, которым оно послужит справочником лучших практик, основанных на опыте мировых экспертов.</t>
  </si>
  <si>
    <t>HTML5. Рецепты программирования</t>
  </si>
  <si>
    <t>Кристофер Шмитт; Кайл Симпсон</t>
  </si>
  <si>
    <t>Рецепты_программирования_HTML5_2012г.pdf</t>
  </si>
  <si>
    <t>Книга «HTML5. Рецепты программирования» Кристофера Шмитта и Кайла Симпсона представляет собой сборник практических решений и готовых примеров для веб-разработчиков, охватывающий широкий круг тем от семантической разметки и веб-форм до мультимедиа, геолокации и JavaScript API. Ключевые разделы включают основы синтаксиса и семантики, а также передовые методы разметки, причем каждый рецепт содержит задачу, код и подробное описание. Издание предназначено для веб-программистов начального и среднего уровней, желающих быстро освоить практические приемы HTML5.</t>
  </si>
  <si>
    <t>HTML5 Pocket Reference</t>
  </si>
  <si>
    <t>Jennifer Robbins</t>
  </si>
  <si>
    <t>Робинс html5-karmannyiy-spravochnik 2015.pdf</t>
  </si>
  <si>
    <t>Книга представляет собой компактный справочник по языку HTML5, содержащий алфавитный список всех элементов с описанием их атрибутов и назначения, а также обзор новых семантических тегов, структуры документа и глобальных атрибутов. Ключевые разделы включают описание API HTML5, работу с формами, мультимедиа (audio, video) и таблицами. Издание предназначено для веб-разработчиков любого уровня — от новичков до опытных специалистов, которым необходимо быстрое и исчерпывающее руководство под рукой.</t>
  </si>
  <si>
    <t>Самостоятельное создание сайта с нуля без знаний веб-программирования</t>
  </si>
  <si>
    <t>Александр Дащинский</t>
  </si>
  <si>
    <t>Самостоятельное_создание_сайта_с_нуля_без_знаний_веб_програм.pdf</t>
  </si>
  <si>
    <t>Эта книга представляет собой практическое руководство для новичков по самостоятельному созданию сайта, интернет-магазина, блога или форума без знания языков веб-программирования. Автор объясняет базовые концепции, такие как домен, доменная зона и хостинг, а также рассматривает варианты использования CMS и конструкторов сайтов. Материал предназначен для предпринимателей, желающих проверить бизнес-идею, владельцев готового бизнеса, начинающих специалистов (SEO, вебмастеров) и всех, кто хочет заработать в интернете.</t>
  </si>
  <si>
    <t>Секреты_CSS_Идеальные_решения_ежедневных_задач.pdf</t>
  </si>
  <si>
    <t>Книга Леи Веру «Секреты CSS» посвящена недокументированным приёмам и изящным решениям ежедневных задач веб-дизайна, выходящим за рамки стандартных справочников. Ключевые разделы охватывают работу с фоном и рамками, создание сложных фигур и визуальных эффектов, а также типографику и взаимодействие с пользователем. Издание предназначено для веб-разработчиков и дизайнеров, уже знакомых с основами CSS и стремящихся углубить свои знания, научившись аналитически подходить к решению проблем.</t>
  </si>
  <si>
    <t>Создаем динамические веб-сайты</t>
  </si>
  <si>
    <t>Nohead</t>
  </si>
  <si>
    <t>Создание сайтов на Tilda. Самоучитель</t>
  </si>
  <si>
    <t>Владимир П. Молочков</t>
  </si>
  <si>
    <t>Создание сайтов на Tilda.pdf</t>
  </si>
  <si>
    <t>Книга Владимира Молочкова представляет собой самоучитель по работе с конструктором сайтов Tilda, который позволяет создавать сайты любой сложности без программирования. В ней подробно рассматриваются ключевые возможности платформы, включая блочный конструктор, Zero Block, формы, интернет-магазин и SEO, а также даются пошаговые инструкции по созданию различных типов сайтов: от визитки и лендинга до многостраничного портфолио и интернет-магазина. Отдельное внимание уделяется настройке домена, SSL-сертификата и интеграции с платежными системами. Издание предназначено для начинающих разработчиков, желающих освоить создание сайтов на Tilda.</t>
  </si>
  <si>
    <t>Создание web-страниц, сайтов с применением web-технологий</t>
  </si>
  <si>
    <t>Рамазанова Л.Е.; Аубакирова К.М.; Тойшибекова А.Б.; Токарев А.Н.</t>
  </si>
  <si>
    <t>Некоммерческое акционерное общество «Холдинг “Кәсіпкор”»</t>
  </si>
  <si>
    <t>Создание_web_страниц,_сайтов_с_применением_web_технологий.pdf</t>
  </si>
  <si>
    <t>Данное учебное пособие посвящено созданию веб-страниц и сайтов с использованием современных веб-технологий. Ключевые разделы охватывают основы HTML и CSS, серверное и клиентское программирование (PHP, JavaScript), работу с базами данных MySQL, а также системы управления контентом (WordPress, Joomla!) и размещение сайтов в интернете. Книга предназначена для студентов и преподавателей системы технического и профессионального образования по специальности «Вычислительная техника и программное обеспечение», а также для новичков, желающих самостоятельно освоить разработку сайтов.</t>
  </si>
  <si>
    <t>Веб-мастеринг на 100 %: HTML, CSS, JavaScript, PHP, CMS, AJAX, раскрутка</t>
  </si>
  <si>
    <t>Ташков П. А.</t>
  </si>
  <si>
    <t>Ташков.Веб-мастеринг2010г (2).pdf</t>
  </si>
  <si>
    <t>Эта книга представляет собой практическое руководство по веб-мастерингу, охватывающее полный цикл создания сайтов: от основ HTML, CSS и JavaScript до серверного программирования на PHP и Perl, работы с базами данных MySQL и системами управления контентом Joomla! и Drupal. Ключевые разделы включают технологии AJAX, проверку работоспособности сайта, выбор хостинга и методы раскрутки. Издание предназначено для новичков и специалистов, желающих освоить создание профессиональных веб-порталов, включая интернет-магазины и новостные ресурсы.</t>
  </si>
  <si>
    <t>Ташков.Веб-мастеринг2010г.pdf</t>
  </si>
  <si>
    <t>Эта книга представляет собой практическое руководство по веб-мастерингу, охватывающее полный цикл создания и продвижения сайтов: от основ HTML, CSS и JavaScript до серверных языков PHP и Perl, работы с базами данных MySQL и системами управления контентом (CMS) Joomla! и Drupal. Ключевые разделы посвящены технологиям AJAX, проверке работоспособности сайта, выбору хостинга и методам раскрутки. Издание адресовано новичкам и специалистам, желающим систематизировать знания и научиться создавать профессиональные веб-порталы, включая интернет-магазины и новостные ресурсы.</t>
  </si>
  <si>
    <t>Фаррелл_Б_Веб_компоненты_в_действии_2020.pdf</t>
  </si>
  <si>
    <t>Книга Бена Фаррелла «Веб-компоненты в действии» посвящена созданию пользовательских интерфейсов на основе веб-компонентов — технологии, позволяющей разработчикам полностью контролировать стили и поведение элементов без использования фреймворков. В первой части рассматривается создание простого компонента с нуля, вторая часть посвящена улучшению организации проекта и работе с теневой моделью DOM, а третья — объединению компонентов для решения сложных задач, включая тестирование и обработку событий. Издание предназначено для веб-разработчиков, уже имеющих опыт работы с HTML, CSS и JavaScript.</t>
  </si>
  <si>
    <t>CSS. Рецепты программирования</t>
  </si>
  <si>
    <t>Шмитт К.</t>
  </si>
  <si>
    <t>Шмитт К. CSS. Рецепты программирования (2011).djvu</t>
  </si>
  <si>
    <t>Книга Кристофера Шмитта «CSS. Рецепты программирования» представляет собой практическое руководство по решению типовых задач вёрстки с помощью каскадных таблиц стилей. В ней собраны готовые «рецепты» и шаблоны кода для работы с макетами, типографикой, навигацией, формами и адаптивным дизайном. Материал ориентирован на веб-разработчиков начального и среднего уровня, которые хотят быстро находить эффективные CSS-решения без глубокого погружения в теорию.</t>
  </si>
  <si>
    <t>Я верстальщик. Веб-верстальщик</t>
  </si>
  <si>
    <t>Арсений Олегович Матыцин</t>
  </si>
  <si>
    <t>Я верстальщик..pdf</t>
  </si>
  <si>
    <t>Эта книга Арсения Матыцина посвящена основам веб-верстки и предназначена для новичков, а также для дизайнеров, желающих лучше понять работу верстальщика. Автор объясняет отличие веб-верстки от типографской, вводит понятие верстальщика и его связь с профессией frontend-разработчика. В материале рассматриваются стандарты HTML (в частности, переход к HTML5), важность семантической верстки и устаревшая техника табличной верстки. Основная цель книги — повысить компьютерную грамотность и наладить взаимопонимание между дизайнерами и верстальщиками.</t>
  </si>
  <si>
    <t>Getting MEAN with Mongo, Express, Angular, and Node</t>
  </si>
  <si>
    <t>Simon Holmes; Clive Harber</t>
  </si>
  <si>
    <t>Веб-разработка/Fullstack</t>
  </si>
  <si>
    <t>Fullstack</t>
  </si>
  <si>
    <t>Getting_MEAN_with_Mongo,_Express,_Angular,_and_Node.pdf</t>
  </si>
  <si>
    <t>C:\Users\alexa\YandexDisk\Книги\Веб-разработка\Fullstack</t>
  </si>
  <si>
    <t>Книга «Getting MEAN» посвящена полному циклу разработки веб-приложений с использованием стека MEAN (MongoDB, Express, Angular и Node.js). В представленном фрагменте рассматриваются различия в подходах к интеграции данных (интегрированный и API-подход), а также архитектура приложения, включая проектирование бэкенда, базы данных и фронтенда на Angular. Издание предназначено для разработчиков любого уровня — от новичков до опытных специалистов, желающих освоить создание современных full-stack приложений на JavaScript.</t>
  </si>
  <si>
    <t>JavaScript from Frontend to Backend</t>
  </si>
  <si>
    <t>Eric Sarrion</t>
  </si>
  <si>
    <t>jаvascript-from-frontend-to-backend.pdf</t>
  </si>
  <si>
    <t>Книга «JavaScript from Frontend to Backend» Эрика Сарриона посвящена полному циклу разработки на JavaScript с использованием стека MEVN (MongoDB, Express.js, Vue.js, Node.js). В ней рассматриваются как базовые синтаксические конструкции языка (переменные, функции, классы, массивы, промисы), так и клиентская разработка с фреймворком Vue.js. Издание предназначено для разработчиков начального и среднего уровня, желающих освоить full-stack JavaScript-разработку.</t>
  </si>
  <si>
    <t>Web на практике. CSS, HTML, JavaScript, MySQL, РНР для fullstack-разработчиков</t>
  </si>
  <si>
    <t>Кириченко А.В.; Никольский А.П.; Дубовик Е.В.</t>
  </si>
  <si>
    <t>Web на практике.pdf</t>
  </si>
  <si>
    <t>Книга посвящена fullstack-разработке сайтов и описывает полный цикл создания веб-проектов: от идеи и макета дизайна до верстки, программирования бэкенда и размещения на хостинге. В ней рассматриваются ключевые технологии (HTML5, CSS3, JavaScript, PHP, MySQL) и приводится реальный пример разработки образовательного портала. Издание предназначено для разработчиков, желающих освоить все этапы создания сайта самостоятельно, от начального до продвинутого уровня.</t>
  </si>
  <si>
    <t>Стек MEAN. Mongo, Express, Angular, Node. С. Холмс.pdf</t>
  </si>
  <si>
    <t>Книга Симона Холмса посвящена разработке веб-приложений с использованием стека MEAN (MongoDB, Express, Angular, Node.js), который позволяет писать код на всех уровнях на одном языке — JavaScript. В первой части рассматриваются основы full-stack разработки и проектирование архитектуры, во второй — создание серверной части на Node.js и Express, работа с базой данных MongoDB и построение REST API. Третья часть посвящена добавлению динамического клиентского интерфейса с помощью Angular, включая создание одностраничных приложений, а четвертая — аутентификации пользователей и управлению сеансами. Издание предназначено для программистов, уже знакомых с основами веб-разработки и JavaScript, которые хотят освоить современный full-stack стек.</t>
  </si>
  <si>
    <t>Веб-разработка/HTML-CSS</t>
  </si>
  <si>
    <t>HTML-CSS</t>
  </si>
  <si>
    <t>!!!!_Как создать сайт.pdf</t>
  </si>
  <si>
    <t>C:\Users\alexa\YandexDisk\Книги\Веб-разработка\HTML-CSS</t>
  </si>
  <si>
    <t>Это книга в формате комикса, которая в увлекательной форме знакомит детей и начинающих пользователей с основами веб-разработки. Главная героиня, художница Ким, попадает на вымышленную планету, где ей предстоит изучить азы HTML, CSS и работу с конструктором сайтов WordPress, чтобы вернуться домой. Ключевые разделы включают знакомство с HTML-тегами, стилизацию страниц с помощью CSS и основы работы с хостингом и файлами. Издание предназначено для абсолютных новичков, в первую очередь для детей, желающих научиться создавать собственные сайты.</t>
  </si>
  <si>
    <t>Build a Website with ChatGPT</t>
  </si>
  <si>
    <t>Paul McFedries</t>
  </si>
  <si>
    <t>ChatGPT_сделай_мне.pdf</t>
  </si>
  <si>
    <t>Эта книга — практическое руководство по созданию веб-сайтов с помощью ChatGPT без необходимости знания HTML, CSS и JavaScript. Она начинается с основ работы с нейросетью и ведет читателя от создания первой страницы до наполнения сайта контентом, формами, фотогалереями и интерактивными элементами. Ключевые разделы охватывают структуру страницы, навигацию, публикацию постов и создание портфолио. Издание предназначено для абсолютных новичков, которые хотят освоить веб-разработку, используя только искусственный интеллект и свое воображение.</t>
  </si>
  <si>
    <t>HTML and CSS: The Most Complete Web Development Guide</t>
  </si>
  <si>
    <t>Rick Sekuloski</t>
  </si>
  <si>
    <t>HTML and CSS The Most Complete Web Development Guide.pdf</t>
  </si>
  <si>
    <t>Эта книга представляет собой практическое руководство по веб-разработке, охватывающее основы HTML и CSS. Ключевые разделы включают глубокое погружение в HTML (структура страницы, семантические элементы), каскадные таблицы стилей (CSS Box Model, Flexbox, Grid), а также продвинутые темы, такие как адаптивный дизайн (RWD) и анимации. Материал предназначен для новичков, желающих освоить фронтенд-разработку с нуля, и содержит пошаговые инструкции по настройке рабочего места и работе с инструментами.</t>
  </si>
  <si>
    <t>HTML и CSS: 33 урока для начинающих</t>
  </si>
  <si>
    <t>HTML и CSS. 33 урока для начинающих.pdf</t>
  </si>
  <si>
    <t>Книга представляет собой практическое руководство по веб-разработке для начинающих, состоящее из 33 иллюстрированных уроков. В ней подробно рассматриваются основы языков HTML и CSS, включая структурирование текста, работу с графикой, таблицами, формами, а также продвинутые техники оформления, такие как анимация, фильтры и адаптивная верстка. Материал содержит 50 практических упражнений и 40 заданий для самостоятельной работы, а также электронное приложение с примерами кодов. Издание предназначено для начинающих веб-разработчиков, желающих освоить создание веб-страниц и сайтов с нуля.</t>
  </si>
  <si>
    <t>HTML5: карманный справочник</t>
  </si>
  <si>
    <t>Дженнифер Роббинс</t>
  </si>
  <si>
    <t>html5-карманный справочник.pdf</t>
  </si>
  <si>
    <t>Книга Дженнифер Роббинс «HTML5: карманный справочник» (5-е издание) представляет собой компактное справочное пособие по языку разметки HTML5. В издании подробно описываются новые семантические элементы, глобальные атрибуты, обработчики событий, а также приводится алфавитный список всех элементов HTML5 с их характеристиками. Книга предназначена для веб-разработчиков любого уровня, от новичков до опытных специалистов, которым необходим быстрый доступ к исчерпывающей информации о синтаксисе и возможностях HTML5.</t>
  </si>
  <si>
    <t>HTML5 + CSS3 Основы современного WEB дизайна</t>
  </si>
  <si>
    <t>HTML5_+_CSS3_Основы_современного_WEB_дизайна.pdf</t>
  </si>
  <si>
    <t>Книга посвящена основам современного веб-дизайна с использованием технологий HTML5 и CSS3. В ней рассматриваются ключевые концепции разметки и стилизации, включая семантические элементы, адаптивную верстку и работу с мультимедиа. Издание ориентировано на начинающих разработчиков и дизайнеров, желающих освоить актуальные стандарты создания веб-страниц.</t>
  </si>
  <si>
    <t>HTML and XHTML: The Definitive Guide</t>
  </si>
  <si>
    <t>Chuck Musciano; Bill Kennedy</t>
  </si>
  <si>
    <t>HTML_и_XHTML_Подробное_руководство.pdf</t>
  </si>
  <si>
    <t>Это шестое издание всеобъемлющего руководства по языкам HTML и XHTML, охватывающее стандарты HTML 4.01, XHTML 1.0 и CSS2, а также обзор перспективных спецификаций XHTML 2 и CSS3. Книга сочетает функции учебного пособия и подробного справочника, описывая синтаксис, семантику, работу с таблицами стилей, фреймами, формами, мультимедиа и интеграцию с JavaScript. Издание предназначено как для начинающих веб-дизайнеров, так и для опытных веб-программистов, желающих углубить свои знания.</t>
  </si>
  <si>
    <t>Web Design Playground, Second Edition</t>
  </si>
  <si>
    <t>Web Design Playground, 2Ed (MEAP v1).pdf</t>
  </si>
  <si>
    <t>Книга Пола Макфедриса «Web Design Playground, Second Edition» посвящена обучению созданию веб-страниц с помощью HTML и CSS через практику и эксперименты. Автор предлагает игровой подход: вместо скучной теории читатели изучают код, сразу изменяя его и получая визуальный результат, а также создают полноценные проекты, такие как личная страница, лендинг и портфолио. Книга разделена на четыре части, охватывающие основы разметки и стилей, работу с изображениями и макетами, продвинутые техники вёрстки (включая Flexbox и CSS Grid) и финальные штрихи по оформлению. Издание предназначено для абсолютных новичков, желающих освоить веб-дизайн с нуля в увлекательной и интерактивной форме.</t>
  </si>
  <si>
    <t>Web Design Playground</t>
  </si>
  <si>
    <t>Web_Design_Playground_HTML_CSS_the_Interactive_Way_by_Paul_McFedries.epub</t>
  </si>
  <si>
    <t>Книга Пола МакФедриса «Web Design Playground» представляет собой практическое руководство по веб-дизайну, которое шаг за шагом обучает созданию веб-страниц с помощью HTML и CSS. Ключевые разделы охватывают основы разметки и стилей, работу с изображениями и мультимедиа, создание макетов (включая Flexbox и резиновый дизайн), а также продвинутые темы вроде типографики и цветовых схем. Издание ориентировано на новичков, желающих освоить веб-дизайн с нуля, и предлагает уникальную онлайн-среду для экспериментов без необходимости настройки собственного сервера.</t>
  </si>
  <si>
    <t>HTML5 и CSS3. Разработка сайтов для любых браузеров и устройств. 2-е изд.</t>
  </si>
  <si>
    <t>Фрэйн Б.</t>
  </si>
  <si>
    <t>Бен_Фрэйн_HTML5_и_CSS3_Разработка.epub</t>
  </si>
  <si>
    <t>Книга Бена Фрэйна посвящена созданию адаптивных веб-сайтов с использованием HTML5 и CSS3, которые корректно отображаются на любых устройствах — от смартфонов до телевизоров. Ключевые концепции включают медиа-запросы, гибкие макеты и адаптацию интерфейса под различные размеры экранов и способы взаимодействия. Издание предназначено для веб-разработчиков и дизайнеров, уже имеющих базовые знания HTML и CSS, и стремящихся освоить современные методы адаптивной верстки.</t>
  </si>
  <si>
    <t>HTML and CSS: Design and Build Websites</t>
  </si>
  <si>
    <t>Джон Дакетт HTML и CSS_Разработка ВЕБ сайта.pdf</t>
  </si>
  <si>
    <t>Эта книга Джона Дакетта представляет собой визуальное и практическое руководство по основам веб-разработки, обучающее созданию сайтов с использованием HTML и CSS. Ключевые разделы охватывают структуру страниц, работу с текстом, списками, ссылками, изображениями, таблицами, формами, а также введение в CSS, цвета, шрифты, блочную верстку и создание макетов. Издание предназначено для абсолютных новичков, желающих научиться дизайну и верстке с нуля, а также для владельцев сайтов, стремящихся получить больший контроль над внешним видом своих страниц.</t>
  </si>
  <si>
    <t>Дизайн для разработчиков</t>
  </si>
  <si>
    <t>Стефани Стимак</t>
  </si>
  <si>
    <t>Дизайн для разработчиков.pdf</t>
  </si>
  <si>
    <t>Книга Стефани Стимак «Дизайн для разработчиков» посвящена основам визуального дизайна и пользовательского опыта, необходимым веб-разработчикам для создания удобных интерфейсов. Автор объясняет ключевые принципы работы с цветом, типографикой и версткой, а также методы исследования поведения пользователей, используя примеры популярных сайтов. Издание предназначено для разработчиков любого уровня, желающих научиться обосновывать дизайнерские решения, эффективнее взаимодействовать с коллегами-дизайнерами и писать более качественный код.</t>
  </si>
  <si>
    <t>Клиентские технологии веб-дизайна. HTML5 и CSS3</t>
  </si>
  <si>
    <t>А. В. Диков</t>
  </si>
  <si>
    <t>Клиентские_технологии_веб_дизайна_HTML5_и_CSS.pdf</t>
  </si>
  <si>
    <t>Учебное пособие посвящено клиентским технологиям веб-дизайна, а именно языкам HTML5 и CSS3. Ключевые разделы включают основы разметки текста, таблиц, графики, гиперссылок, мультимедиа и форм, а также стилизацию с помощью селекторов, позиционирования, анимации и 3D-трансформаций. Книга предназначена для студентов вузов и новичков, осваивающих базовые веб-технологии перед изучением интернет-программирования.</t>
  </si>
  <si>
    <t>Вёрстка веб-страниц</t>
  </si>
  <si>
    <t>Влад Мержевич</t>
  </si>
  <si>
    <t>Мержевич_В_Вёрстка_веб_страниц_2.pdf</t>
  </si>
  <si>
    <t>Фрагмент книги В. Мержевича «Вёрстка веб-страниц» посвящён истории развития веб-дизайна и вёрстки: от академического дизайна и эпохи Netscape до появления CSS и перехода от табличной вёрстки к блочной. Ключевые концепции включают эволюцию браузеров, проблемы совместимости, преимущества и сложности вёрстки слоями, а также практические рекомендации по выбору оптимальных методов. Книга предназначена для широкой аудитории: новичков, которые научатся основам работы со стилями, опытных пользователей, желающих разобраться в особенностях браузеров, и искушённых специалистов, которые могут использовать её как справочное руководство.</t>
  </si>
  <si>
    <t>Отзывчивый дизайн на HTML5 и CSS3 для любых устройств</t>
  </si>
  <si>
    <t>Бен Фрэйн</t>
  </si>
  <si>
    <t>Отзывчивый_дизайн_на_HTML5_и_CSS3_для_любых_устройств_3_е_изд_ 2021.pdf</t>
  </si>
  <si>
    <t>Это третье издание книги Бена Фрэйна, посвящённое отзывчивому веб-дизайну на HTML5 и CSS3, которое рассматривает данную технологию как современный стандарт разработки. Ключевые разделы охватывают медиазапросы, Flexbox, CSS Grid, работу с SVG, типографику, анимации и формы. Книга предназначена как для фуллстек- и фронтенд-разработчиков, желающих углубить знания, так и для новичков, имеющих базовое представление об HTML и CSS.</t>
  </si>
  <si>
    <t>Руководство для начинающих по HTML и CSS: пошаговое руководство с примерами и упражнениями</t>
  </si>
  <si>
    <t>Кевин Уилсон</t>
  </si>
  <si>
    <t>УИДНС</t>
  </si>
  <si>
    <t>Руководство для начинающих по HTML и CSS.pdf</t>
  </si>
  <si>
    <t>Книга Кевина Уилсона представляет собой пошаговое руководство для начинающих по изучению HTML и CSS, не требующее предварительного опыта программирования. В ней рассматриваются основы кодирования с практическими примерами и упражнениями, а также кратко вводятся JavaScript для добавления интерактивности и системы управления контентом, такие как WordPress. Издание предназначено для новичков, желающих освоить создание собственных веб-сайтов с нуля.</t>
  </si>
  <si>
    <t>Справочник HTML. Кратко, быстро, под рукой</t>
  </si>
  <si>
    <t>Кириченко А.В.; Дубовик Е.В.</t>
  </si>
  <si>
    <t>Справочник HTML.pdf</t>
  </si>
  <si>
    <t>Этот справочник представляет собой полное руководство по HTML5, структурированное для быстрого поиска информации. Книга охватывает общую структуру HTML-документа, глобальные атрибуты, события и содержит подробный справочник тегов с примерами использования. Особое внимание уделяется семантической верстке и отраслевым рекомендациям по хорошему стилю. Издание будет полезно как начинающим, так и профессиональным разработчикам, изучающим или использующим HTML.</t>
  </si>
  <si>
    <t>Фрейн html5-i-css3-2 2017.epub</t>
  </si>
  <si>
    <t>Книга Бена Фрэйна «HTML5 и CSS3. Разработка сайтов для любых браузеров и устройств» (2-е издание) посвящена созданию адаптивных веб-страниц, корректно отображающихся на экранах любых размеров — от смартфонов до телевизоров. В ней рассматриваются ключевые концепции современной верстки, включая использование HTML5 и CSS3 для обеспечения гибкости и кросс-браузерности. Издание предназначено для веб-разработчиков и дизайнеров, уже имеющих базовый опыт и желающих освоить методы адаптивного дизайна для работы с разнообразными устройствами.</t>
  </si>
  <si>
    <t>HTML5 и CSS3. Разработка сайтов для любых браузеров и устройств</t>
  </si>
  <si>
    <t>Б. Фрэйн</t>
  </si>
  <si>
    <t>Фрейн html5-i-css3-2 2017.pdf</t>
  </si>
  <si>
    <t>Книга Бена Фрэйна «HTML5 и CSS3. Разработка сайтов для любых браузеров и устройств» посвящена методологии адаптивного веб-дизайна, позволяющей создавать сайты, корректно отображающиеся на экранах любых размеров — от смартфонов до телевизоров. Ключевые разделы охватывают медиазапросы, динамические разметки, адаптивные изображения, возможности HTML5 и CSS3, включая селекторы, анимацию, SVG и работу с формами. Книга предназначена для веб-разработчиков клиентских приложений, желающих освоить современные технологии и методики для создания адаптивных интерфейсов.</t>
  </si>
  <si>
    <t>Фримен Изучаем HTML.pdf</t>
  </si>
  <si>
    <t>Это второе издание популярного руководства по веб-разработке из серии «Head First O’Reilly», посвященное изучению HTML, XHTML и CSS. Книга объясняет, как профессионально создавать визуально привлекательные веб-страницы, используя новейший стандарт HTML5 для обеспечения корректной работы во всех браузерах и на мобильных устройствах. Среди ключевых тем — четкое разграничение структуры (HTML) и презентации (CSS), а также история «войн браузеров». Издание предназначено для новичков, которые хотят освоить создание веб-страниц с нуля, и написано в доступном, понятном стиле.</t>
  </si>
  <si>
    <t>HTML5 и CSS3. Веб-разработка по стандартам нового поколения</t>
  </si>
  <si>
    <t>Брайан Хоган</t>
  </si>
  <si>
    <t>Хоган html5-i-css3-veb-razrabotka 2014.pdf</t>
  </si>
  <si>
    <t>Книга Брайана Хогана посвящена практическому применению стандартов HTML5 и CSS3 для веб-разработки. В ней рассматриваются новые семантические теги, возможности веб-форм, работа с графикой, аудио и видео, а также хранение данных на стороне клиента и другие API. Издание предназначено для веб-разработчиков начального и среднего уровня, желающих освоить современные технологии и улучшить пользовательские интерфейсы.</t>
  </si>
  <si>
    <t>Шпаргалки для начинающего верстальщика HTML/CSS</t>
  </si>
  <si>
    <t>Елена Эберт</t>
  </si>
  <si>
    <t>Шпаргалки_для_начинающего_верстальщика.pdf</t>
  </si>
  <si>
    <t>Книга представляет собой практическое пособие для начинающих верстальщиков, основанное на личном опыте автора, столкнувшегося с разрывом между теорией и реальной версткой. Основная идея заключается в том, чтобы сразу переходить к практике, используя типовые решения для стандартных элементов (шапка, карточки, кнопки) и разбирая универсальную структуру HTML-страницы с тегами &lt;html&gt;, &lt;head&gt; и &lt;body&gt;. Ключевые разделы включают работу с макетами, создание базового каркаса сайта и разбор распространенных типов шапки. Издание предназначено для новичков, которые хотят быстро научиться верстать реальные проекты, а не просто выполнять теоретические упражнения.</t>
  </si>
  <si>
    <t>Web API Cookbook</t>
  </si>
  <si>
    <t>Joe Attardi</t>
  </si>
  <si>
    <t>Веб-разработка/JavaScript</t>
  </si>
  <si>
    <t>JavaScript</t>
  </si>
  <si>
    <t>Web API. Сборник рецептов.pdf</t>
  </si>
  <si>
    <t>C:\Users\alexa\YandexDisk\Книги\Веб-разработка\JavaScript</t>
  </si>
  <si>
    <t>Книга Джо Аттарди «Web API. Сборник рецептов» посвящена разработке современных веб-приложений с использованием встроенных возможностей браузера (Web API) на JavaScript, без сторонних библиотек. В ней рассматриваются асинхронные API, работа с промисами и async/await, простое сохранение данных через Web Storage, а также управление URL-адресами и маршрутизация. Издание ориентировано на программистов с опытом работы на JavaScript, знакомых с DOM.</t>
  </si>
  <si>
    <t>Efficient Node.js</t>
  </si>
  <si>
    <t>Samer Buna</t>
  </si>
  <si>
    <t>Веб-разработка/Node.js</t>
  </si>
  <si>
    <t>Node.js</t>
  </si>
  <si>
    <t>Efficient Node.Js_True.pdf</t>
  </si>
  <si>
    <t>C:\Users\alexa\YandexDisk\Книги\Веб-разработка\Node.js</t>
  </si>
  <si>
    <t>Книга «Efficient Node.js» Сэмера Буны посвящена эффективной разработке на Node.js, охватывая путь от основ до продвинутых концепций, таких как модули, пакеты, событийно-ориентированная архитектура, потоки, дочерние процессы, масштабирование, тестирование и развертывание. Ключевые разделы включают изучение нативных возможностей Node.js, работу с его экосистемой и создание масштабируемых приложений. Издание предназначено как для новичков, желающих освоить платформу, так и для опытных разработчиков, стремящихся углубить свои знания и заполнить пробелы в понимании.</t>
  </si>
  <si>
    <t>Node.js in Action</t>
  </si>
  <si>
    <t>Alex Young; Bradley Meck; Mike Cantelon</t>
  </si>
  <si>
    <t>Node.js в действии.pdf</t>
  </si>
  <si>
    <t>Книга «Node.js в действии» (второе издание) представляет собой практическое руководство по разработке на платформе Node.js, охватывающее как серверную часть, так и смежные области. Ключевые разделы включают системы построения фронтенда, веб-фреймворки (в частности, Express), работу с базами данных, тестирование, развертывание приложений, а также создание инструментов командной строки и настольных приложений на базе Electron. Издание предназначено для разработчиков, уже знакомых с основами JavaScript и Node.js, то есть для специалистов среднего и продвинутого уровня, желающих углубить знания в веб-разработке и смежных технологиях.</t>
  </si>
  <si>
    <t>Web Development with Node and Express</t>
  </si>
  <si>
    <t>Web_Development_with_Node_and_Express_Leveraging_the_JavaScript_Stack_proglib.pdf</t>
  </si>
  <si>
    <t>Книга «Web Development with Node and Express» Итана Брауна посвящена созданию веб-приложений с использованием стека JavaScript, в частности фреймворка Express и платформы Node. В ней рассматриваются ключевые концепции, такие как установка Node, работа с npm, создание простого веб-сервера, маршрутизация, обслуживание статических ресурсов, а также использование шаблонов и динамического контента в Express. Издание предназначено для разработчиков, уже знакомых с основами веб-разработки, которые хотят освоить современный подход к созданию серверных приложений на JavaScript.</t>
  </si>
  <si>
    <t>Изучаем Node. Переходим на сторону сервера</t>
  </si>
  <si>
    <t>Пауэрс Ш.</t>
  </si>
  <si>
    <t>Изучаем Node.pdf</t>
  </si>
  <si>
    <t>Книга Шелли Пауэрс «Изучаем Node. Переходим на сторону сервера» посвящена серверной платформе Node.js и её базовым модулям. В ней рассматриваются создание веб-сервера, система модулей, асинхронная обработка событий, работа с буферами, а также комплексная разработка с использованием Express, MongoDB и AngularJS. Издание предназначено для разработчиков, уже знакомых с JavaScript, которые хотят освоить серверное программирование и перейти от начального уровня к более продвинутым темам, включая «интернет вещей».</t>
  </si>
  <si>
    <t>Efficient Node.js: A Beyond the Basics Guide</t>
  </si>
  <si>
    <t>Эффективный Node.js.pdf</t>
  </si>
  <si>
    <t>Эта книга представляет собой практическое руководство по профессиональной разработке на Node.js, охватывающее путь от базовых принципов до продвинутых тем. Ключевые разделы включают работу с асинхронностью, потоками данных, событиями, встроенными модулями, управление пакетами, тестирование и масштабирование приложений. Издание предназначено для разработчиков, уже владеющих JavaScript и желающих перейти к уверенной бэкенд-разработке и созданию масштабируемых систем.</t>
  </si>
  <si>
    <t>React to Python</t>
  </si>
  <si>
    <t>John Sheehan</t>
  </si>
  <si>
    <t>JennaSys</t>
  </si>
  <si>
    <t>Веб-разработка/React</t>
  </si>
  <si>
    <t>React</t>
  </si>
  <si>
    <t>John_Sheehan_Creating_React_Front_End_Web_Applications_with_Python.epub</t>
  </si>
  <si>
    <t>C:\Users\alexa\YandexDisk\Книги\Веб-разработка\React</t>
  </si>
  <si>
    <t>Книга Джона Шихана «React to Python» посвящена созданию адаптивных фронтенд-веб-приложений на Python с использованием библиотек React и Material-UI, без необходимости программировать на JavaScript. Ключевые разделы охватывают установку Transcrypt, работу с React-компонентами, управление состоянием, асинхронные запросы, интеграцию с Material-UI и полный цикл разработки от настройки окружения до развертывания приложения. Издание предназначено для Python-разработчиков, желающих освоить создание современных пользовательских интерфейсов, и предполагает базовое знакомство с Python, но не требует глубоких знаний JavaScript.</t>
  </si>
  <si>
    <t>Just React! Learn React the React Way</t>
  </si>
  <si>
    <t>Hari Narayn</t>
  </si>
  <si>
    <t>Just React! Learn React the React Way.pdf</t>
  </si>
  <si>
    <t>Книга «Just React! Learn React the React Way» представляет собой практическое руководство по изучению библиотеки React, начиная с основ HTML и JavaScript и переходя к сравнению React с нативным JavaScript и другими фреймворками, такими как Angular. Ключевые разделы охватывают фундаментальные концепции JavaScript (переменные, функции, модули, async/await) перед непосредственным погружением в React. Издание предназначено для начинающих разработчиков, желающих освоить React с нуля, но предполагает базовое знакомство с веб-технологиями.</t>
  </si>
  <si>
    <t>Just.React.Learn.React.the.React.Way.epub</t>
  </si>
  <si>
    <t>Книга «Just React!» Хари Нарайна представляет собой практическое руководство по изучению библиотеки React с нуля, ориентированное на новичков. Автор последовательно знакомит читателя с основами веб-разработки, современным JavaScript, а затем переходит к ключевым концепциям React: компонентам, JSX, пропсам, состоянию, виртуальному DOM и условному рендерингу. В книге также рассматриваются продвинутые темы: проектирование компонентов, отладка с помощью Chrome DevTools и React DevTools, стилизация (SCSS, CSS-модули), хуки, работа с бэкендом (роутинг, API, аутентификация, Redux) и возможности React 18. Издание предназначено для начинающих разработчиков, желающих освоить React современным и правильным способом.</t>
  </si>
  <si>
    <t>React Projects</t>
  </si>
  <si>
    <t>Roy Derks</t>
  </si>
  <si>
    <t>Packt.React.Projects.2nd.Edition.1801070636.pdf</t>
  </si>
  <si>
    <t>Книга «React Projects, Second Edition» Роя Деркса посвящена созданию кросс-платформенных приложений с использованием React и React Native. В ней рассматриваются такие ключевые концепции, как создание одностраничных приложений, работа с кастомными хуками, серверный рендеринг с Next.js, управление состоянием через Context API и маршрутизация с react-router. Издание предназначено для разработчиков, уже знакомых с основами React и желающих перейти к практическому созданию сложных проектов.</t>
  </si>
  <si>
    <t>React быстро. Веб-приложения на React, JSX, Redux и GraphQL</t>
  </si>
  <si>
    <t>Мардан Азат</t>
  </si>
  <si>
    <t>React быстро.pdf</t>
  </si>
  <si>
    <t>Книга «React быстро» посвящена изучению библиотеки React для создания веб-приложений с использованием JSX, Redux и GraphQL. В ней рассматриваются основы React, включая работу с компонентами, свойствами и вложением элементов, а также преимущества библиотеки, такие как простота, скорость и удобство тестирования. Издание предназначено для front-end-разработчиков, желающих быстро освоить React и перейти к созданию эффективных пользовательских интерфейсов.</t>
  </si>
  <si>
    <t>React и Redux: функциональная веб-разработка</t>
  </si>
  <si>
    <t>Бэнкс Алекс; Порселло Ева</t>
  </si>
  <si>
    <t>React и Redux. Функциональная веб-разработка  2018.pdf</t>
  </si>
  <si>
    <t>Книга «React и Redux: функциональная веб-разработка» посвящена созданию эффективных пользовательских интерфейсов с помощью библиотеки React и управлению состоянием через Redux. Ключевые разделы охватывают новый синтаксис JavaScript (ES6), функциональное программирование, работу с JSX, свойства и состояние компонентов, а также тестирование и маршрутизацию. Издание предназначено для разработчиков, желающих освоить современные инструменты для создания сайтов, обрабатывающих большие объёмы данных без перезагрузки страниц, и предполагает начальный уровень подготовки.</t>
  </si>
  <si>
    <t>React современные шаблоны для разработки приложений 2-е изд</t>
  </si>
  <si>
    <t>React современные шаблоны для разработки приложений 2-е изд [2022] Алекс Бэнкс, Ева Порселло.epub</t>
  </si>
  <si>
    <t>Книга посвящена современным подходам к разработке на React, включая управление состоянием, хуки, серверный рендеринг и архитектурные паттерны. Ключевые разделы охватывают работу с Suspense, Concurrent Mode, а также интеграцию с TypeScript и GraphQL. Издание ориентировано на разработчиков среднего и продвинутого уровня, уже знакомых с основами React.</t>
  </si>
  <si>
    <t>react-course-ru-v2</t>
  </si>
  <si>
    <t>Max P</t>
  </si>
  <si>
    <t>react-course-ru-v2.pdf</t>
  </si>
  <si>
    <t>Этот фрагмент представляет собой введение к курсу по React.js для начинающих, обновлённому под версию 16.4. Книга знакомит с основами библиотеки: созданием компонентов, использованием props и state, работой с формами и жизненным циклом компонента, а также с инструментом create-react-app. В результате обучения читатель создаст небольшое приложение новостей. Курс рассчитан на новичков, владеющих HTML/CSS и основами JavaScript.</t>
  </si>
  <si>
    <t>React.js Projects 2019.pdf</t>
  </si>
  <si>
    <t>Книга «React Projects» Роя Деркса посвящена практическому изучению библиотеки React и её экосистемы (React Native, React 360) через создание 12 реальных приложений. Ключевые разделы охватывают разработку проектов от простого списка фильмов до кросс-платформенных приложений, с акцентом на написание кода с нуля. Издание предназначено для разработчиков, уже имеющих базовые знания JavaScript и желающих углубить навыки работы с React на практических примерах.</t>
  </si>
  <si>
    <t>Fluent React</t>
  </si>
  <si>
    <t>Tejas Kumar</t>
  </si>
  <si>
    <t>React.pdf</t>
  </si>
  <si>
    <t>Эта книга посвящена освоению библиотеки React для создания современных веб-приложений. В ней подробно разбираются фундаментальные концепции, такие как JSX, виртуальный DOM и алгоритм согласования, а также рассматривается эволюция веб-разработки от jQuery до архитектуры Flux. Издание предназначено для программистов, желающих углубить свои знания с базового до продвинутого уровня и научиться писать оптимизированный и интуитивно понятный код.</t>
  </si>
  <si>
    <t>React в действии</t>
  </si>
  <si>
    <t>Томас Марк Тиленс</t>
  </si>
  <si>
    <t>React_v_deystvii_2019_Tomas.pdf</t>
  </si>
  <si>
    <t>Книга «React в действии» представляет собой практическое руководство по фреймворку React для фронтенд-разработчиков. В первой части рассматриваются основы библиотеки, создание компонентов и работа с данными, а во второй — более сложные темы: жизненный цикл, формы, маршрутизация, тестирование и интеграция со сторонними инструментами. Отдельное внимание уделяется архитектуре приложений с Redux, серверному рендерингу и основам React Native. Издание рассчитано на специалистов, уже знакомых с веб-разработкой, которые хотят углубить знания в React.</t>
  </si>
  <si>
    <t>Learning React: A Hands-On Guide to Building Web Applications Using React and Redux</t>
  </si>
  <si>
    <t>Kirupa Chinnathambi</t>
  </si>
  <si>
    <t>Pearson Education</t>
  </si>
  <si>
    <t>Изучаем_React_Практическое_руководство_2019.pdf</t>
  </si>
  <si>
    <t>Книга «Изучаем React. Практическое руководство» (второе издание) Кирупы Чиннатамаби посвящена созданию веб-приложений с использованием библиотек React и Redux. В ней рассматриваются ключевые концепции, такие как одностраничные приложения, работа с JSX, создание компонентов React, управление состоянием пользовательского интерфейса и стилизация. Издание предназначено для новичков и специалистов, желающих освоить современный подход к разработке фронтенда.</t>
  </si>
  <si>
    <t>Азат Мардан</t>
  </si>
  <si>
    <t>Мардан_А_React_быстро_Библиотека.pdf</t>
  </si>
  <si>
    <t>Книга Азата Мардана «React быстро» посвящена изучению библиотеки React для создания веб-приложений, а также связанных технологий JSX, Redux и GraphQL. В ней рассматриваются основы React, включая создание компонентов, работу со свойствами и вложением элементов, а также преимущества библиотеки, такие как простота, скорость и удобство тестирования. Издание предназначено для front-end-разработчиков, желающих быстро освоить React и перейти на новый уровень веб-разработки.</t>
  </si>
  <si>
    <t>Путь к изучению React</t>
  </si>
  <si>
    <t>Robin Wieruch; Alexey Pyltsyn</t>
  </si>
  <si>
    <t>Путь к изучению React.pdf</t>
  </si>
  <si>
    <t>Эта книга представляет собой практическое руководство по изучению библиотеки React с нуля, написанное Робином Вирухом и Алексеем Пылцыным. В ней последовательно разбираются ключевые концепции, такие как JSX, компоненты, внутреннее состояние, однонаправленный поток данных, обработка событий, работа с формами и получение данных из API. Материал ориентирован на новичков, желающих освоить React, и включает в себя основы современного JavaScript (ES6), необходимые для работы с библиотекой.</t>
  </si>
  <si>
    <t>Full Stack GraphQL Applications with React, Node.js and Neo4j</t>
  </si>
  <si>
    <t>MANNING SHELTER ISLAND</t>
  </si>
  <si>
    <t>Разработка веб-приложения GrapphQL React Node js Neo4j.pdf</t>
  </si>
  <si>
    <t>Книга Уильяма Лиона посвящена созданию графовых веб-приложений с использованием стека технологий GraphQL, React, Apollo и базы данных Neo4j. В первой части рассматриваются основы GraphQL, его преимущества и недостатки, а также интеграция с React, Apollo Server/Client и графовой моделью данных Neo4j с языком запросов Cypher. Издание предназначено для веб-разработчиков полного цикла, имеющих базовое представление о Node.js и JavaScript, при этом опыт работы с GraphQL или графовыми базами данных не обязателен.</t>
  </si>
  <si>
    <t>React.js. Быстрый старт</t>
  </si>
  <si>
    <t>Стоян Стефанов</t>
  </si>
  <si>
    <t>Стоян Стефанов React-js Быстрый стоарт- 2017.pdf</t>
  </si>
  <si>
    <t>Эта книга представляет собой вводное руководство по библиотеке React от компании Facebook для JavaScript-разработчиков. В ней рассматриваются основные концепции, такие как создание и использование компонентов, работа с JSX, управление состоянием и свойствами, а также методы жизненного цикла компонентов. Отдельное внимание уделяется практическим примерам, включая разработку табличного компонента с функциями сортировки и поиска, а также инструментам для сборки и тестирования кода (ESLint, Flow, Jest). Издание предназначено для взыскательных JavaScript-разработчиков, желающих освоить React с нуля или углубить свои знания.</t>
  </si>
  <si>
    <t>Building Vue.js Applications with GraphQL</t>
  </si>
  <si>
    <t>Heitor Ramon Ribeiro</t>
  </si>
  <si>
    <t>Packt</t>
  </si>
  <si>
    <t>Веб-разработка/Vue</t>
  </si>
  <si>
    <t>Vue</t>
  </si>
  <si>
    <t>Building Vue.js Applications with GraphQL.epub</t>
  </si>
  <si>
    <t>C:\Users\alexa\YandexDisk\Книги\Веб-разработка\Vue</t>
  </si>
  <si>
    <t>Эта книга представляет собой практическое руководство по созданию полнофункционального чат-приложения на Vue.js с использованием GraphQL и AWS Amplify. Она охватывает такие ключевые темы, как работа с данными, событиями и вычисляемыми свойствами, создание компонентов и миксинов, а также настройку облачной среды и GraphQL API. Издание предназначено для frontend-разработчиков, имеющих базовые знания Vue.js и желающих освоить современные стандарты взаимодействия с API.</t>
  </si>
  <si>
    <t>Frontend Development Projects with Vue.js 3</t>
  </si>
  <si>
    <t>Maya Shavin</t>
  </si>
  <si>
    <t>Frontend Development Projects with Vue-js-3.pdf</t>
  </si>
  <si>
    <t>Книга «Frontend Development Projects with Vue.js 3» (второе издание, 2023 год) авторства Майи Шавин и Рэймонда Камдена представляет собой практическое руководство по изучению фреймворка Vue.js 3 через выполнение мини-проектов, упражнений и активностей. Ключевые разделы охватывают создание первого приложения на Vite, работу с директивами, двустороннее связывание данных, итерацию, методы, жизненные циклы компонентов и стилизацию с помощью CSS-модулей и SCSS. Книга предназначена для разработчиков начального и среднего уровня, желающих освоить Vue.js на практике и создавать динамичные, быстрые пользовательские интерфейсы.</t>
  </si>
  <si>
    <t>Fullstack Vue.js</t>
  </si>
  <si>
    <t>Hassan Djirdeh;Nate Murray;Ari Lerner</t>
  </si>
  <si>
    <t>Fullstack.io</t>
  </si>
  <si>
    <t>Fullstack Vue (Hassan Djirdeh).pdf</t>
  </si>
  <si>
    <t>Книга «Fullstack Vue» Хассана Джирдеха и соавторов представляет собой полное руководство по фреймворку Vue.js и сопутствующим технологиям. В ней рассматриваются ключевые концепции, такие как создание первого веб-приложения, работа с однофайловыми компонентами, управление данными между компонентами и пользовательские события. Издание предназначено для разработчиков, уже знакомых с основами JavaScript (включая ES6/ES7), и подходит как для новичков, так и для специалистов, желающих углубить знания в создании полноценных приложений на Vue.</t>
  </si>
  <si>
    <t>Vue.js in Action</t>
  </si>
  <si>
    <t>Эрик Хэнчетт; Бенджамин Листуон</t>
  </si>
  <si>
    <t>Vue.js в действии.pdf</t>
  </si>
  <si>
    <t>Книга «Vue.js в действии» посвящена практическому освоению библиотеки Vue.js для создания реактивных пользовательских интерфейсов. В ней рассматриваются ключевые концепции: экземпляр Vue, работа с формами, условные выражения, компоненты, маршрутизация, анимация, управление состоянием через Vuex и тестирование. Издание предназначено для разработчиков, уже знакомых с основами веб-разработки, и предлагает создать полноценное приложение интернет-магазина.</t>
  </si>
  <si>
    <t>Управление модулем ARDUINO по Wi-Fi</t>
  </si>
  <si>
    <t>Встроенные системы/Arduino</t>
  </si>
  <si>
    <t>Встроенные системы</t>
  </si>
  <si>
    <t>Arduino</t>
  </si>
  <si>
    <t>!Управление модулем ARDUINO по Wi-Fi.pdf</t>
  </si>
  <si>
    <t>C:\Users\alexa\YandexDisk\Книги\Встроенные системы\Arduino</t>
  </si>
  <si>
    <t>Данный фрагмент книги посвящен практическому руководству по настройке и управлению модулем Arduino через Wi-Fi. В тексте рассматриваются ключевые концепции подключения платы к беспроводной сети и передачи команд. Книга предназначена для начинающих пользователей, желающих освоить основы удаленного управления микроконтроллерами.</t>
  </si>
  <si>
    <t>77 проектов для Arduino</t>
  </si>
  <si>
    <t>Петин В. А.</t>
  </si>
  <si>
    <t>77 проектов для Arduino.pdf</t>
  </si>
  <si>
    <t>Книга Виктора Петина представляет собой практическое руководство по обучению электронике и программированию на платформе Arduino, содержащее 77 пошаговых экспериментов. Ключевые концепции включают работу со светодиодами, кнопками, датчиками, дисплеями, звуком и создание полноценных проектов, таких как игра «Змейка», метеостанция и электронные часы. Материал излагается от простого к сложному, с подробными иллюстрациями и без необходимости пайки. Издание предназначено для начинающих, желающих освоить Arduino с нуля, и может использоваться как методическое пособие.</t>
  </si>
  <si>
    <t>ARDUINO Быстрый старт</t>
  </si>
  <si>
    <t>Vladimir</t>
  </si>
  <si>
    <t>MaxKit.Ru</t>
  </si>
  <si>
    <t>ARDUINO Быстрый старт.pdf</t>
  </si>
  <si>
    <t>Этот фрагмент представляет собой руководство по быстрому старту с платформой Arduino, входящее в состав стартового набора для начинающих изобретателей. Ключевые концепции включают описание платы Arduino Uno, её портов и возможностей, а также инструкции по установке среды разработки Arduino IDE и драйверов для разных операционных систем. В книге представлено 14 практических экспериментов с электронными компонентами, такими как светодиоды, кнопки, датчики и серводвигатели. Материал предназначен для новичков, желающих освоить программирование, конструирование и электронное творчество.</t>
  </si>
  <si>
    <t>Arduino für Kids</t>
  </si>
  <si>
    <t>Florian Schäffer; Эрик Шернич</t>
  </si>
  <si>
    <t>Arduino для детей.pdf</t>
  </si>
  <si>
    <t>Книга «Arduino для детей» Эрика Шернича представляет собой практическое руководство по основам электроники и программирования на платформе Arduino. В ней объясняется, как собрать и запрограммировать такие проекты, как световая гирлянда, аппарат азбуки Морзе, двигатель постоянного тока, а также рассматриваются работа с сенсорами, моторами и ЖК-дисплеем. Издание предназначено для детей от 10 лет, которые интересуются компьютерной техникой и являются новичками в этой области.</t>
  </si>
  <si>
    <t>Arduino для изобретателей</t>
  </si>
  <si>
    <t>Arduino для изобретателей.pdf</t>
  </si>
  <si>
    <t>Данный фрагмент книги «Arduino для изобретателей» представляет собой практическое руководство по работе с платформой Arduino, ориентированное на начинающих. В отрывке рассматриваются базовые концепции, такие как подключение компонентов и написание простого кода, что позволяет читателю быстро приступить к созданию собственных проектов. Книга предназначена для новичков, желающих освоить электронику и программирование микроконтроллеров с нуля.</t>
  </si>
  <si>
    <t>Arduino для начинающих : самый простой пошаговый самоучитель</t>
  </si>
  <si>
    <t>Стюарт Ярнольд</t>
  </si>
  <si>
    <t>Arduino для начинающих  2017.pdf</t>
  </si>
  <si>
    <t>Эта книга представляет собой пошаговый самоучитель по платформе Arduino, предназначенный для новичков. В ней рассматриваются основные сведения о платах, необходимые инструменты и компоненты, установка программного обеспечения, а также работа с шилдами и библиотеками. Ключевые разделы включают основы электротехники, программирования Arduino и создание практических проектов. Издание ориентировано на читателей, делающих первые шаги в электронике и программировании микроконтроллеров.</t>
  </si>
  <si>
    <t>Arduino для секретных агентов</t>
  </si>
  <si>
    <t>Marco Schwartz</t>
  </si>
  <si>
    <t>Arduino для секретных агентов.pdf</t>
  </si>
  <si>
    <t>Эта книга представляет собой практическое руководство по созданию шпионских гаджетов на базе платформы Arduino. В ней рассматриваются такие проекты, как система сигнализации, шпионский микрофон, детектор электромагнитных полей, замок с отпечатком пальца, GPS-трекер и робот-шпион. Материал предназначен для начинающих и любителей электроники, желающих освоить создание устройств для скрытого наблюдения и контроля доступа.</t>
  </si>
  <si>
    <t>Arduino "на пальцах" Ч1</t>
  </si>
  <si>
    <t>Arduino на пальцах.pdf</t>
  </si>
  <si>
    <t>Эта книга представляет собой доступное введение в электронику и платформу Arduino для новичков, не имеющих опыта в программировании микроконтроллеров. Автор использует упрощённую, «антинаучную» методику «канализационной электрики», объясняя базовые понятия (напряжение, ток, сопротивление) через аналогию с водопроводом, а также вводит закон Ома и правило Кирхгофа. В тексте рассматриваются основы работы с макетной платой, сборка схем без пайки и даются начальные советы по пайке. Материал предназначен для студентов и всех, кто хочет с нуля освоить практическую электронику и Arduino.</t>
  </si>
  <si>
    <t>Making Things Talk, 3rd Edition</t>
  </si>
  <si>
    <t>Том Иго</t>
  </si>
  <si>
    <t>Arduino,_датчики_и_сети_для_связи_устройств.pdf</t>
  </si>
  <si>
    <t>Книга Тома Иго «Умные вещи: Arduino, датчики и сети для связи устройств» (3-е издание) посвящена созданию проектов на основе микроконтроллеров Arduino, которые могут обмениваться данными и взаимодействовать по сети. В ней рассматриваются 31 проект, охватывающий работу с Wi-Fi, Bluetooth, LoRa и инфракрасным излучением, а также использование платформ Arduino Uno, ESP32, Raspberry Pi и программных сред Arduino IDE, Processing и node.js. Ключевые разделы включают настройку инструментария, создание программ для микроконтроллеров, работу с одноплатными компьютерами и вопросы безопасности. Книга предназначена для широкого круга читателей, интересующихся современной электроникой, от новичков до опытных специалистов.</t>
  </si>
  <si>
    <t>Arduino Cookbook</t>
  </si>
  <si>
    <t>Michael Margolis; Brian Jepson; Nicholas Robert Weldin</t>
  </si>
  <si>
    <t>Arduino. Большая книга рецептов.pdf</t>
  </si>
  <si>
    <t>Книга «Arduino. Большая книга рецептов» представляет собой практическое руководство по созданию проектов на базе платформы Arduino, содержащее решения более 200 задач. В третьем издании обновлены примеры для версии 1.8 среды Arduino IDE, а также добавлены разделы по Интернету вещей, мониторингу окружающей среды и работе с датчиками. Каждое решение включает программный код с комментариями, анализ и обсуждение возможных проблем. Издание предназначено как для начинающих, так и для опытных разработчиков и радиолюбителей.</t>
  </si>
  <si>
    <t>Arduino: искусственный интеллект и машинное обучение</t>
  </si>
  <si>
    <t>Стивен Ф. Барретт</t>
  </si>
  <si>
    <t>Arduino. Искусственный интеллект.pdf</t>
  </si>
  <si>
    <t>Книга Стивена Барретта посвящена применению искусственного интеллекта и машинного обучения на платформе Arduino, в первую очередь на плате Arduino Nano 33 BLE Sense, но с примерами, совместимыми и с более простыми контроллерами. В ней подробно рассматриваются аппаратные возможности платы, включая встроенные датчики, модули Bluetooth и различные интерфейсы связи, а также приводятся практические примеры проектов. Издание ориентировано на студентов, практикующих инженеров и широкий круг любителей электроники, обладающих начальными навыками работы с Arduino.</t>
  </si>
  <si>
    <t>Arduino: От азов программирования до создания практических устройств</t>
  </si>
  <si>
    <t>Arduino_От_азов_программирования_до_создания_практических_устройств.djvu</t>
  </si>
  <si>
    <t>Книга посвящена обучению работе с платформой Arduino, начиная с основ программирования и заканчивая созданием практических устройств. В ней рассматриваются ключевые концепции, такие как синтаксис языка Arduino, работа с цифровыми и аналоговыми входами/выходами, а также подключение датчиков и исполнительных механизмов. Издание предназначено для начинающих, желающих освоить электронику и программирование микроконтроллеров с нуля.</t>
  </si>
  <si>
    <t>Arduino. Полный учебный курс. От игры к инженерному проекту</t>
  </si>
  <si>
    <t>А. А. Салахова; О. А. Феоктистова; Н. А. Александрова; М. В. Храмова</t>
  </si>
  <si>
    <t>Arduino_Полный_учебный_курс_От_игры_к_инженерному_проекту.pdf</t>
  </si>
  <si>
    <t>Эта книга представляет собой полный учебный курс по платформе Arduino Uno, предназначенный для детей среднего и старшего школьного возраста. Она охватывает аппаратное обеспечение микроконтроллера, программирование на графических языках Snap! и ArduBlock, а также на текстовом языке Wiring. В издании рассматриваются основы прототипирования, работа с периферийными устройствами и датчиками, а также оформление инженерных проектов. Материал структурирован в виде последовательных тем с вопросами, практическими заданиями и проектами, что делает его подходящим для новичков.</t>
  </si>
  <si>
    <t>Best Arduino Automation Project: Arduino Project Ideas for Automated System</t>
  </si>
  <si>
    <t>Agus Yulianto</t>
  </si>
  <si>
    <t>Best_Arduino_Automation_Project.pdf</t>
  </si>
  <si>
    <t>Эта книга представляет собой сборник проектов по автоматизации на базе Arduino, охватывающий такие темы, как управление лифтом, энергосбережение, создание «умного» кулера и системы домашней автоматизации с голосовым управлением и IoT. Ключевые разделы включают схемы подключения, код и пошаговые инструкции для реализации каждого проекта. Издание ориентировано на пользователей среднего уровня, имеющих базовые навыки работы с Arduino и электроникой.</t>
  </si>
  <si>
    <t>Быстрый старт. Первые шаги по освоению Arduino</t>
  </si>
  <si>
    <t>Bystry_start_Pervye_shagi_po_osvoeniyu_Arduino_2015.pdf</t>
  </si>
  <si>
    <t>Этот фрагмент представляет собой руководство по быстрому старту для начинающих пользователей платформы Arduino. В нём объясняется, что такое Arduino (электронный конструктор и мини-компьютер для взаимодействия с физическим миром), описывается процесс установки среды разработки Arduino IDE и драйверов, а также приводится оглавление с 14 практическими экспериментами (от работы со светодиодами до серводвигателя и ЖК-экрана). Материал предназначен для новичков, делающих первые шаги в программировании, конструировании и электронном творчестве.</t>
  </si>
  <si>
    <t>Getting Started with Arduino</t>
  </si>
  <si>
    <t>Banzi, Massimo;Shiloh, Michael</t>
  </si>
  <si>
    <t>Make Community, LLC</t>
  </si>
  <si>
    <t>Getting_Started_With_Arduino_The_Open_Source_Electronics_Prototy.pdf</t>
  </si>
  <si>
    <t>Это четвёртое издание книги Массимо Банци и Майкла Шилоха, посвящённое платформе Arduino — инструменту для создания интерактивных электронных прототипов с открытым исходным кодом. Книга знакомит с основами физических вычислений и взаимодействия, охватывая такие темы, как прототипирование, работа с датчиками и исполнительными устройствами, а также пошаговое руководство по установке среды разработки и созданию первого проекта (например, мигание светодиодом). Издание предназначено для новичков, интересующихся электроникой и программированием, и не требует предварительных специальных знаний.</t>
  </si>
  <si>
    <t>Make: Action: Movement, Light, and Sound with Arduino and Raspberry Pi</t>
  </si>
  <si>
    <t>Simon Monk</t>
  </si>
  <si>
    <t>Maker Media</t>
  </si>
  <si>
    <t>Meykerstvo_Arduino_i_Raspberry_Pi_2017.pdf</t>
  </si>
  <si>
    <t>Книга «Мейкерство. Arduino и Raspberry Pi» посвящена самостоятельному созданию устройств на базе платформ Arduino и Raspberry Pi, с фокусом на управление движением, светом и звуком. В ней последовательно, через эксперименты и проекты, рассматриваются принципы работы с различными компонентами: от светодиодов и электродвигателей до дисплеев и звуковых устройств, включая дистанционное управление через Интернет. Издание предназначено для читателей, интересующихся электроникой и робототехникой, и подходит как для новичков, так и для любителей с начальным уровнем подготовки.</t>
  </si>
  <si>
    <t>Ардуино для чайников</t>
  </si>
  <si>
    <t>Электрик Инфо</t>
  </si>
  <si>
    <t>Ардуино для чайников.pdf</t>
  </si>
  <si>
    <t>Этот фрагмент книги представляет собой введение в платформу Arduino для начинающих. В нём объясняется, что Arduino — это электронный конструктор, упрощающий обучение программированию микроконтроллеров, и описываются популярные модели плат (Uno, Nano, Pro Mini), их распиновка и способы подключения к компьютеру через USB-UART преобразователи. Книга предназначена для полных новичков, желающих освоить основы работы с Arduino без глубоких знаний электроники.</t>
  </si>
  <si>
    <t>Быстрый старт: первые шаги по изучению Arduino</t>
  </si>
  <si>
    <t>Быстрый старт-первые шаги по изучению_Arduino_2015.pdf</t>
  </si>
  <si>
    <t>Этот фрагмент представляет собой руководство по быстрому старту для начинающих изобретателей, знакомящее с платформой Arduino. Книга объясняет, что такое Arduino (электронный конструктор и мини-компьютер для взаимодействия с физическим миром), и содержит 14 практических экспериментов с различными компонентами, такими как светодиоды, кнопки, датчики и серводвигатели. В тексте описываются основы работы с платой Arduino Uno, процесс установки среды разработки Arduino IDE и драйверов, а также интерфейс программы. Материал предназначен для новичков, желающих освоить программирование, конструирование и электронное творчество.</t>
  </si>
  <si>
    <t>Изучаем Arduino: инструменты и методы технического волшебства</t>
  </si>
  <si>
    <t>Джереми Блум</t>
  </si>
  <si>
    <t>Джереми Блум Изучаем Arduino- инструменты и методы технического волшебства (2015).djvu</t>
  </si>
  <si>
    <t>Данный фрагмент книги Джереми Блума «Изучаем Arduino» представляет собой практическое руководство по работе с платформой Arduino, посвящённое основам электроники и программирования микроконтроллеров. Ключевые разделы включают работу с датчиками, управление светодиодами и моторами, а также написание скетчей на языке Wiring/Processing. Книга предназначена для начинающих и любителей, желающих освоить создание интерактивных устройств и робототехнику с нуля.</t>
  </si>
  <si>
    <t>The Arduino-Inside Measurement Lab</t>
  </si>
  <si>
    <t>Burkhard Kainka</t>
  </si>
  <si>
    <t>Измерительная лаборатория внутри Arduino.pdf</t>
  </si>
  <si>
    <t>Эта книга Бурхарда Каинки посвящена созданию многофункционального измерительного и испытательного прибора (8-в-1) на базе Arduino, который объединяет функции генератора сигналов, осциллографа, частотомера и других устройств. Ключевые разделы охватывают подготовку контроллера (Arduino Nano), программирование на GCC, работу с прямым цифровым синтезом (DDS), а также методы измерения ёмкости, сопротивления и частоты. Издание предназначено для радиолюбителей и электронщиков среднего уровня, знакомых с основами Arduino и желающих расширить свои навыки в области измерений и тестирования схем.</t>
  </si>
  <si>
    <t>Mastering the Arduino Uno R4</t>
  </si>
  <si>
    <t>Dogan Ibrahim</t>
  </si>
  <si>
    <t>Изучаем Arduino UNO R4.pdf</t>
  </si>
  <si>
    <t>Книга Догана Ибрагима посвящена освоению новой платы Arduino Uno R4, выпущенной в двух версиях: Minima и WiFi, которая пришла на смену популярной Uno R3 на базе 8-битного процессора. В издании подробно рассматриваются аппаратные особенности новой платы (32-битный процессор Cortex-M4, ЦАП, CAN Bus), программирование в среде Arduino IDE и множество практических проектов — от работы со светодиодами и датчиками до создания RFID-считывателей и организации связи по Wi-Fi, Bluetooth и CAN-шине. Книга предназначена для широкого круга читателей, уже знакомых с Arduino и имеющих опыт работы с микроконтроллерами.</t>
  </si>
  <si>
    <t>Exploring Arduino: Tools and Techniques for Engineering Wizardry</t>
  </si>
  <si>
    <t>Jeremy Blum</t>
  </si>
  <si>
    <t>Wiley</t>
  </si>
  <si>
    <t>Изучаем Arduino.pdf</t>
  </si>
  <si>
    <t>Книга «Изучаем Arduino» Джереми Блума представляет собой практическое руководство по проектированию электронных устройств на базе микроконтроллерной платформы Arduino. В ней рассматриваются основы аппаратного и программного обеспечения, принципы программирования в среде Arduino IDE, а также работа с датчиками, двигателями, индикаторами и интерфейсами передачи данных, включая Bluetooth и Wi-Fi. Второе издание дополнено проектами с шаговыми двигателями и беспроводной связью, а также углублёнными темами электротехники. Материал ориентирован на радиолюбителей и новичков, желающих создавать проекты в домашних условиях с использованием недорогих комплектующих.</t>
  </si>
  <si>
    <t>Конструируем роботов на Arduino. Первые шаги</t>
  </si>
  <si>
    <t>Дж. Бейктал</t>
  </si>
  <si>
    <t>Конструируем роботов ARDUINO.pdf</t>
  </si>
  <si>
    <t>Это практическое руководство для начинающих, посвященное основам робототехники на платформе Arduino. Книга охватывает базовые концепции электроники, программирование в среде Arduino IDE, работу с макетными платами и инструментами, а также включает практические проекты, такие как мигающий светодиод и лазерная сигнализация. Издание предназначено для новичков, молодых изобретателей и всех, кто хочет освоить создание роботов с нуля.</t>
  </si>
  <si>
    <t>Мобильные роботы на базе Arduino</t>
  </si>
  <si>
    <t>Момот М.В.</t>
  </si>
  <si>
    <t>Встроенные системы/Робототехника</t>
  </si>
  <si>
    <t>Робототехника</t>
  </si>
  <si>
    <t>Мобильные роботы на базе Arduino.pdf</t>
  </si>
  <si>
    <t>Книга представляет собой практическое руководство по созданию мобильных роботов на базе платформы Arduino, начиная с простых моделей и заканчивая сложными интеллектуальными устройствами. В ней рассматриваются ключевые концепции, такие как сборка механики и электроники, программирование функций управления, а также использование датчиков (касания, расстояния, освещенности) и систем навигации (компас, гироскоп). Второе издание дополнено проектами по голосовому управлению, созданию говорящего робота и механической «руки». Книга ориентирована на начинающих конструкторов, интересующихся электроникой и робототехникой.</t>
  </si>
  <si>
    <t>Освоение Arduino</t>
  </si>
  <si>
    <t>Джон Хофман</t>
  </si>
  <si>
    <t>Освоение Arduino - 2014.pdf</t>
  </si>
  <si>
    <t>Книга «Освоение Arduino» Джона Хофмана представляет собой практическое руководство по электронике, схемотехнике и программированию на платформе Arduino. В ней рассматриваются основы работы с платой Arduino UNO, среда разработки Arduino IDE, базовые и продвинутые концепции программирования, а также множество практических проектов: от датчиков движения и освещения до создания роботов, работы с двигателями, ЖК-дисплеями и Bluetooth LE. Материал ориентирован на новичков, желающих освоить проектный подход к созданию электронных устройств, и содержит пошаговые инструкции, схемы и примеры кода.</t>
  </si>
  <si>
    <t>Основы Arduino</t>
  </si>
  <si>
    <t>Майкл МакРобертс</t>
  </si>
  <si>
    <t>Основы Arduino + code.zip</t>
  </si>
  <si>
    <t>Это фрагмент книги Майка МакРобертса, посвященной практическому обучению работе с платформой Arduino. Книга представляет собой сборник проектов, охватывающих ключевые темы: от основ работы со светодиодами и датчиками до управления двигателями, дисплеями и сетевым обменом данными. Издание предназначено для начинающих и любителей, желающих освоить электронику и программирование микроконтроллеров через создание конкретных устройств.</t>
  </si>
  <si>
    <t>От Arduino до Omega</t>
  </si>
  <si>
    <t>CryptoMakson</t>
  </si>
  <si>
    <t>От Arduino до Omega@CryptoMakson.djvu</t>
  </si>
  <si>
    <t>Книга посвящена практическому освоению платформы Arduino и переходу к более сложным устройствам, вплоть до Omega. В ней рассматриваются ключевые концепции программирования микроконтроллеров, работа с датчиками и исполнительными механизмами, а также интеграция с современными модулями. Материал ориентирован на начинающих и любителей, желающих систематизировать знания и перейти от простых проектов к более продвинутым.</t>
  </si>
  <si>
    <t>Первые шаги с Arduino</t>
  </si>
  <si>
    <t>Массимо Банци; Майкл Шайло</t>
  </si>
  <si>
    <t>Первые шаги с Arduino.pdf</t>
  </si>
  <si>
    <t>Книга представляет собой введение в платформу Arduino — самую популярную платформу для прототипирования электроники с открытым исходным кодом. В ней рассматриваются основы интерактивного дизайна и физических вычислений, устройство плат Arduino, установка среды разработки Arduino IDE, а также практические проекты, включая работу с датчиками, светодиодами и выход в интернет через Wi-Fi. Издание предназначено для новичков, интересующихся электроникой и конструированием, и содержит всю необходимую информацию для создания собственных устройств от списка компонентов до отладки.</t>
  </si>
  <si>
    <t>Программирование микроконтроллерных плат Arduino/Freeduino</t>
  </si>
  <si>
    <t>Соммер У.</t>
  </si>
  <si>
    <t>Программирование плат ARDUINO.pdf</t>
  </si>
  <si>
    <t>Книга У. Соммера посвящена программированию микроконтроллерных плат Arduino и Freeduino. В ней рассматриваются структура микроконтроллеров, среда разработки Arduino, основы программирования (команды, операторы, функции), а также аналоговый и цифровой ввод/вывод. Издание содержит более 80 практических примеров с монтажными схемами и листингами, включая проекты реле температуры, вольтметра и сигнализации. Книга предназначена для радиолюбителей и начинающих разработчиков, желающих освоить программирование микроконтроллеров.</t>
  </si>
  <si>
    <t>Electronics Cookbook: Practical Electronic Recipes with Arduino and Raspberry Pi</t>
  </si>
  <si>
    <t>Саймон_Монк_Электроника_Сборник_рецептов_готовые_решения 2019.pdf</t>
  </si>
  <si>
    <t>Книга «Электроника. Сборник рецептов» Саймона Монка представляет собой практическое руководство по электронике с готовыми решениями на базе Arduino и Raspberry Pi. Она охватывает широкий спектр тем: от основных законов и компонентов (резисторы, конденсаторы, транзисторы) до работы с датчиками, двигателями, источниками питания и цифровыми микросхемами. Материал структурирован в виде рецептов, что делает его удобным для быстрого поиска и применения. Издание предназначено как для начинающих энтузиастов, так и для опытных специалистов, желающих получить практические советы по сборке и отладке электронных устройств.</t>
  </si>
  <si>
    <t>Занимательная электроника</t>
  </si>
  <si>
    <t>Танака Кенъити</t>
  </si>
  <si>
    <t>Танака_Кенъити_Занимательная_электроника.pdf</t>
  </si>
  <si>
    <t>Книга Кенъити Танаки «Занимательная электроника» посвящена основам электроники и практической работе с микроконтроллерами, в частности с платформой Arduino. Ключевые разделы охватывают базовые электрические компоненты, схемотехнику, программирование и создание простых проектов. Издание ориентировано на начинающих любителей и школьников, желающих освоить электронику с нуля через наглядные примеры и эксперименты.</t>
  </si>
  <si>
    <t>Elektronik für Kids</t>
  </si>
  <si>
    <t>Флориан Шеффер</t>
  </si>
  <si>
    <t>ДМК</t>
  </si>
  <si>
    <t>Шеффер,_Флориан_Электроника_для_детей_ДМК_издатељство_2019.pdf</t>
  </si>
  <si>
    <t>Книга «Электроника для детей» Флориана Шеффера представляет собой практическое введение в основы электроники, начиная с простейших экспериментов, таких как создание батарейки из лимона, и заканчивая изучением транзисторов и магнитных явлений. Ключевые разделы охватывают такие темы, как электрические схемы, последовательное и параллельное соединение, закон Ома, сопротивление, диоды и транзисторы. Издание предназначено для начинающих, в первую очередь для детей, и содержит множество пошаговых инструкций, контрольных вопросов и заданий для самостоятельного закрепления материала.</t>
  </si>
  <si>
    <t>FPGA Programming for Beginners</t>
  </si>
  <si>
    <t>Frank Bruno</t>
  </si>
  <si>
    <t>Встроенные системы/FPGA</t>
  </si>
  <si>
    <t>FPGA</t>
  </si>
  <si>
    <t>FPGA Programming for Beginners (Frank Bruno).pdf</t>
  </si>
  <si>
    <t>C:\Users\alexa\YandexDisk\Книги\Встроенные системы\FPGA</t>
  </si>
  <si>
    <t>Книга «FPGA Programming for Beginners» Фрэнка Бруно представляет собой практическое введение в проектирование цифровых схем на ПЛИС (FPGA) с использованием языка SystemVerilog. В ней рассматриваются основы архитектуры FPGA (на примере Xilinx Artix-7), комбинационная и последовательная логика, конечные автоматы, работа с периферией (семисегментные индикаторы, микрофоны, датчики) и инструментарий Vivado. Ключевые разделы включают создание калькулятора, детектора нажатий кнопок и обработку аудиоданных. Книга предназначена для начинающих разработчиков и инженеров, желающих освоить программирование ПЛИС с нуля.</t>
  </si>
  <si>
    <t>Программируемые логические автоматы (ПЛА)</t>
  </si>
  <si>
    <t>Б. Г. Терёхин</t>
  </si>
  <si>
    <t>СУПЕР Издательство</t>
  </si>
  <si>
    <t>Программируемые_логические_автоматы.pdf</t>
  </si>
  <si>
    <t>Книга Б. Г. Терёхина посвящена новым методам построения программируемых логических автоматов (ПЛА) — процессоров для систем управления, основанных на более эффективных принципах синтеза и программирования по сравнению с традиционными микропроцессорами. Ключевые концепции включают использование нового свойства триггеров для совмещения функций вычисления, памяти и сдвига, а также реализацию нелинейных алгоритмов без команд перехода и минимизацию количества тактов при вычислении логических функций. Издание предназначено для специалистов и разработчиков систем программного управления и цифрового регулирования, интересующихся схемотехникой и архитектурой логических автоматов.</t>
  </si>
  <si>
    <t>Цифровой синтез. Практический курс.</t>
  </si>
  <si>
    <t>Антонов А. А.; Барабанов А. В.; Данчек Ч. Т.; Жельнио С. Л.; Иванец С. А.; Кудрявцев И. А.; Панчул Ю. В.; Романов А. Ю.; Романова И. И.; Телятников А. А.; Шуплецов М. С.</t>
  </si>
  <si>
    <t>Цифровой синтез.pdf</t>
  </si>
  <si>
    <t>Книга представляет собой расширенный практический курс по цифровому синтезу, ориентированный на язык Verilog и проектирование на уровне регистровых передач (RTL). Она охватывает основы комбинационной и последовательностной логики, работу с памятью, конечными автоматами, конвейерную обработку данных и микроархитектуру софт-процессора. Издание предназначено для студентов технических вузов, разработчиков аппаратно-программных систем и специалистов в области прикладной математики, интересующихся алгоритмами САПР.</t>
  </si>
  <si>
    <t>Компьютерные сети. IoT и межмашинное взаимодействие</t>
  </si>
  <si>
    <t>Мунистер В.Д.</t>
  </si>
  <si>
    <t>Встроенные системы/IoT</t>
  </si>
  <si>
    <t>IoT</t>
  </si>
  <si>
    <t>!Мунистер_Компьютерные_сети_IoT_и_межмашинное_взаимодействие.pdf</t>
  </si>
  <si>
    <t>C:\Users\alexa\YandexDisk\Книги\Встроенные системы\IoT</t>
  </si>
  <si>
    <t>Данная хрестоматия посвящена компьютерным сетям, технологиям Интернета вещей (IoT) и межмашинному взаимодействию. Ключевые разделы охватывают классификацию сетей (BAN, PAN, LAN, CAN, MAN), интеллектуальные системы на базе сенсорных сетей, беспроводные технологии и вопросы организации сетей. Материал ориентирован на читателей, уже знакомых с основами сетевого инжиниринга, и содержит элементы учебно-теоретического издания.</t>
  </si>
  <si>
    <t>A Concise Introduction to Robot Programming with ROS 2: Second Edition</t>
  </si>
  <si>
    <t>Francisco Martín Rico</t>
  </si>
  <si>
    <t>A Concise Introduction to Robot Programming with ROS 2_2Ed.pdf</t>
  </si>
  <si>
    <t>Эта книга представляет собой введение в программирование роботов с использованием ROS 2, новой версии Robot Operating System, и предназначена для инженеров, студентов и профессионалов, желающих освоить эту платформу с нуля. Автор, Франсиско Мартин Рико, рассматривает ROS 2 с трех ключевых сторон: сообщества, графа вычислений и рабочего пространства, а также использует два официально поддерживаемых языка — C++ и Python. В книге описываются такие темы, как создание первых узлов, работа с симуляцией робота, конечные автоматы, деревья поведения и навигация Nav2. Материал подходит для новичков, не имеющих предварительного опыта работы с ROS 2, и сопровождается примерами кода из репозитория GitHub.</t>
  </si>
  <si>
    <t>Aerial Robotic Workers: Design, Modeling, Control, Vision, and Their Applications</t>
  </si>
  <si>
    <t>George Nikolakopoulos; Sina Sharif Mansouri; Christoforos Kanellakis</t>
  </si>
  <si>
    <t>Butterworth-Heinemann</t>
  </si>
  <si>
    <t>Aerial Robotic Workers_ Design.pdf</t>
  </si>
  <si>
    <t>Эта книга представляет собой комплексное руководство по проектированию, моделированию, управлению и применению aerial robotic workers (ARW) — летающих роботов, таких как дроны. Ключевые разделы охватывают аппаратные модули, математическое моделирование, методы управления (PID, LQR, MPC), компьютерное зрение, навигацию, исследование среды и оценку внешних сил. Издание предназначено для инженеров, исследователей и специалистов в области робототехники, имеющих базовую подготовку, а также может быть полезно студентам старших курсов.</t>
  </si>
  <si>
    <t>Ambient Intelligence and Internet of Things: Convergent Technologies</t>
  </si>
  <si>
    <t>Md Rashid Mahmood; Rohit Raja; Harpreet Kaur; Sandeep Kumar; Kapil Kumar Nagwanshi</t>
  </si>
  <si>
    <t>Ambient_Intelligence_and_Internet_of_Things.pdf</t>
  </si>
  <si>
    <t>Книга «Ambient Intelligence and Internet of Things: Convergent Technologies» под редакцией группы авторов посвящена конвергенции технологий «умной» среды (Ambient Intelligence) и Интернета вещей (IoT). В ней рассматриваются ключевые концепции, архитектура, протоколы и области применения этих технологий, включая здравоохранение, «умные» города, безопасность и сельское хозяйство. Издание предназначено для специалистов и исследователей в области информационных технологий, машинного обучения и IoT, а также для студентов соответствующих специальностей, имеющих базовую подготовку.</t>
  </si>
  <si>
    <t>Arduino и Raspberry Pi в проектах Internet of Things</t>
  </si>
  <si>
    <t>Петин В.А.</t>
  </si>
  <si>
    <t>Arduino и Raspberry Pi в проектах Internet of Тhings.zip</t>
  </si>
  <si>
    <t>Книга Виктора Петина посвящена созданию устройств в рамках концепции Интернета вещей (IoT) на базе платформы Arduino и микрокомпьютера Raspberry Pi. В ней рассматриваются установка и настройка сред разработки Arduino IDE и Fritzing, подключение датчиков и исполнительных устройств, а также организация доступа проектов к сети через облачные сервисы (Narodmon, ThingSpeak, Blynk и другие). Отдельное внимание уделено работе с Wi-Fi-модулем ESP8266 и созданию собственного сервера для сбора данных. Издание рассчитано на широкий круг читателей, интересующихся современной электроникой, включая новичков.</t>
  </si>
  <si>
    <t>Arduino Uno и Raspberry Pi 3: от схемотехники к интернету вещей</t>
  </si>
  <si>
    <t>С. Л. Макаров</t>
  </si>
  <si>
    <t>Arduino_Uno_и_Raspberry_Pi_3_от_схемотехники_к_IoT.pdf</t>
  </si>
  <si>
    <t>Книга С. Л. Макарова представляет собой практическое руководство по созданию приложений для интернета вещей (IoT). Первая часть посвящена основам схемотехники и программирования на платформе Arduino Uno, а вторая — реализации IoT-проектов на базе Raspberry Pi 3, включая работу с ОС Android Things и облачными сервисами. Издание рассчитано на широкий круг читателей, интересующихся современной электроникой и программированием, включая новичков и любителей собирать устройства своими руками.</t>
  </si>
  <si>
    <t>Closing the Care Gap with Wearable Devices; Innovating Healthcare with Wearable Patient Monitoring</t>
  </si>
  <si>
    <t>Michael W. Davis</t>
  </si>
  <si>
    <t>Closing_the_Care_Gap_with_Wearable_Devices.pdf</t>
  </si>
  <si>
    <t>Книга посвящена использованию носимых медицинских устройств для мониторинга пациентов и преодоления разрыва в качестве медицинской помощи, особенно актуального после пандемии COVID-19. В ней рассматриваются ключевые концепции: сбор данных в реальном времени, удаленный мониторинг, типы физиологических датчиков, протоколы беспроводной связи, источники питания, а также вопросы кибербезопасности и соответствия стандарту HIPAA. Издание предназначено для специалистов, занимающихся оценкой, внедрением, управлением или проектированием носимых устройств, и требует базового понимания медицинских технологий.</t>
  </si>
  <si>
    <t>Edge Computing: Systems and Applications</t>
  </si>
  <si>
    <t>Weisong Shi; Lanyu Xu</t>
  </si>
  <si>
    <t>Edge Computing_Systems.pdf</t>
  </si>
  <si>
    <t>Книга «Edge Computing: Systems and Applications» авторов Ланью Сюй и Вэйсона Ши посвящена технологии граничных вычислений, её эволюции, архитектуре и ключевым компонентам. В первых главах рассматриваются предпосылки возникновения технологии, её отличие от облачных вычислений, а также фундаментальные концепции, включая распределённые вычисления, миграцию вычислений и интеграцию с 5G/6G. Издание предназначено для специалистов и студентов, изучающих компьютерные науки, и предполагает наличие базовых знаний в области распределённых систем.</t>
  </si>
  <si>
    <t>Energy IoT Architecture: from Theory to Practice</t>
  </si>
  <si>
    <t>McCafferty, Stuart</t>
  </si>
  <si>
    <t>Artech House</t>
  </si>
  <si>
    <t>Energy IoT Architecture.pdf</t>
  </si>
  <si>
    <t>Книга Стюарта Маккафферти «Energy IoT Architecture: from Theory to Practice» посвящена архитектуре Интернета вещей в энергетике и переходу к чистой, децентрализованной энергосистеме. В ней рассматриваются ключевые концепции, такие как «нейронная сеть» (Neural Grid), микросети, облачная платформа «Зелёное облако» (Green Cloud) и интеграция возобновляемых источников энергии. Издание предназначено для специалистов в области энергетики, инженеров и архитекторов систем, уже знакомых с основами электроэнергетики и IoT.</t>
  </si>
  <si>
    <t>Engineering Secure Devices: A Practical Guide for Embedded System Architects and Developers</t>
  </si>
  <si>
    <t>Dominik Merli</t>
  </si>
  <si>
    <t>Engineering Secure Devices_True.pdf</t>
  </si>
  <si>
    <t>Книга «Engineering Secure Devices» представляет собой практическое руководство по обеспечению безопасности встраиваемых систем для архитекторов и разработчиков. Основное внимание уделяется процессу безопасной разработки, а также фундаментальным концепциям и практическим мерам защиты, применяемым в промышленных, автомобильных и IoT-устройствах. Издание предназначено для специалистов среднего и продвинутого уровня, включая инженеров и разработчиков, стремящихся углубить свои знания в области безопасности встраиваемых систем.</t>
  </si>
  <si>
    <t>Future Communication Systems Using Artificial Intelligence, Internet of Things and Data Science</t>
  </si>
  <si>
    <t>Dr Inam Ullah</t>
  </si>
  <si>
    <t>Future Communication Systems Using AI, IoT.pdf</t>
  </si>
  <si>
    <t>Книга посвящена применению искусственного интеллекта, Интернета вещей и науки о данных в системах связи будущего. В ней рассматриваются ключевые концепции, такие как прогнозная сетевая аналитика, машинное обучение для управления ресурсами и обеспечения сверхнизкой задержки, а также методы анализа качества пользовательского опыта. Издание предназначено для студентов, исследователей, инженеров и профессионалов, интересующихся разработкой самооптимизирующихся сетей и инфраструктур нового поколения.</t>
  </si>
  <si>
    <t>Internet of Things: Frameworks for Enabling and Emerging Technologies</t>
  </si>
  <si>
    <t>Bharat Bhushan; Sudhir Kumar Sharma; Bhuvan Unhelkar; Muhammad Fazal Ijaz; Lamia Karim</t>
  </si>
  <si>
    <t>CRC Press (Routledge)</t>
  </si>
  <si>
    <t>Internet of Things Frameworks 2022.pdf</t>
  </si>
  <si>
    <t>Книга «Internet of Things: Frameworks for Enabling and Emerging Technologies» под редакцией Бхарата Бхушана посвящена Интернету вещей (IoT) как прорывной технологии, рассматриваемой в контексте реальных организаций и систем. Ключевые разделы охватывают широкий спектр тем: от концептуальных моделей и стандартизации экосистем IoT до глубокого обучения на периферии, безопасности аппаратного обеспечения, управления ресурсами «умного города» и применения IoT в маркетинге. Издание предназначено для специалистов и исследователей, интересующихся современными фреймворками и интеграцией IoT с такими областями, как киберфизические системы, большие данные, машинное обучение и блокчейн.</t>
  </si>
  <si>
    <t>Internet of Things (IoT): Technologies, Applications, Challenges, and Solutions</t>
  </si>
  <si>
    <t>B.K. Tripathy; J. Anuradha</t>
  </si>
  <si>
    <t>Internet_of_things_IoT_technologies,_applications,_challenges_and.pdf</t>
  </si>
  <si>
    <t>Книга «Internet of Things (IoT): Technologies, Applications, Challenges, and Solutions» под редакцией B.K. Tripathy и J. Anuradha представляет собой сборник научных работ, посвящённых технологиям, приложениям и проблемам Интернета вещей. Ключевые разделы охватывают такие темы, как интеграция IoT с искусственным интеллектом, безопасность и конфиденциальность, цифровая криминалистика наноустройств, аутентификация пользователей и применение в здравоохранении. Издание предназначено для специалистов и исследователей в области информационных технологий, а также для студентов старших курсов, интересующихся современными вызовами и решениями в сфере IoT.</t>
  </si>
  <si>
    <t>IoT for Defense and National Security</t>
  </si>
  <si>
    <t>Robert Douglass</t>
  </si>
  <si>
    <t>IEEE Press</t>
  </si>
  <si>
    <t>IoT for Defense and National Security.pdf</t>
  </si>
  <si>
    <t>Книга «IoT for Defense and National Security» под редакцией Роберта Дугласа посвящена применению технологий Интернета вещей (IoT) в сфере обороны и национальной безопасности. В ней рассматриваются ключевые концепции, такие как «Интернет боевых вещей» (IoBT), а также связанные с ними вызовы, возможности и новые направления развития. Издание предназначено для специалистов в области обороны, инженеров и исследователей, обладающих профессиональным уровнем подготовки.</t>
  </si>
  <si>
    <t>Интернет Вещей: Введение в программирование на Arduino</t>
  </si>
  <si>
    <t>Муромцев Д.И.; Шматков В.Н.</t>
  </si>
  <si>
    <t>IoT_Введение_в_программирование_на_Arduino.pdf</t>
  </si>
  <si>
    <t>Данное учебно-методическое пособие посвящено основам программирования микроконтроллеров Arduino в контексте технологий Интернета вещей (IoT). Ключевые разделы книги включают обзор аппаратной платформы Arduino и микрокомпьютера Raspberry Pi, архитектуру IoT и методы коммуникации между устройствами, а также три лабораторные работы начального уровня с примером проекта «Умный музей». Пособие предназначено для студентов бакалавриата, начинающих осваивать программирование встраиваемых систем и IoT.</t>
  </si>
  <si>
    <t>IoT как ИНТРАНЕТ вещей с Raspberry Pi и MajorDoMo</t>
  </si>
  <si>
    <t>В.Н. Гололобов</t>
  </si>
  <si>
    <t>IoT_как_ИНТРАНЕТ_вещей_с_Raspberry_Pi_и_MajorDoMo.pdf</t>
  </si>
  <si>
    <t>Книга посвящена созданию системы «Умный дом» на основе концепции «Интранет вещей» (Intranet of Things) с использованием микрокомпьютера Raspberry Pi и программной платформы MajorDoMo. В ней подробно рассматриваются выбор модулей (Raspberry Pi, Arduino, ESP8266), установка и настройка MajorDoMo, а также практические эксперименты по интеграции датчиков, реле и сценариев управления. Издание предназначено для начинающих и продвинутых любителей, желающих освоить построение локальной сети умных устройств без выхода в интернет.</t>
  </si>
  <si>
    <t>Интернет вещей. Межмашинное взаимодействие. Программирование в компьютерных системах и сетях.</t>
  </si>
  <si>
    <t>Славек Иванов</t>
  </si>
  <si>
    <t>IoT_Межмашинное_взаимодействие_Программирование_в_компьютерных_сетях.pdf</t>
  </si>
  <si>
    <t>Данный фрагмент представляет собой автопрезентацию интегрированного учебного курса «Интернет вещей. Межмашинное взаимодействие. Программирование в компьютерных системах и сетях», разработанного для направлений подготовки укрупненной группы 09.00.00 «Информатика и вычислительная техника». Ключевые концепции включают обоснование необходимости актуализации образовательного процесса в условиях демографического спада, а также теоретические основы интеграции в педагогике и дидактики как фундамента курса. Материал предназначен для преподавателей и методистов системы среднего профессионального и высшего образования.</t>
  </si>
  <si>
    <t>MicroPython for the Internet of Things: A Beginner's Guide to Programming with Python on Microcontrollers</t>
  </si>
  <si>
    <t>Charles Bell</t>
  </si>
  <si>
    <t>Встроенные системы/MicroPython</t>
  </si>
  <si>
    <t>MicroPython</t>
  </si>
  <si>
    <t>MicroPython для микроконтроллеров и проектов IoT.pdf</t>
  </si>
  <si>
    <t>Эта книга представляет собой практическое руководство по программированию микроконтроллеров и созданию устройств для Интернета вещей (IoT) с использованием языка MicroPython. В ней рассматриваются основы IoT, работа с платами на чипе RP2040 и консолью REPL, а также приводятся примеры проектов, такие как мигание светодиодов и использование кнопок. Издание предназначено для начинающих, которые хотят освоить электронику и IoT без необходимости глубокого изучения языков C или C++.</t>
  </si>
  <si>
    <t>Arduino Data Communications</t>
  </si>
  <si>
    <t>Robert Thas John</t>
  </si>
  <si>
    <t>Packt.Arduino.Data.Communications.pdf</t>
  </si>
  <si>
    <t>Книга «Arduino Data Communications» Роберта Тэса Джона посвящена обучению настройке баз данных, протоколов MQTT, REST API и передаче данных через LoRaWAN, HC-12 и GSM с использованием Arduino. В первой части рассматриваются основы работы с платами Arduino, различные датчики (движения, звука, окружающей среды), прототипирование с шилдами и хранение данных в файлах и базах данных (MySQL). Издание предназначено для разработчиков и инженеров, имеющих базовый опыт работы с Arduino и желающих углубиться в вопросы передачи и хранения данных в проектах Интернета вещей.</t>
  </si>
  <si>
    <t>Portable Python Projects. Run Your Home on a Raspberry Pi</t>
  </si>
  <si>
    <t>Mike Riley</t>
  </si>
  <si>
    <t>The Pragmatic Programmers, LLC</t>
  </si>
  <si>
    <t>Portable Python Projects Run Your Home on a Raspberry Pi.pdf</t>
  </si>
  <si>
    <t>Книга Майка Райли «Portable Python Projects. Run Your Home on a Raspberry Pi» посвящена созданию проектов для автоматизации домашних задач с помощью Raspberry Pi и языка Python. Она охватывает настройку оборудования и программного обеспечения, а затем последовательно проводит читателя через двенадцать практических проектов, включая таймер сна, датчик протечки воды, управление светом и вентилятором Hue, голосовое управление, ИК-пульт, Reddit-бота и систему фотофиксации. Книга предназначена для разработчиков и энтузиастов, имеющих базовый опыт программирования и желающих применить Python для создания полезных устройств «умного дома».</t>
  </si>
  <si>
    <t>Practical Python Programming for IoT</t>
  </si>
  <si>
    <t>Gary Smart</t>
  </si>
  <si>
    <t>Practical Python Programming for IoT.epub</t>
  </si>
  <si>
    <t>Книга «Practical Python Programming for IoT» Гэри Смарта представляет собой практическое руководство по созданию IoT-приложений с использованием Raspberry Pi и Python. В ней рассматриваются ключевые концепции, такие как работа с GPIO, настройка виртуальных окружений, взаимодействие с электронными компонентами (светодиоды, кнопки) и организация сетевого обмена через REST API, WebSocket и MQTT. Издание предназначено для разработчиков начального и среднего уровня, желающих освоить программирование электроники и построение интернет-управляемых устройств.</t>
  </si>
  <si>
    <t>Raspberry Pi Home Automation with Arduino - Second Edition</t>
  </si>
  <si>
    <t>Andrew K. Dennis</t>
  </si>
  <si>
    <t>Raspberry Pi Home Automation with Arduino - Second Edition.pdf</t>
  </si>
  <si>
    <t>Это второе издание книги, посвящённой созданию систем домашней автоматизации с использованием микрокомпьютера Raspberry Pi и платформы Arduino. Ключевые темы включают интеграцию этих двух устройств для управления освещением, климатом и другими элементами «умного дома» с помощью практических проектов. Книга предназначена для энтузиастов и разработчиков начального и среднего уровня, интересующихся DIY-электроникой и программированием.</t>
  </si>
  <si>
    <t>Recent Advances in IoT and Blockchain Technology</t>
  </si>
  <si>
    <t>Gupta, Koyel Datta; Sharma, Deepak Kumar; Dwivedi, Rinky; Al-Turjman, Fadi</t>
  </si>
  <si>
    <t>Bentham Science Publishers</t>
  </si>
  <si>
    <t>Recent_Advances_in_IoT_and_Blockchain_Techn.pdf</t>
  </si>
  <si>
    <t>Данный фрагмент представляет собой выходные данные и лицензионное соглашение научной коллективной монографии «Recent Advances in IoT and Blockchain Technology» под редакцией Койел Датты Гупты, Дипака Кумара Шармы, Ринки Двиведи и Фади Аль-Турджмана, опубликованной в 2022 году издательством Bentham Science Publishers. Книга входит в серию «Advances in Computing Communications and Informatics» и посвящена современным достижениям на стыке технологий Интернета вещей (IoT) и блокчейна. Издание предназначено для специалистов и исследователей в области компьютерных наук и информатики, о чем свидетельствует академический состав редакторов и формат научной публикации. Представленный текст не содержит содержательной части книги, а лишь описывает её метаданные и условия использования.</t>
  </si>
  <si>
    <t>Robotics for Programmers MEAP V04</t>
  </si>
  <si>
    <t>Andreas Bihlmaier</t>
  </si>
  <si>
    <t>Robotics for Programmers V4.pdf</t>
  </si>
  <si>
    <t>Книга «Robotics for Programmers» Андреаса Бильмайера представляет собой практическое руководство по разработке программного обеспечения для роботов, начиная с основ и заканчивая профессиональными аспектами. Ключевые разделы охватывают фундаментальные возможности роботов (геометрия, кинематика, динамика), работу с ROS2 и симулятором Gazebo, а также продвинутые темы, такие как планирование задач, навигация и искусственный интеллект. Издание предназначено для программистов среднего уровня, владеющих Python и основами Linux, и не требует предварительного опыта в робототехнике или смежных дисциплинах.</t>
  </si>
  <si>
    <t>The Ultimate Compendium of Sensor Projects</t>
  </si>
  <si>
    <t>Elektor</t>
  </si>
  <si>
    <t>Sensor_Projects_Elektor.pdf</t>
  </si>
  <si>
    <t>Книга «The Ultimate Compendium of Sensor Projects» автора Догана Ибрагима представляет собой практическое руководство по созданию более 40 проектов с использованием датчиков на платформах Arduino, Raspberry Pi и ESP32. В первых главах рассматривается аппаратный интерфейс и процесс разработки проектов для Arduino Uno и Raspberry Pi 3, включая настройку GPIO, Wi-Fi и удаленного доступа. Издание предназначено для инженеров, разработчиков электроники и любителей DIY, обладающих базовыми знаниями в области электроники и программирования.</t>
  </si>
  <si>
    <t>TinyML. Книга рецептов</t>
  </si>
  <si>
    <t>Джан Марко Йодиче</t>
  </si>
  <si>
    <t>БИРМИНГЕМ—МУМБАИ</t>
  </si>
  <si>
    <t>TinyML. Книга рецептов.pdf</t>
  </si>
  <si>
    <t>Книга «TinyML. Книга рецептов» Джан Марко Йодиче посвящена применению искусственного интеллекта и машинного обучения на устройствах со сверхнизким энергопотреблением, таких как микроконтроллеры. В ней рассматриваются основы развертывания интеллектуальных приложений на платах Arduino Nano 33 BLE Sense и Raspberry Pi Pico, а также работа с реальными датчиками. Ключевые концепции включают глубокое обучение, сверточные нейронные сети, квантизацию и программирование микроконтроллеров. Издание предназначено для инженеров-разработчиков, знакомых с C/C++ и Python, при этом предварительные знания о микроконтроллерах не обязательны.</t>
  </si>
  <si>
    <t>Интернет вещей: видео, аудио, коммутация</t>
  </si>
  <si>
    <t>Антти Суомалайнен</t>
  </si>
  <si>
    <t>Антти_Суомалайнен Интернет_вещей_видео_аудио_коммутация 2019.pdf</t>
  </si>
  <si>
    <t>Книга Антти Суомалайнена посвящена практическому применению технологий интернета вещей (IoT) для управления электрическими приборами, видеонаблюдения и аудиозаписи через Wi-Fi-сеть. В ней рассматриваются ключевые концепции: архитектура IoT, облачные технологии, настройка P2P-камер, вопросы безопасности и распределение сигнала. Издание предназначено для широкого круга читателей, включая новичков, желающих самостоятельно настроить систему «умного дома».</t>
  </si>
  <si>
    <t>Архитектура интернета вещей</t>
  </si>
  <si>
    <t>Перри Ли</t>
  </si>
  <si>
    <t>Архитектура интернета вещей.pdf</t>
  </si>
  <si>
    <t>Книга Перри Ли «Архитектура интернета вещей» представляет собой подробное руководство по проектированию и развертыванию IoT-систем, охватывающее все этапы — от датчиков до облачных вычислений. В ней рассматриваются ключевые концепции: современные сенсорные системы, протоколы связи (включая Bluetooth 5.0, 5G LTE, SigFox и LoRaWAN), граничные и туманные вычисления, а также вопросы аналитики и безопасности. Издание предназначено для архитекторов информационных систем, технических специалистов и менеджеров, стремящихся получить полное представление об экосистеме интернета вещей и практические инженерные знания для построения эффективных решений.</t>
  </si>
  <si>
    <t>Raspberry Pi Zero W Wireless Projects</t>
  </si>
  <si>
    <t>Vasilis Tzivaras</t>
  </si>
  <si>
    <t>Беспроводные проекты на Raspberry Pi Zero W.zip</t>
  </si>
  <si>
    <t>Книга Василиса Цивараса посвящена созданию беспроводных проектов на базе микрокомпьютера Raspberry Pi Zero W. В ней рассматриваются такие темы, как Интернет вещей, разработка чат-бота, создание мобильного робота, системы домашней автоматики, камера видеонаблюдения, портативные динамики, веб-хостинг и метеостанция. Издание предназначено для новичков и энтузиастов, желающих освоить практические навыки работы с платой и реализовать собственные проекты в области робототехники и умного дома.</t>
  </si>
  <si>
    <t>Встраиваемые системы на сонове Linux</t>
  </si>
  <si>
    <t>Встраиваемые системы на сонове Linux.pdf</t>
  </si>
  <si>
    <t>Книга посвящена разработке и настройке встраиваемых систем на базе операционной системы Linux. В ней рассматриваются ключевые концепции, такие как сборка ядра, создание корневой файловой системы, работа с загрузчиками и отладка устройств. Издание предназначено для специалистов и инженеров, уже знакомых с основами Linux, которые хотят углубиться в практическое проектирование встраиваемых решений.</t>
  </si>
  <si>
    <t>Интернет вещей.pdf</t>
  </si>
  <si>
    <t>Книга Антти Суомалайнена посвящена практическому применению технологий интернета вещей (IoT) для управления домом, включая видео, аудио и коммутацию устройств через Wi-Fi. В ней рассматриваются ключевые концепции: архитектура IoT, облачные технологии, настройка P2P-камер и диктофонов, вопросы безопасности и распределение сигнала. Издание предназначено для широкого круга читателей, включая новичков, и содержит примеры настройки как для Windows, так и для Android.</t>
  </si>
  <si>
    <t>Интернет вещей</t>
  </si>
  <si>
    <t>Интернет_вещей_JKPqYH.pdf</t>
  </si>
  <si>
    <t>Данный фрагмент книги посвящен применению технологии блокчейн в сфере Интернета вещей (IoT). Ключевые концепции включают децентрализованное управление устройствами, обеспечение безопасности и целостности данных, а также автоматизацию процессов с помощью смарт-контрактов. Материал ориентирован на специалистов и разработчиков, уже знакомых с основами блокчейна и IoT, и предполагает средний или продвинутый уровень подготовки.</t>
  </si>
  <si>
    <t>AI at the Edge</t>
  </si>
  <si>
    <t>Daniel Situnayake; Jenny Plunkett</t>
  </si>
  <si>
    <t>Искусственный интеллект для периферийных устройств.pdf</t>
  </si>
  <si>
    <t>Книга посвящена применению технологий искусственного интеллекта на периферийных устройствах (edge computing), то есть на компактном оборудовании с ограниченными вычислительными ресурсами. В ней рассматриваются ключевые концепции, такие как оптимизация нейросетей для работы на микроконтроллерах, методы сжатия моделей и развертывание ИИ на устройствах интернета вещей. Издание ориентировано на специалистов в области разработки встроенных систем и инженеров, уже знакомых с основами машинного обучения, а не на новичков.</t>
  </si>
  <si>
    <t>Using Displays in Raspberry Pi Projects</t>
  </si>
  <si>
    <t>Использование_дисплеев_в_проектах_Raspberry_Pi.zip</t>
  </si>
  <si>
    <t>Эта книга представляет собой практическое руководство по программированию дисплеев и созданию графических интерфейсов на Raspberry Pi с использованием языка Python. Она охватывает начальные этапы настройки системы, работу с GPIO, а также содержит конкретные проекты, включая управление светодиодами и вывод данных на экраны. Материал предназначен для новичков и любителей, желающих освоить разработку проектов с визуальным выводом информации на Raspberry Pi.</t>
  </si>
  <si>
    <t>Компьютерные_сети_IoT_и_межмашинное_взаимодействие.pdf</t>
  </si>
  <si>
    <t>Данная хрестоматия посвящена компьютерным сетям, технологиям Интернета вещей (IoT) и межмашинному взаимодействию. Ключевые разделы охватывают классификацию сетей (BAN, PAN, LAN, CAN, MAN), интеллектуальные системы на базе сенсорных сетей, а также беспроводные технологии и вопросы организации сетей. Издание носит учебно-теоретический характер и, судя по содержанию, ориентировано на читателей, уже знакомых с основами сетевого инжиниринга (уровень от начинающего специалиста до продвинутого).</t>
  </si>
  <si>
    <t>Макаров С. Л.</t>
  </si>
  <si>
    <t>Макаров_С_Л_Arduino_Uno_и_Raspberry_Pi_3_от_схемотехники_к_интернету.pdf</t>
  </si>
  <si>
    <t>Книга С. Л. Макарова представляет собой практическое руководство по созданию устройств для интернета вещей (IoT). Первая часть посвящена основам схемотехники и программирования на платформе Arduino Uno через серию из 34 экспериментов с различными датчиками и модулями. Вторая часть фокусируется на реализации IoT-проектов на базе Raspberry Pi 3, включая работу с операционной системой Android Things и облачными сервисами. Издание рассчитано на широкий круг читателей, интересующихся современной электроникой и программированием, включая новичков.</t>
  </si>
  <si>
    <t>Новые возможности Arduino, ESP, Raspberry Pi в проектах IoT</t>
  </si>
  <si>
    <t>Новые возможности Arduino 2022.pdf</t>
  </si>
  <si>
    <t>Книга Виктора Петина посвящена созданию устройств для Интернета вещей (IoT) на базе плат Arduino, ESP и Raspberry Pi. В ней рассматриваются аппаратные платформы, способы подключения к сети (Wi-Fi, Ethernet, GPRS, BLE, LoRa), протоколы HTTP и MQTT, а также работа с облачными сервисами. Большая часть издания содержит практические проекты, включая GPS-трекеры, IoT-принтеры и элементы машинного обучения. Издание предназначено для читателей, интересующихся современной электроникой, и предполагает наличие начальных навыков программирования.</t>
  </si>
  <si>
    <t>Основы интернета вещей</t>
  </si>
  <si>
    <t>Папуловская, Наталья Владимировна</t>
  </si>
  <si>
    <t>Издательство Уральского университета</t>
  </si>
  <si>
    <t>Основы интернета вещей.pdf</t>
  </si>
  <si>
    <t>Это учебно-методическое пособие посвящено основам проектирования систем интернета вещей (IoT). Ключевые разделы охватывают архитектуру микроконтроллерных систем, протоколы передачи данных, энергосберегающие технологии и облачные платформы для разработки приложений. Книга предназначена для студентов инженерно-технических специальностей, то есть для новичков и начинающих специалистов в данной области.</t>
  </si>
  <si>
    <t>Промышленный интернет вещей</t>
  </si>
  <si>
    <t>Промышленный интернет вещей.pdf</t>
  </si>
  <si>
    <t>Книга посвящена промышленному интернету вещей (IIoT): его истории, принципам работы, устройствам и экосистеме. В ней рассматриваются сферы применения, подходы к внедрению, вопросы безопасности, а также приводится обзор российских и зарубежных поставщиков IIoT-решений. Отдельное внимание уделено экономическим показателям и трендам мирового и российского рынков. Материал ориентирован на широкий круг читателей, от новичков до специалистов, интересующихся технологиями интернета вещей в промышленности.</t>
  </si>
  <si>
    <t>Creating Autonomous Vehicle Systems</t>
  </si>
  <si>
    <t>Shaoshan Liu; Liyun Li; Jie Tang; Shuang Wu; Jean-Luc Gaudiot</t>
  </si>
  <si>
    <t>Разработка_беспилотных_транспортных_средств_2022_Шаошань_Лю.pdf</t>
  </si>
  <si>
    <t>Книга представляет собой технический обзор разработки беспилотных транспортных средств (БТС), охватывающий ключевые алгоритмы локализации, восприятия, планирования и управления, а также вопросы глубокого обучения. Основные разделы включают работу с GNSS, лидарами, HD-картами, визуальной и колесной одометрией, а также интеграцию данных с нескольких сенсоров. Издание адресовано широкой аудитории компьютерных специалистов, инженеров и студентов технических вузов, имеющих базовую подготовку в области программирования и робототехники.</t>
  </si>
  <si>
    <t>Технологии создания интеллектуальных устройств, подключенных к интернет</t>
  </si>
  <si>
    <t>А. В. Приемышев; В. Н. Крутов; В. А. Треяль; О. А. Коршакова</t>
  </si>
  <si>
    <t>Технологии IoT.pdf</t>
  </si>
  <si>
    <t>Данное учебное пособие посвящено концепции «Интернет вещей» (IoT), которая описывает сети технических устройств, взаимодействующих друг с другом и с внешней средой без участия человека. В книге рассматриваются история развития IoT, начиная с идей Николы Теслы и первого подключенного тостера, а также ключевые определения, включая момент, когда количество подключенных устройств превысило население Земли. Пособие предназначено для студентов колледжей технических специальностей и будет полезно всем, кто занимается автоматизацией процессов и производств.</t>
  </si>
  <si>
    <t>Технологии_создания_интеллектуальных_устройств,_подключенных_к_интернет.pdf</t>
  </si>
  <si>
    <t>Данное учебное пособие посвящено концепции «Интернета вещей» (IoT), описывающей сети технических устройств, способных взаимодействовать друг с другом и с внешней средой без участия человека. В книге рассматриваются история возникновения термина, ключевые этапы развития IoT, начиная с идей Николы Теслы и первого подключенного к сети тостера, а также приводятся статистические данные о росте числа подключенных устройств. Пособие предназначено для студентов колледжей технических специальностей и будет полезно всем, кто интересуется автоматизацией процессов и созданием интеллектуальных устройств.</t>
  </si>
  <si>
    <t>Learn Robotics Programming</t>
  </si>
  <si>
    <t>Danny Staple</t>
  </si>
  <si>
    <t>Устройство_и_программирование_автономных_роботов 2022.pdf</t>
  </si>
  <si>
    <t>Эта книга посвящена созданию интеллектуальных автономных роботов на базе Raspberry Pi и Python, охватывая такие темы, как компьютерное зрение, голосовое управление и работа с датчиками, двигателями и камерами. В ней рассматриваются структурные элементы робота, типы компонентов (сенсоры, приводы, контроллеры) и основы программирования поведенческих сценариев. Издание предназначено как для новичков в программировании, так и для опытных разработчиков, желающих применить свои навыки в аппаратных проектах.</t>
  </si>
  <si>
    <t>MicroPython for Microcontrollers</t>
  </si>
  <si>
    <t>Günter Spanner</t>
  </si>
  <si>
    <t>MicroPython для микроконтроллеров.zip</t>
  </si>
  <si>
    <t>C:\Users\alexa\YandexDisk\Книги\Встроенные системы\MicroPython</t>
  </si>
  <si>
    <t>Книга Гюнтера Спаннера посвящена программированию микроконтроллеров на языке MicroPython с использованием платформы ESP32. В ней рассматриваются основы работы в средах разработки Thonny-IDE и uPyCraft-IDE, а также фундаментальные концепции языка, такие как переменные, циклы, условия и работа с цифровыми и аналоговыми сигналами. Практическая часть включает проекты, например, создание светодиодных мигалок, симулятора сердцебиения и светового будильника, а также более сложные темы вроде прерываний и таймеров. Материал ориентирован на начинающих разработчиков, желающих освоить MicroPython для управления аппаратным обеспечением.</t>
  </si>
  <si>
    <t>20 простых проектов на Raspberry Pi. Игрушки, инструменты, гаджеты и многое другое</t>
  </si>
  <si>
    <t>Руи Сантос; Сара Сантос</t>
  </si>
  <si>
    <t>Встроенные системы/Raspberry Pi</t>
  </si>
  <si>
    <t>Raspberry Pi</t>
  </si>
  <si>
    <t>20_простых_проектов_на_Raspberry_Pi_Игрушки,_инструменты,_гаджеты.pdf</t>
  </si>
  <si>
    <t>C:\Users\alexa\YandexDisk\Книги\Встроенные системы\Raspberry Pi</t>
  </si>
  <si>
    <t>Книга представляет собой практическое руководство по созданию 20 проектов на базе Raspberry Pi, охватывающее игрушки, инструменты и гаджеты. Включает разделы по настройке платы, знакомству с языком Python и работе с портами GPIO, светодиодами и электронными компонентами. Предназначена для новичков, включая детей, родителей и любителей, не имеющих опыта в схемотехнике или программировании.</t>
  </si>
  <si>
    <t>Raspberry Pi для секретных агентов, второе издание</t>
  </si>
  <si>
    <t>Стефан Шогелид</t>
  </si>
  <si>
    <t>Raspberry Pi для секретных агентов.pdf</t>
  </si>
  <si>
    <t>Эта книга представляет собой практическое руководство по использованию Raspberry Pi для создания шпионских устройств и инструментов скрытого наблюдения. В ней рассматриваются такие темы, как настройка системы, работа со звуком (запись, прослушивание, искажение голоса), удаленное управление и автоматизация задач. Книга предназначена для начинающих и любителей, интересующихся нестандартным применением микрокомпьютера.</t>
  </si>
  <si>
    <t>Raspberry Pi Cookbook: Software and Hardware Problems and Solutions</t>
  </si>
  <si>
    <t>Raspberry Pi.pdf</t>
  </si>
  <si>
    <t>Книга «Raspberry Pi. Сборник рецептов» (4-е издание) представляет собой практическое руководство по работе с микрокомпьютером Raspberry Pi, охватывающее как программные, так и аппаратные аспекты. В издании рассматриваются настройка ОС, подключение датчиков и двигателей, интеграция в системы умного дома и Интернет вещей, а также новые главы по машинному обучению и работе с платой Raspberry Pi Pico. Книга предназначена для специалистов и программистов, уже имеющих опыт работы с Raspberry Pi и электроникой.</t>
  </si>
  <si>
    <t>Raspberry Pi 4. Официальное руководство для начинающих</t>
  </si>
  <si>
    <t>Гарет Халфакри</t>
  </si>
  <si>
    <t>Raspberry для начинающих.pdf</t>
  </si>
  <si>
    <t>Это официальное руководство по использованию миниатюрного компьютера Raspberry Pi 4, предназначенное для начинающих. Книга охватывает настройку оборудования, установку операционной системы Raspberry Pi OS, а также базовую навигацию по рабочему столу и встроенным приложениям. Отдельные разделы посвящены обучению программированию на языках Scratch 3 и Python с пошаговыми инструкциями и примерами проектов. Издание рассчитано на новичков, желающих освоить работу с Raspberry Pi и создавать собственные электронные проекты.</t>
  </si>
  <si>
    <t>Raspberry Pi Cookbook</t>
  </si>
  <si>
    <t>Simon Monk - Raspberry Pi Cookbook S - 2016.pdf</t>
  </si>
  <si>
    <t>Это второе издание книги «Raspberry Pi Cookbook» Саймона Монка, представляющее собой сборник практических решений для работы с Raspberry Pi. Книга охватывает настройку и управление устройством, сетевое взаимодействие и основы операционной системы, предлагая пошаговые инструкции для решения конкретных задач. Издание предназначено как для новичков, так и для опытных пользователей, желающих освоить программные и аппаратные возможности Raspberry Pi.</t>
  </si>
  <si>
    <t>Simon Monk - Raspberry Pi Cookbook-2014.pdf</t>
  </si>
  <si>
    <t>Книга «Raspberry Pi Cookbook» Саймона Монка представляет собой практическое руководство по работе с одноплатным компьютером Raspberry Pi. Она охватывает такие ключевые разделы, как настройка и управление устройством, работа с сетью и операционной системой, предлагая конкретные рецепты и пошаговые инструкции. Издание предназначено для новичков и пользователей начального уровня, желающих освоить базовые операции и запустить свои первые проекты на Raspberry Pi.</t>
  </si>
  <si>
    <t>Управление электронными устройствами на C++</t>
  </si>
  <si>
    <t>Катупития Я.; Бентли К.</t>
  </si>
  <si>
    <t>Upravlenie_elektronnymi_ustroystvami_na_C__Ya_Katupitia_2016M.pdf</t>
  </si>
  <si>
    <t>Данная книга посвящена основам программирования на C++ в контексте управления электронными устройствами, начиная с базовых концепций языка (функции, типы данных) и заканчивая работой с параллельным портом для ввода/вывода данных. Ключевые разделы охватывают среду разработки, синтаксис C++, объектно-ориентированное программирование и практическое тестирование параллельного порта с использованием светодиодов. Издание предназначено для начинающих разработчиков и инженеров, желающих освоить низкоуровневое взаимодействие программного обеспечения с аппаратным обеспечением.</t>
  </si>
  <si>
    <t>Ассемблер для Raspberry Pi. Практическое руководство</t>
  </si>
  <si>
    <t>Брюс Смит</t>
  </si>
  <si>
    <t>Ассемблер для Raspberry Pi.pdf</t>
  </si>
  <si>
    <t>Книга представляет собой практическое руководство по программированию на языке ассемблера для процессоров ARM на примере Raspberry Pi. В ней рассматриваются основы архитектуры ARM, синтаксис ассемблера, вызовы операционной системы, работа с компоновщиком GCC и отладка с GDB, а также функции GPIO и команды Neon и Thumb. Материал ориентирован на начинающих разработчиков, желающих освоить низкоуровневое программирование для устройств с архитектурой ARM.</t>
  </si>
  <si>
    <t>Learn Robotics with Raspberry Pi: Build and Code Your Own Moving, Sensing, Thinking Robots</t>
  </si>
  <si>
    <t>Matt Timmons-Brown</t>
  </si>
  <si>
    <t>Робототехника на Raspberry.pdf</t>
  </si>
  <si>
    <t>Книга Мэтта Тиммонса-Брауна посвящена конструированию и программированию игровых роботов на базе микрокомпьютера Raspberry Pi. В ней рассматривается сборка простого двухколесного робота, который затем обучается следовать по линии, избегать препятствий и распознавать объекты с помощью компьютерного зрения. Ключевые разделы включают основы электроники, настройку Raspberry Pi, работу с датчиками и написание программ на Python. Издание предназначено для начинающих, в первую очередь для детей среднего и старшего школьного возраста, и не требует предварительной подготовки.</t>
  </si>
  <si>
    <t>Программирование встроенных систем на C++17</t>
  </si>
  <si>
    <t>Встроенные системы/Микроконтроллеры</t>
  </si>
  <si>
    <t>Микроконтроллеры</t>
  </si>
  <si>
    <t>!Программирование_встроенных_систем_на_C++17.pdf</t>
  </si>
  <si>
    <t>C:\Users\alexa\YandexDisk\Книги\Встроенные системы\Микроконтроллеры</t>
  </si>
  <si>
    <t>Книга посвящена разработке встроенных систем с использованием современного языка C++17, описывая создание надежных и производительных решений для микроконтроллеров и операционных систем реального времени. Ключевые разделы охватывают параллельное выполнение, управление памятью, разработку драйверов, тестирование кода в Linux, интеграцию с графической библиотекой Qt и взаимодействие с FPGA. Издание предназначено для опытных разработчиков на C++, при этом специальных знаний о встроенных системах не требуется.</t>
  </si>
  <si>
    <t>Control Systems Engineering, Design and Implementation using Arm</t>
  </si>
  <si>
    <t>Dong-Jin Lim</t>
  </si>
  <si>
    <t>Control_Systems_Engineering_Design_and_Implementation_using_Arm.pdf</t>
  </si>
  <si>
    <t>Книга Донг-Джина Лима посвящена проектированию и реализации систем управления с практическим акцентом на использование ARM-микроконтроллеров. Она охватывает фундаментальные концепции, такие как обратная связь, передаточные функции и моделирование динамических систем, а также продвинутые методы анализа и синтеза регуляторов, включая метод корневого годографа, частотный анализ и проектирование в пространстве состояний. Каждая теоретическая глава сопровождается лабораторными работами по цифровой реализации алгоритмов, включая работу с АЦП/ЦАП, таймерами и реальными устройствами (например, двигателями и магнитной левитацией). Издание предназначено для студентов инженерных специальностей и практикующих специалистов, уже знакомых с основами математического анализа и дифференциальных уравнений.</t>
  </si>
  <si>
    <t>Embedded Software Design</t>
  </si>
  <si>
    <t>David Clifton</t>
  </si>
  <si>
    <t>Embedded Software Design.zip</t>
  </si>
  <si>
    <t>Книга Дэвида Клифтона «Embedded Software Design» посвящена методичному проектированию встраиваемого программного обеспечения на примере системы удаленного измерения температуры с использованием Arduino. Ключевые разделы охватывают предварительное и детальное проектирование, шаблоны выполнения, модульный каталог, вопросы безопасности и анализ требований. Издание предназначено для специалистов, уже знакомых с основами разработки встраиваемых систем, и предлагает упрощенный подход к документированию, альтернативный UML, с акцентом на безопасность и трассируемость требований.</t>
  </si>
  <si>
    <t>Микроконтроллеры AVR: от азов программирования до создания практических устройств</t>
  </si>
  <si>
    <t>Белов А.В.</t>
  </si>
  <si>
    <t>mikrokontrolleryi-avr.pdf</t>
  </si>
  <si>
    <t>Книга представляет собой практический самоучитель по микроконтроллерам AVR, охватывающий путь от основ цифровой техники до создания готовых устройств. Ключевые разделы включают изучение цифровой логики, систем счисления, микропроцессорной техники, а также программирование на языках Ассемблера и Си с последующей отладкой и прошивкой. Издание предназначено для широкого круга читателей, начиная от новичков («чайников») и заканчивая студентами технических вузов, желающими освоить разработку микроэлектронных устройств.</t>
  </si>
  <si>
    <t>Nanoelectronics for Next-Generation Integrated Circuits</t>
  </si>
  <si>
    <t>Rohit Dhiman</t>
  </si>
  <si>
    <t>Nanoelectronics_for_Next-Gen_Integrated_Circuits.pdf</t>
  </si>
  <si>
    <t>Книга «Nanoelectronics for Next-Generation Integrated Circuits» под редакцией Рохита Дхимана посвящена современному состоянию и перспективам наноэлектронных технологий для создания интегральных схем следующего поколения, выходящих за пределы масштабирования традиционных КМОП-транзисторов. В издании рассматриваются ключевые концепции, включая проектирование спинтронных запоминающих устройств, квантово-точечных клеточных автоматов (QCA) и полевых транзисторов на основе нанопроволок и туннельных эффектов (TFET). Издание предназначено для исследователей, инженеров и студентов старших курсов, работающих на переднем крае проектирования и моделирования наноэлектронных устройств.</t>
  </si>
  <si>
    <t>Параллельные вычисления общего назначения на графических процессорах : учебное пособие</t>
  </si>
  <si>
    <t>Некрасов К. А.; Поташников С. И.; Боярченков А. С.; Купряжкин А. Я.</t>
  </si>
  <si>
    <t>Parallelnye_vychislenia_na_graficheskikh_protsessorakh.pdf</t>
  </si>
  <si>
    <t>Учебное пособие посвящено организации высокоскоростных параллельных вычислений общего назначения на графических процессорах (GPU). В книге рассматриваются архитектура GPU, принципы распараллеливания вычислений, а также подходы к программированию с использованием шейдерной модели и технологии NVIDIA CUDA, включая примеры реализации. Издание предназначено для магистрантов, обучающихся по направлениям ядерной физики, информационных систем и технологий, и предполагает наличие базовых знаний в области программирования и вычислительной техники.</t>
  </si>
  <si>
    <t>Think DSP: Цифровая обработка сигналов на Python</t>
  </si>
  <si>
    <t>Аллен Б.</t>
  </si>
  <si>
    <t>Think_DSP_Цифровая_обработка_сигналов_на_Python_by_Аллен_Б.pdf</t>
  </si>
  <si>
    <t>Книга Аллена Б. Дауни «Think DSP. Цифровая обработка сигналов на Python» посвящена основам цифровой обработки сигналов (ЦОС) с практическим уклоном. Ключевые концепции включают дискретное преобразование Фурье, спектральный анализ, фильтрацию и работу с частотной областью, причем весь материал объясняется через написание кода на Python. Издание предназначено для начинающих программистов и инженеров, желающих освоить ЦОС без углубленного погружения в сложную математику, а также для всех, кто хочет научиться анализировать звуковые и другие сигналы с помощью вычислительных методов.</t>
  </si>
  <si>
    <t>Архитектура встраиваемых систем</t>
  </si>
  <si>
    <t>Даниэле Лакамера</t>
  </si>
  <si>
    <t>Архитектура встраиваемых систем.pdf</t>
  </si>
  <si>
    <t>Книга Даниэле Лакамеры посвящена архитектуре встраиваемых систем и процессу разработки программного обеспечения для них. В ней рассматриваются ключевые концепции, такие как структура системы, управление памятью, драйверы устройств, сетевое взаимодействие через TCP/IP, безопасность интернета вещей и создание многопоточных операционных систем с собственным планировщиком. Издание предназначено для программистов и инженеров, желающих освоить данную область, и подойдет как специалистам, так и новичкам, имеющим базовую подготовку.</t>
  </si>
  <si>
    <t>Электроника для любознательных</t>
  </si>
  <si>
    <t>Гололобов В.Н.</t>
  </si>
  <si>
    <t>Гололобов_В_Н_Электроника_для_любознательных_2018.djvu</t>
  </si>
  <si>
    <t>Книга Владимира Гололобова «Электроника для любознательных» представляет собой практическое введение в мир электроники, ориентированное на начинающих. В ней рассматриваются основы работы с электрическими цепями, компонентами (резисторы, конденсаторы, транзисторы) и принципы построения простых устройств. Особое внимание уделяется практическим экспериментам и проектам, в том числе с использованием платформы Arduino. Издание предназначено для новичков, школьников и всех, кто хочет самостоятельно освоить азы электроники без углублённой теоретической подготовки.</t>
  </si>
  <si>
    <t>Изучение робототехники с помощью PYTHON</t>
  </si>
  <si>
    <t>Джозеф Лентин</t>
  </si>
  <si>
    <t>Изучение_робототехники_с_помощью_Python.pdf</t>
  </si>
  <si>
    <t>Книга посвящена созданию с нуля автономного мобильного робота ChefBot с использованием Python, метаоперационной системы ROS и библиотеки компьютерного зрения OpenCV. В ней рассматриваются ключевые концепции, такие как основы ROS, принципы дифференциального привода и кинематики, моделирование в среде Gazebo, а также проектирование оборудования и согласование датчиков с контроллером. Издание предназначено для широкого круга читателей, увлеченных робототехникой и самостоятельной сборкой DIY-устройств, и подходит как для новичков, так и для специалистов.</t>
  </si>
  <si>
    <t>Основы электроники для чайников</t>
  </si>
  <si>
    <t>Кэтлин Шамие</t>
  </si>
  <si>
    <t>Кэтлин_Шамие_Основы_электроники_для_чайников 2018.pdf</t>
  </si>
  <si>
    <t>Книга Кэтлин Шамие «Основы электроники для чайников» представляет собой вводное руководство по электронике, охватывающее базовые понятия: электрический ток, напряжение, сопротивление, работу цепей и компонентов (резисторы, конденсаторы, диоды, транзисторы). В издании рассматриваются практические аспекты: сборка схем, использование мультиметра, техника безопасности и чтение электрических схем. Материал предназначен для абсолютных новичков, желающих с нуля освоить основы электроники и начать создавать простые устройства.</t>
  </si>
  <si>
    <t>Радиоэлектроника для чайников</t>
  </si>
  <si>
    <t>Мак Комб Г.; Бойсен Э.</t>
  </si>
  <si>
    <t>Вильямс</t>
  </si>
  <si>
    <t>Мак_Комб_Г_,_Бойсен_Э_Радиоэлектроника_для_чайников_Вильямс_2015.pdf</t>
  </si>
  <si>
    <t>Фрагмент книги «Радиоэлектроника для чайников» представляет собой введение в мир электроники, ориентированное на новичков. Основная тема — базовые принципы работы электронных компонентов и схем, включая такие ключевые концепции, как напряжение, ток, сопротивление и простейшие цепи. Книга предназначена для начинающих, не имеющих специальной подготовки, и объясняет материал простым языком с практическими примерами.</t>
  </si>
  <si>
    <t>Микропроцессоры и вычислительные комплексы семейства «Эльбрус»</t>
  </si>
  <si>
    <t>Ким Александр Киирович; Перекатов Валерий Иванович; Ермаков Сергей Геннадьевич</t>
  </si>
  <si>
    <t>Микропроцессоры_и_вычислительные_комплексы_Эльбрус.pdf</t>
  </si>
  <si>
    <t>Данный фрагмент представляет собой учебное пособие, посвященное микропроцессорам и вычислительным комплексам семейства «Эльбрус». В книге рассматриваются две архитектурные линии разработок компании ЗАО «МЦСТ»: на базе архитектуры SPARC и на базе отечественной архитектуры «Эльбрус», с подробным описанием структуры микропроцессоров, их конвейеров и систем на кристалле. Издание предназначено для студентов высших учебных заведений, обучающихся по направлению «Информатика и вычислительная техника», и ориентировано на специалистов в области вычислительной техники.</t>
  </si>
  <si>
    <t>Основы автоматики и микропроцессорной техники</t>
  </si>
  <si>
    <t>Д. А. Кушнер; А. В. Дробов; Ю. Л. Петроченко</t>
  </si>
  <si>
    <t>РИПО</t>
  </si>
  <si>
    <t>Основы_автоматики_и_микропроцессорной_техники.pdf</t>
  </si>
  <si>
    <t>Это учебное пособие посвящено основам теории автоматического управления и микропроцессорной техники. В книге рассматриваются замкнутые системы автоматического управления, дискретные автоматы, а также элементы систем автоматики, включая датчики, усилители, триггеры, регистры, счетчики и формирователи импульсов. Издание предназначено для учащихся учреждений среднего специального образования по специальностям, связанным с монтажом электрооборудования, городским электротранспортом и автоматизированными электроприводами.</t>
  </si>
  <si>
    <t>Программирование AVR</t>
  </si>
  <si>
    <t>Программирование AVR.zip</t>
  </si>
  <si>
    <t>Данный фрагмент нечитаем, так как представляет собой бинарный ZIP-архив, а не текстовое содержимое книги. Не удалось определить содержимое.</t>
  </si>
  <si>
    <t>Программирование логических контроллеров</t>
  </si>
  <si>
    <t>Золкин А. Л.</t>
  </si>
  <si>
    <t>Программирование логических контроллеров.pdf</t>
  </si>
  <si>
    <t>Это учебник по программированию логических контроллеров (PLC), охватывающий их архитектуру, принципы работы и применение в промышленной автоматизации. Ключевые разделы включают обзор языков программирования (Ladder Diagram, Function Block Diagram, Structured Text и других), методологии разработки программ, а также обзор популярных программных сред, таких как Siemens TIA Portal. Книга предназначена для студентов колледжей технических специальностей и начинающих специалистов в области автоматизации, изучающих дисциплину «Информатика».</t>
  </si>
  <si>
    <t>Программирование микроконтроллеров AVR</t>
  </si>
  <si>
    <t>Программирование микроконтроллеров AVR.zip</t>
  </si>
  <si>
    <t>Данный фрагмент книги посвящён программированию микроконтроллеров AVR, в частности, работе с платформой Arduino. Ключевые концепции включают основы работы с портами ввода-вывода, таймерами и прерываниями, а также примеры создания практических устройств. Книга предназначена для начинающих и любителей, желающих освоить программирование микроконтроллеров на практике.</t>
  </si>
  <si>
    <t>Программирование на С для микроконтролеров ATMEL</t>
  </si>
  <si>
    <t>Программирование на С для микроконтролеров ATMEL-2012.djvu</t>
  </si>
  <si>
    <t>Данный фрагмент книги посвящён программированию на языке C для микроконтроллеров Atmel. В нём рассматриваются ключевые концепции работы с микроконтроллерами, такие как настройка портов ввода-вывода, работа с таймерами и прерываниями. Книга предназначена для специалистов и инженеров, уже знакомых с основами программирования, которые хотят углубить свои знания в области встраиваемых систем.</t>
  </si>
  <si>
    <t>Программирование_встроенных_систем_на_C++17.pdf</t>
  </si>
  <si>
    <t>Книга посвящена разработке встроенных систем с использованием современного языка C++17. В ней рассматриваются такие ключевые темы, как параллельное выполнение, управление памятью, разработка драйверов, тестирование и оптимизация кода, а также создание графических интерфейсов с помощью Qt. Издание предназначено для опытных разработчиков на C++, при этом начальные знания о встроенных системах не требуются.</t>
  </si>
  <si>
    <t>Программирование на языке C для микроконтроллеров</t>
  </si>
  <si>
    <t>Программирование_на_языке_C_для_микроконтроллеров-2006.pdf</t>
  </si>
  <si>
    <t>Книга посвящена программированию на языке C для микроконтроллеров, рассматривая особенности разработки встроенных систем. Ключевые концепции включают работу с регистрами, прерываниями, таймерами и оптимизацию кода для ограниченных ресурсов. Издание предназначено для специалистов и инженеров, уже знакомых с основами C, а также для студентов технических специальностей, углублённо изучающих микроконтроллеры.</t>
  </si>
  <si>
    <t>Программируемые контроллеры в системах промышленной автоматизации</t>
  </si>
  <si>
    <t>Шишов Олег Викторович</t>
  </si>
  <si>
    <t>Программируемые контроллеры в системах промышленной автоматизации.pdf</t>
  </si>
  <si>
    <t>Фрагмент представляет собой введение и выходные данные учебника О.В. Шишова, посвящённого проектированию систем промышленной автоматизации на базе программируемых логических контроллеров (ПЛК). Ключевые темы включают программно-технические комплексы, языки стандарта МЭК 61131-3, операторные панели, промышленные сети и интеллектуальные датчики. Книга предназначена для студентов технических специальностей (бакалавриат) и инженеров, занимающихся разработкой и внедрением систем управления.</t>
  </si>
  <si>
    <t>Программируемые контроллеры и микроконтроллеры в системах автоматизации</t>
  </si>
  <si>
    <t>Н.Б. Сбродов; Е.К. Карпов</t>
  </si>
  <si>
    <t>Изд-во Курганского гос. ун-та</t>
  </si>
  <si>
    <t>Программируемые_контроллеры_и_микроконтроллеры_в_системах_ав.pdf</t>
  </si>
  <si>
    <t>Данное учебное пособие посвящено архитектуре, функциональным возможностям и техническим характеристикам современных программируемых логических контроллеров (ПЛК) и микроконтроллеров, а также вопросам их программирования и применения в системах автоматизации. Ключевые разделы книги охватывают аппаратные средства микроконтроллеров и ПЛК (включая обзор продукции компаний ОВЕН, OMRON и Siemens), языки программирования (LD, FBD, IL, ST, SFC) и инструментальные среды разработки (CoDeSys, CX-Programmer, STEP 7), а также примеры проектирования систем управления. Издание предназначено для студентов направлений «Автоматизация технологических процессов» и «Управление в технических системах», магистрантов, аспирантов и специалистов инженерного образования, то есть рассчитано на уровень от начинающих до практикующих специалистов.</t>
  </si>
  <si>
    <t>Книга посвящена новым методам построения программируемых логических автоматов (ПЛА) — процессоров для систем управления, основанных на более эффективных принципах синтеза и программирования, чем традиционные микропроцессоры. В работе подробно описываются структуры и функциональные возможности семи моделей ПЛА (от ПЛА1 до ПЛА7), включая реализацию логических и арифметических функций, работу с двоичными переменными и выполнение нелинейных алгоритмов без команд перехода. Ключевые концепции включают использование триггеров для совмещения функций вычисления, памяти и сдвига, а также программирование с помощью 92 двоичных команд, каждая из которых выполняется за один такт. Издание предназначено для специалистов и разработчиков систем управления и цифрового регулирования, интересующихся альтернативными подходами к построению процессоров.</t>
  </si>
  <si>
    <t>Си для встраиваемых систем</t>
  </si>
  <si>
    <t>chrns</t>
  </si>
  <si>
    <t>Си для встраиваемых систем-2019.pdf</t>
  </si>
  <si>
    <t>Книга «Си для встраиваемых систем» представляет собой практическое руководство по программированию микроконтроллеров на языке Си, с фокусом на архитектуру ARM Cortex-M3. Ключевые разделы охватывают историю встраиваемых систем, инструменты разработки (Git, GCC, make), особенности языка Си для ограниченных ресурсов, а также работу с библиотеками CMSIS и HAL. Материал ориентирован на читателей, уже знакомых с основами программирования, но желающих углубиться в низкоуровневую разработку для встраиваемых устройств.</t>
  </si>
  <si>
    <t>Схемотехника. От азов до создания практических устройств</t>
  </si>
  <si>
    <t>Гаврилов С.А.; Бартош А.И.</t>
  </si>
  <si>
    <t>Схемотехника.pdf</t>
  </si>
  <si>
    <t>Книга посвящена искусству схемотехники и созданию электронных схем на различной элементной базе, от транзисторов до радиоламп. Ключевые разделы охватывают азы работы с биполярными и полевыми транзисторами, методы стабилизации режимов и анализ линейных каскадов. Материал изложен в форме диалога и пошагово, от простого к сложному, с разбором частых ошибок. Издание предназначено для широкого круга радиолюбителей, начинающих разработчиков и студентов радиотехнических специальностей.</t>
  </si>
  <si>
    <t>Управление электронными устройствами на C++. Разработка практических приложений</t>
  </si>
  <si>
    <t>Янта Катупития; Ким Бентли</t>
  </si>
  <si>
    <t>Управление_электронными_устройствами_на_C++.pdf</t>
  </si>
  <si>
    <t>Книга посвящена изучению языка C++ и его применению для управления электронными устройствами на практических примерах. Ключевые разделы охватывают работу с параллельным портом, цифро-аналоговыми и аналого-цифровыми преобразователями, управление двигателями, а также основы автоматического управления и механотроники. Издание предназначено для студентов, инженеров, научных работников и радиолюбителей, интересующихся программированием и электроникой.</t>
  </si>
  <si>
    <t>Цифровая электроника для начинающих</t>
  </si>
  <si>
    <t>Цифровая_электроника_для_начинающих_.pdf</t>
  </si>
  <si>
    <t>Фрагмент книги «Цифровая электроника для начинающих» посвящён основам работы с платформой Arduino и базовым принципам цифровой электроники. Ключевые концепции включают работу с цифровыми и аналоговыми сигналами, программирование микроконтроллеров и сборку простых схем. Материал ориентирован на новичков, желающих освоить практическую электронику и программирование с нуля.</t>
  </si>
  <si>
    <t>Электроника шаг за шагом</t>
  </si>
  <si>
    <t>Сворень Р. А.</t>
  </si>
  <si>
    <t>Электроника шаг за шагом.pdf</t>
  </si>
  <si>
    <t>Фрагмент представляет собой введение к книге Р. А. Свореня «Электроника шаг за шагом» — практической энциклопедии, посвященной основам электротехники, электроники, радиотехники, звукозаписи, телевидения и вычислительной техники. Ключевые разделы включают учебную часть, дополненную комментариями и современным «Практикумом», а также биографический очерк об авторе. Книга предназначена для широкого круга любителей электроники, включая новичков, благодаря простому и доступному изложению материала.</t>
  </si>
  <si>
    <t>Experimental Methodology for Human–Robot Interaction: Guidelines and Case Studies for Human-Centred and Ethical Robotics Research</t>
  </si>
  <si>
    <t>Leimin Tian</t>
  </si>
  <si>
    <t>Experimental Methodology for Human Robot Interaction.pdf</t>
  </si>
  <si>
    <t>C:\Users\alexa\YandexDisk\Книги\Встроенные системы\Робототехника</t>
  </si>
  <si>
    <t>Эта книга представляет собой практическое руководство по экспериментальной методологии во взаимодействии человека и робота (HRI), сфокусированное на человеко-центрированном и этическом подходе к исследованиям. Структура издания включает три части: введение в фундаментальные методологии и интерактивный чек-лист для планирования экспериментов, расширенный набор подходов из смежных дисциплин (HCI, психология, социальные науки), а также подборку тематических исследований для закрепления материала. Издание предназначено как для новичков, так и для опытных исследователей и практиков, стремящихся повысить качество и этичность своих HRI-исследований.</t>
  </si>
  <si>
    <t>Foundations of Robotics</t>
  </si>
  <si>
    <t>Damith Herath; David St-Onge</t>
  </si>
  <si>
    <t>Foundations of Robotics.pdf</t>
  </si>
  <si>
    <t>Этот фрагмент представляет собой введение к книге «Foundations of Robotics», которая представляет собой междисциплинарный подход к робототехнике с использованием Python и ROS. Ключевые концепции, затронутые в отрывке, включают историю роботов от мифов и литературы до современных технологий, а также связь робототехники с искусством, культурой и инженерией. Книга предназначена как для инженеров, желающих понять культурный контекст роботов, так и для художников и писателей, стремящихся разобраться в технических основах, то есть рассчитана на широкий круг читателей, от новичков до специалистов.</t>
  </si>
  <si>
    <t>Сервисные антропоморфные роботы</t>
  </si>
  <si>
    <t>Чжан Мин</t>
  </si>
  <si>
    <t>Сервисные антропоморфные роботы.pdf</t>
  </si>
  <si>
    <t>Книга посвящена кинематике и методам планирования траекторий для манипуляторов антропоморфных сервисных роботов с целью повышения их автономности. В ней рассматриваются такие ключевые концепции, как иерархический итерационный метод обратной кинематики (C-FABRIK) и метод быстрого роста дерева на основе информированного семплирования (IAFMT*). Издание предназначено для инженеров, исследователей, а также преподавателей и студентов соответствующих специальностей.</t>
  </si>
  <si>
    <t>Упражнения на развитие центральной фиксации</t>
  </si>
  <si>
    <t>Здоровье/Зрение</t>
  </si>
  <si>
    <t>Здоровье</t>
  </si>
  <si>
    <t>Зрение</t>
  </si>
  <si>
    <t>DOC</t>
  </si>
  <si>
    <t>Упражнения на развитие центральной фиксации.doc</t>
  </si>
  <si>
    <t>C:\Users\alexa\YandexDisk\Книги\Здоровье\Зрение</t>
  </si>
  <si>
    <t>Данный фрагмент книги посвящён методике восстановления зрения, в частности упражнениям на развитие центральной фиксации — способности видеть объект наиболее чётко центральной ямкой сетчатки. Ключевая концепция заключается в том, что улучшение зрения достигается через расслабление глазных мышц и тренировку фиксации взгляда на деталях, а не на объекте целиком. Книга предназначена для широкого круга читателей, включая новичков, интересующихся немедикаментозными методами коррекции зрения.</t>
  </si>
  <si>
    <t>basas_of_yoga.doc</t>
  </si>
  <si>
    <t>Здоровье/Йога</t>
  </si>
  <si>
    <t>Йога</t>
  </si>
  <si>
    <t>C:\Users\alexa\YandexDisk\Книги\Здоровье\Йога</t>
  </si>
  <si>
    <t>Книга посвящена основам йоги, её философии и практическим аспектам. Ключевые концепции включают объяснение асан, пранаямы (дыхательных техник) и медитации, а также принципы этики и здорового образа жизни. Материал предназначен для новичков, желающих начать изучение йоги с нуля.</t>
  </si>
  <si>
    <t>Bases of Yoga</t>
  </si>
  <si>
    <t>Sri Aurobindo</t>
  </si>
  <si>
    <t>1981</t>
  </si>
  <si>
    <t>Sri Aurobindo Ashram</t>
  </si>
  <si>
    <t>basas_of_yoga.fb2</t>
  </si>
  <si>
    <t>Фрагмент книги Шри Ауробиндо «Основы йоги» посвящен начальному этапу духовной практики — достижению ментальной тишины и спокойствия как необходимой основы для йоги. Ключевая концепция заключается в том, что истинное сознание можно взрастить лишь в безмолвном уме, который не подавляет мысли, но наблюдает их отстраненно, не отождествляясь с ними. Автор различает пустой ум (отсутствие мыслей) и спокойный ум (неподвижная субстанция, через которую мысли проходят, не оставляя следа), подчеркивая важность покорности только высшей истине, а не низшей природе. Книга предназначена для практикующих йогу и ищущих духовного развития, как для новичков, так и для более опытных специалистов, стремящихся углубить свою садхану.</t>
  </si>
  <si>
    <t>ten_lessons_on_yoga</t>
  </si>
  <si>
    <t>ten_lessons_on_yoga.doc</t>
  </si>
  <si>
    <t>Книга представляет собой введение в философию и практику йоги, предназначенное для новичков. В ней рассматриваются ключевые концепции, такие как асаны, пранаяма и медитация, а также их влияние на физическое и ментальное здоровье. Автор объясняет, как йога помогает достичь гармонии между телом и разумом, и предлагает практические уроки для самостоятельного освоения. Издание ориентировано на широкую аудиторию, желающую начать свой путь в йоге без предварительной подготовки.</t>
  </si>
  <si>
    <t>Йога в десяти уроках</t>
  </si>
  <si>
    <t>Дешане Ж. М.</t>
  </si>
  <si>
    <t>ten_lessons_on_yoga.fb2</t>
  </si>
  <si>
    <t>Книга Ж. М. Дешане «Йога в десяти уроках» посвящена поиску синтеза практик йоги и христианского мировоззрения, а также возможности создания «христианской йоги» для западного человека. Автор, опираясь на мнения Юнга и других мыслителей, рассматривает йогу не как самоцель, а как инструмент для достижения внутренней тишины, гармонии тела, души и духа, что должно служить подготовкой к христианской молитве и единению с Богом. Ключевые концепции включают использование асан, пранаямы и концентрации для интеграции трёх аспектов человеческой натуры (тела, ума и духа) в рамках личного христианского опыта. Книга предназначена для верующих христиан, интересующихся йогой, а также для практикующих, ищущих духовное измерение в занятиях, и требует от читателя определённой религиозной осознанности, а не начального уровня подготовки.</t>
  </si>
  <si>
    <t>Интегральная йога</t>
  </si>
  <si>
    <t>Интегральная йога.doc</t>
  </si>
  <si>
    <t>Книга «Интегральная йога» посвящена целостному подходу к йогической практике, объединяющему физические, ментальные и духовные аспекты. Ключевые концепции включают синтез различных направлений йоги (хатха, раджа, бхакти и джняна), работу с энергией и осознанностью, а также интеграцию практики в повседневную жизнь. Издание предназначено как для новичков, желающих понять основы, так и для практикующих специалистов, стремящихся углубить своё понимание и выйти за рамки отдельных школ.</t>
  </si>
  <si>
    <t>Пранаяма - искусство дыхания</t>
  </si>
  <si>
    <t>Пранаяма -искусство дыхания.doc</t>
  </si>
  <si>
    <t>Книга «Пранаяма — искусство дыхания» посвящена древней йогической практике управления дыханием как ключевому элементу духовного и физического развития. В ней рассматриваются основные техники пранаямы, их физиологическое и энергетическое воздействие, а также связь дыхания с медитацией и очищением сознания. Издание ориентировано как на начинающих практиков, так и на более опытных специалистов, желающих углубить понимание дыхательных упражнений.</t>
  </si>
  <si>
    <t>Light on Pranayama Pranayama Dipika</t>
  </si>
  <si>
    <t>Б. К. С. Айенгар</t>
  </si>
  <si>
    <t>HarperCollins Publishers India</t>
  </si>
  <si>
    <t>Пранаяма -искусство дыхания.fb2</t>
  </si>
  <si>
    <t>Книга Б.К.С. Айенгара «Пранаяма. Искусство дыхания» представляет собой подробное руководство по древней науке управления дыханием (пранаяме), рассматривая её как ключ к гармонии тела, ума и духа. В первой части излагается теория: природа праны, строение энергетических каналов (нади) и центров (чакр), а также подробно разбираются техники вдоха, выдоха и задержки дыхания с использованием мудр и бандх. Вторая часть посвящена медитации и релаксации как высшим ступеням практики. Книга предназначена как для ревностных практикующих йогу, так и для всех, кто стремится к целостному здоровью и духовному развитию, предлагая систематизированные знания, выходящие за рамки обычной медицинской подготовки.</t>
  </si>
  <si>
    <t>Энергопрактики йоги и цигуна. Секреты суммы технологий</t>
  </si>
  <si>
    <t>Игорь Исаев</t>
  </si>
  <si>
    <t>Энергопрактики йоги и цигуна.fb2</t>
  </si>
  <si>
    <t>Книга Игоря Исаева посвящена исследованию феномена жизненной энергии (праны, ци) в контексте древних практик йоги и цигуна. Автор рассматривает исторические и метафизические аспекты этих систем, сопоставляя их с ограничениями современной материалистической науки. Ключевая концепция — существование нематериальной энергии, управление которой позволяет достигать сверхспособностей, долголетия и исцеления. Издание предназначено для широкого круга читателей, интересующихся эзотерикой и восточными практиками, включая как новичков, так и специалистов.</t>
  </si>
  <si>
    <t>Wherever You Go, There You Are: Mindfulness Meditation in Everyday Life</t>
  </si>
  <si>
    <t>Jon Kabat-Zinn</t>
  </si>
  <si>
    <t>Независимая фирма "Класс"; Издательство Трансперсонального института</t>
  </si>
  <si>
    <t>Здоровье/Медитации</t>
  </si>
  <si>
    <t>Медитации</t>
  </si>
  <si>
    <t>kabat_zinn_dzhon_kuda_by_ty_ni_shel_ty_uzhe_tam.pdf</t>
  </si>
  <si>
    <t>C:\Users\alexa\YandexDisk\Книги\Здоровье\Медитации</t>
  </si>
  <si>
    <t>Эта книга Джона Кабат-Зинна посвящена практике медитации полноты осознания (mindfulness) в повседневной жизни. Ключевые концепции включают «неделание», принятие текущего момента, работу с дыханием и специальные практики, такие как медитация на гору или озеро. Издание адресовано как новичкам, которые ищут простой доступ к сути медитации, так и опытным практикующим, желающим углубить осознанность и укрепить связь с бытием.</t>
  </si>
  <si>
    <t>Самоучитель по исцелению</t>
  </si>
  <si>
    <t>Кабат-Зинн Джон</t>
  </si>
  <si>
    <t>kabat_zinn_dzhon_samouchitel_po_istseleniyu.pdf</t>
  </si>
  <si>
    <t>Эта книга Джона Кабат-Зинна посвящена практике осознанности (mindfulness) и её применению для исцеления и снижения стресса. Ключевая концепция — использование медитации и внимательного отношения к настоящему моменту для работы с болью, болезнями и эмоциональными трудностями. Издание представляет собой практическое руководство с упражнениями, основанное на программе снижения стресса (MBSR). Книга предназначена для широкой аудитории, включая новичков, желающих освоить техники самоисцеления и улучшить качество жизни.</t>
  </si>
  <si>
    <t>Гормоны счастья</t>
  </si>
  <si>
    <t>Здоровье/Мозг и мышление</t>
  </si>
  <si>
    <t>Мозг и мышление</t>
  </si>
  <si>
    <t>gormoni-radosti.pdf</t>
  </si>
  <si>
    <t>C:\Users\alexa\YandexDisk\Книги\Здоровье\Мозг и мышление</t>
  </si>
  <si>
    <t>Этот фрагмент книги «Гормоны счастья» Лоретты Бройнинг посвящен тому, как химия мозга (дофамин, серотонин, окситоцин, эндорфин и кортизол) управляет эмоциями и мотивацией, формируя поведение, направленное на выживание. Ключевые концепции объясняют, что положительные эмоции поощряют достижение целей и удовлетворение потребностей, а негативные (кортизол) предупреждают об угрозах, при этом все реакции основаны на нейронных путях, закрепленных опытом, особенно в детстве. Книга предназначена для широкой аудитории новичков, интересующихся психологией и саморазвитием, и написана доступным языком.</t>
  </si>
  <si>
    <t>126 эффективных упражнений по развитию вашей памяти</t>
  </si>
  <si>
    <t>Здоровье/Пямять</t>
  </si>
  <si>
    <t>Пямять</t>
  </si>
  <si>
    <t>126 эффективных упражнений по развитию вашей памяти.fb2</t>
  </si>
  <si>
    <t>C:\Users\alexa\YandexDisk\Книги\Здоровье\Память</t>
  </si>
  <si>
    <t>Эта книга посвящена развитию памяти и утверждает, что хорошая память — это не врожденный дар, а навык, который можно тренировать. Ключевая концепция заключается в том, что память является функцией мозга, подобной мышце, и для её улучшения необходимо освоить эффективные техники запоминания, а не просто механически заучивать информацию. Введение объясняет, что большинство людей используют лишь малую часть потенциала мозга, и предлагает систематические упражнения для значительного улучшения запоминания. Материал предназначен для новичков, которые хотят научиться управлять своей памятью и применять практические методы в повседневной и профессиональной жизни.</t>
  </si>
  <si>
    <t>Техника тренировки памяти</t>
  </si>
  <si>
    <t>Андреев О.А.; Хромов Л.Н.</t>
  </si>
  <si>
    <t>Andreev_O_A_Khromov - Техника тренировки памяти.pdf</t>
  </si>
  <si>
    <t>Данный фрагмент представляет собой введение к книге О.А. Андреева и Л.Н. Хромова «Техника тренировки памяти», которая является второй ступенью комплексной программы интеллектуального развития «Техника быстрого чтения». Ключевая концепция книги — развитие памяти и внимания через систему упражнений и медитативных практик, входящих в программу «Сатори», которая следует за освоением базовой техники скорочтения. В книге рассматриваются механизмы памяти, видеотренинг, эмоциональное воздействие на подсознание, алгоритмы чтения и методы сверхзапоминания. Издание предназначено для широкого круга читателей, уже освоивших начальный уровень скорочтения, и обещает значительное улучшение усвоения информации и активизацию творческих способностей.</t>
  </si>
  <si>
    <t>Your Memory: A User's Guide</t>
  </si>
  <si>
    <t>Alan Baddeley</t>
  </si>
  <si>
    <t>ЭКСМО-ПРЕСС</t>
  </si>
  <si>
    <t>Здоровье/Память</t>
  </si>
  <si>
    <t>Память</t>
  </si>
  <si>
    <t>Beddeli_Alan_-_Vasha_pamyat.pdf</t>
  </si>
  <si>
    <t>Книга Алана Бэддели «Ваша память» представляет собой научно-популярное руководство по устройству и тренировке человеческой памяти, охватывающее как фундаментальные механизмы (кратковременная, рабочая и долговременная память), так и прикладные аспекты (забывание, свидетельские показания, амнезия). Ключевые разделы включают описание рабочей памяти, процессов научения и структурирования информации, а также влияние возраста на память. Издание предназначено для широкого круга читателей — от студентов и преподавателей до всех, кто интересуется психологией и хочет улучшить свою память, при этом материал изложен доступно, но с опорой на последние научные данные.</t>
  </si>
  <si>
    <t>Garibian</t>
  </si>
  <si>
    <t>Garibian.doc</t>
  </si>
  <si>
    <t>Книга посвящена механизмам работы памяти и методам её улучшения. Ключевые разделы охватывают физиологию запоминания, типы памяти (кратковременная, долговременная) и практические техники тренировки, такие как мнемотехники и ассоциативные упражнения. Издание ориентировано на широкую аудиторию, включая новичков, желающих повысить эффективность запоминания в повседневной жизни и учёбе.</t>
  </si>
  <si>
    <t>lapp</t>
  </si>
  <si>
    <t>lapp.djvu</t>
  </si>
  <si>
    <t>Книга посвящена работе памяти, её механизмам и методам улучшения. В представленном фрагменте рассматриваются ключевые концепции, связанные с запоминанием и возможными нарушениями. Издание ориентировано на широкий круг читателей, включая новичков, интересующихся саморазвитием и когнитивным здоровьем.</t>
  </si>
  <si>
    <t>Pamayt</t>
  </si>
  <si>
    <t>Pamayt.pdf</t>
  </si>
  <si>
    <t>Книга посвящена механизмам работы человеческой памяти и методам её улучшения. В ней рассматриваются ключевые концепции, такие как типы памяти (кратковременная, долговременная), процессы запоминания и забывания, а также практические техники тренировки мозга. Издание ориентировано на широкий круг читателей-новичков, желающих понять принципы функционирования памяти и освоить эффективные способы её развития в повседневной жизни.</t>
  </si>
  <si>
    <t>Упражнения йоги для развития памяти</t>
  </si>
  <si>
    <t>Йог Раманантата</t>
  </si>
  <si>
    <t>Издательство ФАИР</t>
  </si>
  <si>
    <t>Yprajnenia_iogi.pdf</t>
  </si>
  <si>
    <t>Эта книга представляет собой всеобъемлющее руководство по развитию памяти, основанное на комплексном подходе, включающем теорию механизмов запоминания и практические упражнения. Ключевая концепция автора заключается в том, что ухудшение памяти связано не с возрастом, а с отсутствием упражнений и интереса, а также с вредом от привычек, притупляющих внимание. В книге рассматриваются методы улучшения пространственной памяти, памяти на лица, числа и события, а также затрагивается тема памяти прошлых воплощений. Издание предназначено для широкого круга читателей, включая новичков, желающих сделать свою жизнь ярче и успешнее за счет тренировки памяти.</t>
  </si>
  <si>
    <t>Память не изменяет. Задачи и головоломки для развития интеллекта и памяти</t>
  </si>
  <si>
    <t>Анхельс Наварро</t>
  </si>
  <si>
    <t>Анхельс Наварро Память не изменяет. Задачи и головоломки для развития интеллекта и памяти (2015).pdf</t>
  </si>
  <si>
    <t>Книга Анхельс Наварро «Память не изменяет» представляет собой практическое руководство по тренировке памяти и интеллекта, построенное на игровых задачах и головоломках. В теоретической части рассматриваются основы работы мозга, виды и фазы памяти, а также факторы, влияющие на её ухудшение и улучшение. Основная концепция заключается в том, что стимуляция мозга через увлекательные упражнения помогает поддерживать его активность и предотвращать возрастную деградацию. Издание предназначено для широкой аудитории, включая новичков, так как упражнения разделены по уровням сложности и не требуют специальной подготовки.</t>
  </si>
  <si>
    <t>Искусство_Концентрации</t>
  </si>
  <si>
    <t>Искусство_Концентрации.pdf</t>
  </si>
  <si>
    <t>Книга посвящена развитию навыка концентрации и управлению вниманием. В ней рассматриваются причины рассеянности, методы тренировки фокуса и практические упражнения для повышения продуктивности. Ключевые разделы включают борьбу с отвлекающими факторами, техники глубокой работы и формирование полезных привычек. Издание предназначено для широкой аудитории, включая новичков, желающих улучшить свою способность сосредотачиваться в повседневной жизни и работе.</t>
  </si>
  <si>
    <t>Развивайте интеллект</t>
  </si>
  <si>
    <t>Картер</t>
  </si>
  <si>
    <t>Картер-Развивайте_интеллект.doc</t>
  </si>
  <si>
    <t>Книга посвящена развитию интеллекта и когнитивных способностей, в частности памяти. В ней рассматриваются практические методики и упражнения для улучшения работы мозга, а также разделы, связанные с нейробиологией и стратегиями запоминания. Издание ориентировано на широкую аудиторию, включая новичков, желающих повысить свою умственную продуктивность.</t>
  </si>
  <si>
    <t>Маленькая книжка о большой памяти</t>
  </si>
  <si>
    <t>Лурия А.Р.</t>
  </si>
  <si>
    <t>Лурия А.Р. Маленькая книжка о большой памяти.doc</t>
  </si>
  <si>
    <t>Книга Александра Лурии «Маленькая книжка о большой памяти» посвящена феноменальной памяти человека — мнемониста Соломона Шерешевского, который обладал способностью запоминать огромные объёмы информации без видимых усилий. Ключевая концепция работы — описание синестезии (смешения ощущений) и эйдетической памяти, которые позволяли герою видеть, слышать и осязать запоминаемые образы, а также анализ трудностей, с которыми сталкивалась его уникальная психика. Книга предназначена как для специалистов в области психологии и нейронаук, так и для широкого круга читателей, интересующихся загадками человеческого мозга.</t>
  </si>
  <si>
    <t>Методы развития памяти, образного мышления, воображения</t>
  </si>
  <si>
    <t>Методы развития памяти, образного мышления, воображения.djvu</t>
  </si>
  <si>
    <t>Эта книга посвящена методам развития памяти, образного мышления и воображения. Ключевые концепции включают использование ассоциаций, визуализации и мнемотехник для улучшения запоминания информации. Материал предназначен для широкой аудитории, включая новичков, желающих освоить базовые приёмы работы с памятью.</t>
  </si>
  <si>
    <t>Пугач</t>
  </si>
  <si>
    <t>Пугач.doc</t>
  </si>
  <si>
    <t>Развитие памяти</t>
  </si>
  <si>
    <t>Ю.К.Пугач</t>
  </si>
  <si>
    <t>Пугач.fb2</t>
  </si>
  <si>
    <t>Книга Ю.К. Пугача «Развитие памяти» посвящена системе приемов для улучшения запоминания, основанной на работе образной и логической памяти. Ключевые концепции включают описание аппарата памяти (образная, логическая, технология, речь, интеллект), механизм перехода информации из оперативной в кратковременное и долговременное хранилище, а также преодоление барьера в 7±2 единицы информации. В книге рассматриваются такие разделы, как образное группирование, запоминание последовательностей и текстов, алгоритмы запоминания цифр и абстракций. Пособие предназначено для новичков, желающих развить память с помощью практических тренировок.</t>
  </si>
  <si>
    <t>Тренировка ума</t>
  </si>
  <si>
    <t>Тренировка ума.doc</t>
  </si>
  <si>
    <t>Книга посвящена тренировке памяти и развитию когнитивных способностей через специальные упражнения. В представленном фрагменте рассматриваются ключевые концепции, такие как механизмы запоминания и методы улучшения работы мозга. Издание ориентировано на широкую аудиторию, включая новичков, желающих освоить базовые техники для повышения умственной активности.</t>
  </si>
  <si>
    <t>Учебник по активному воображению</t>
  </si>
  <si>
    <t>Учебник по активному воображению.doc</t>
  </si>
  <si>
    <t>Данный фрагмент книги посвящен методу активного воображения, разработанному Карлом Густавом Юнгом, и представляет собой практическое руководство по работе с бессознательным. Ключевые концепции включают технику визуализации образов, диалог с внутренними фигурами и запись полученного опыта для интеграции подсознательных содержаний в сознание. Книга предназначена для новичков и практикующих психологов, интересующихся юнгианским анализом и глубинными психологическими практиками.</t>
  </si>
  <si>
    <t>7 этажей здоровья. Лечение позвоночника и суставов без лекарств</t>
  </si>
  <si>
    <t>Сергей Михайлович Бубновский</t>
  </si>
  <si>
    <t>Здоровье/Разное</t>
  </si>
  <si>
    <t>Разное</t>
  </si>
  <si>
    <t>Bubnovskiyi_S._Doktorbubnovsk._7_Yetajeyi_Zdorovya_Leche.a4.pdf</t>
  </si>
  <si>
    <t>C:\Users\alexa\YandexDisk\Книги\Здоровье\Разное</t>
  </si>
  <si>
    <t>Книга Сергея Бубновского «7 этажей здоровья» посвящена лечению и профилактике заболеваний позвоночника и суставов без использования лекарств и операций, с помощью методов кинезитерапии. Автор вводит метафору «семи этажей» тела (от ступней до головы), подчеркивая взаимосвязь всех функциональных систем организма, где проблемы на одном «этаже» влияют на здоровье всего «дома». Ключевые разделы включают объяснение болевых симптомов как сигналов мышечной недостаточности, критику узкоспециализированного «таблеточного» подхода в медицине и практические комплексы упражнений для каждого уровня тела. Книга предназначена для широкого круга читателей (от новичков до пациентов с хроническими болями), которые хотят взять ответственность за свое здоровье и жить без постоянной оглядки на болезнь.</t>
  </si>
  <si>
    <t>Bubnovskiyi_S._Doktorbubnovsk._7_Yetajeyi_Zdorovya_Leche.epub</t>
  </si>
  <si>
    <t>Книга Сергея Бубновского «7 этажей здоровья» посвящена лечению и профилактике заболеваний позвоночника и суставов без использования лекарств, с помощью методов кинезитерапии. Автор сравнивает человеческое тело с многоэтажным домом, где каждый «этаж» (от ступней до головы) взаимосвязан с другими через функциональные системы, и объясняет, что боль в суставах — это сигнал мышечной недостаточности и нарушения кровообращения, а не просто болезнь. Ключевая концепция заключается в том, что вместо заглушения симптомов таблетками необходимо устранять причину через физические нагрузки и укрепление мышц. Книга предназначена для широкого круга читателей, включая новичков, которые хотят понять, как самостоятельно восстанавливать здоровье и жить без боли и хронических заболеваний.</t>
  </si>
  <si>
    <t>Долго жить не запретишь. Гид по восстановлению и сохранению здоровья сердца, мозга и суставов</t>
  </si>
  <si>
    <t>Bubnovskiyi_S._Jivempobubnovskomu._Dolgo_Jit_Ne_Zapretish_Gi.a4.pdf</t>
  </si>
  <si>
    <t>Эта книга Сергея Бубновского посвящена сохранению здоровья сердца, мозга и суставов в пожилом возрасте без использования медикаментов. Автор утверждает, что старость — это накопление болезней, и предлагает бороться с ней через кинезитерапию, диафрагмальное дыхание, криотерапию и банные процедуры. Ключевые разделы включают «Код здоровья», «Здоровые сосуды» и объяснение связи между остеохондрозом и ишемической болезнью сердца. Издание рассчитано на широкий круг читателей-новичков, интересующихся немедикаментозными методами оздоровления и продления активной жизни.</t>
  </si>
  <si>
    <t>Bubnovskiyi_S._Jivempobubnovskomu._Dolgo_Jit_Ne_Zapretish_Gi.epub</t>
  </si>
  <si>
    <t>Книга Сергея Бубновского посвящена восстановлению и сохранению здоровья сердца, мозга и суставов через методы кинезитерапии. Автор критикует традиционный подход, при котором у пожилых пациентов накапливается множество диагнозов и лекарств, и утверждает, что старость — это результат кумулятивного накопления болезней из-за отсутствия заботы о теле. Ключевая концепция заключается в том, что врачи, обученные лечить симптомы, часто забывают о законах функционирования организма, что ведет к ятрогении (болезни от лечения). Книга предназначена для широкого круга читателей, особенно для людей старше 60 лет, уставших от бесконечного лечения и желающих вернуть активную жизнь без ежедневных страданий.</t>
  </si>
  <si>
    <t>Упражнения для дома и зала: золотая книга. Более 100 практик при болях в спине и суставах</t>
  </si>
  <si>
    <t>Бубновский, Сергей Михайлович</t>
  </si>
  <si>
    <t>Bubnovskiy_S._Uprajneniya_dlya_doma_i_zala.pdf</t>
  </si>
  <si>
    <t>Книга Сергея Бубновского «Упражнения для дома и зала» посвящена восстановлению и сохранению здоровья опорно-двигательного аппарата с помощью физической активности. Автор предлагает более 100 упражнений, разделённых по «этажам» тела (коленные, тазобедренные суставы и т.д.), с анатомическим и функциональным описанием каждого. Ключевая концепция — подбор упражнений в зависимости от конкретных недомоганий для восстановления повреждённых органов. Издание предназначено для широкой аудитории, от новичков до людей с болями в спине и суставах, стремящихся к активному долголетию.</t>
  </si>
  <si>
    <t>Возвращение к здоровью</t>
  </si>
  <si>
    <t>Сергей Ковалёв</t>
  </si>
  <si>
    <t>Animedia Company</t>
  </si>
  <si>
    <t>vozvraschenije-k-zdorovju.epub</t>
  </si>
  <si>
    <t>Эта книга посвящена системе нейропрограммирования психосоматических исцелений (НПСИ), разработанной автором для восстановления здоровья без врачей и лекарств. Ключевая концепция основана на личном опыте автора, который излечил себя от «неизлечимых» болезней, и включает работу с психосоматикой. Книга предназначена для широкого круга читателей (уровень новичка), которые хотят вернуть утраченное здоровье и сохранить его на долгие годы.</t>
  </si>
  <si>
    <t>Анатомические поезда. Плакаты</t>
  </si>
  <si>
    <t>Анатомические_поезда._Фасциальные_Цепи.pdf</t>
  </si>
  <si>
    <t>Данный фрагмент представляет собой плакаты к книге «Анатомические поезда», которая посвящена концепции миофасциальных цепей — непрерывных линий соединительной ткани, связывающих мышцы и кости в единую кинематическую систему. Ключевая идея заключается в том, что движение и осанка зависят не от отдельных мышц, а от целостных фасциальных «поездов», которые передают напряжение по всему телу. Книга предназначена для специалистов в области мануальной терапии, остеопатии, кинезиологии и фитнеса, а также для продвинутых студентов, изучающих анатомию на профессиональном уровне.</t>
  </si>
  <si>
    <t>Движения печени -1-й день</t>
  </si>
  <si>
    <t>Движения печени -1-й день.docx</t>
  </si>
  <si>
    <t>На основе предоставленного фрагмента не удалось определить содержимое, так как текст отсутствует или нечитаем.</t>
  </si>
  <si>
    <t>Снимаем боль. Книга первая</t>
  </si>
  <si>
    <t>Владимир Осипов</t>
  </si>
  <si>
    <t>Инструкция по точечному массажу.pdf</t>
  </si>
  <si>
    <t>Эта книга представляет собой практическое руководство по точечному самомассажу для быстрого снятия болевых синдромов, которое автор позиционирует как «Скорую помощь». Ключевая концепция заключается в том, что боль — это сигнал организма о неполадках, который нельзя просто блокировать таблетками, а необходимо услышать и устранить причину. В пособии рассматриваются пять видов боли (головная, в горле, в спине, зубная и в сердце), для каждого из которых приводятся рецепты воздействия на активные точки, при этом снятие боли считается лишь первым этапом, за которым должны следовать восстановление энергетического баланса и искоренение причины заболевания. Книга предназначена для новичков, желающих освоить простые и эффективные методы самопомощи в критических ситуациях.</t>
  </si>
  <si>
    <t>Тайцзи-Патока</t>
  </si>
  <si>
    <t>Дарья Патока</t>
  </si>
  <si>
    <t>Здоровье/Тайцзы</t>
  </si>
  <si>
    <t>Тайцзы</t>
  </si>
  <si>
    <t>Тайцзи-Патока.zip</t>
  </si>
  <si>
    <t>C:\Users\alexa\YandexDisk\Книги\Здоровье\Тайцзы</t>
  </si>
  <si>
    <t>Книга представляет собой путеводитель по монастырям гор Суншань в Китае, написанный мастером тайцзицюань Дарьей Патокой, которая много лет живет рядом с Шаолинем. В ней подробно, зал за залом и двор за двором, описываются буддийские, даосские и конфуцианские монастыри, включая Шаолинь, с акцентом на их историю, архитектуру и духовное значение. Издание предназначено как для путешественников, планирующих посетить эти места, так и для широкого круга любителей китайской культуры, включая новичков.</t>
  </si>
  <si>
    <t>Тайцзи</t>
  </si>
  <si>
    <t>Тайцзи.zip</t>
  </si>
  <si>
    <t>Тайцзы после 60 - безопасный путь к балансу, дыханию и долголетию</t>
  </si>
  <si>
    <t>Тайцзы после 60 - безопасный путь к балансу, дыханию и долголетию.pdf</t>
  </si>
  <si>
    <t>Эта книга посвящена безопасному освоению тайцзы и цигун для людей старше 60 лет, с акцентом на улучшение баланса, дыхания и долголетия. Ключевые разделы включают снижение риска падений на 24% за счет тренировки проприоцепции, освоение диафрагмального дыхания с концентрацией на даньтяне, а также рекомендации по начальным упражнениям (Чжань Чжуан, Бадуаньцзинь). Материал предназначен для начинающих пожилого возраста, включая людей с ограниченной подвижностью, и подчеркивает важность постепенности и консультации с врачом.</t>
  </si>
  <si>
    <t>Blueprints for Text Analytics Using Python</t>
  </si>
  <si>
    <t>Jens Albrecht; Sidharth Ramachandran; Christian Winkler</t>
  </si>
  <si>
    <t>ИИ/NLP</t>
  </si>
  <si>
    <t>ИИ</t>
  </si>
  <si>
    <t>NLP</t>
  </si>
  <si>
    <t>Blueprints for Text Analytics Using Python.epub</t>
  </si>
  <si>
    <t>C:\Users\alexa\YandexDisk\Книги\ИИ\NLP</t>
  </si>
  <si>
    <t>Эта книга представляет собой практическое руководство по анализу текстов с использованием Python, охватывающее полный цикл работы: от предварительной обработки данных и извлечения информации через API и веб-скрапинг до построения моделей машинного обучения, таких как классификация текста. Ключевые разделы включают разведочный анализ, векторизацию текста (TF-IDF, n-граммы), вычисление синтаксической схожести и применение алгоритмов классификации с оценкой качества. Издание предназначено для специалистов по данным и разработчиков, уже имеющих базовые знания Python, которые хотят освоить готовые шаблоны решений (blueprints) для типовых задач NLP.</t>
  </si>
  <si>
    <t>Comprehend</t>
  </si>
  <si>
    <t>Verma, Juhi A.</t>
  </si>
  <si>
    <t>Comprehend_.pdf</t>
  </si>
  <si>
    <t>Фрагмент книги посвящён концепции «Comprehend» (понимание) в контексте искусственного интеллекта, а также ключевым технологиям, которые её обеспечивают: представлению знаний, обработке естественного языка (NLP) и распознаванию речи. В качестве реальных примеров применения рассматриваются чат-боты и анализ настроений пользователей в социальной сети Facebook. Материал ориентирован на новичков, желающих получить базовое представление о том, как машины учатся интерпретировать информацию.</t>
  </si>
  <si>
    <t>Transformers for Natural Language Processing</t>
  </si>
  <si>
    <t>Denis Rothman</t>
  </si>
  <si>
    <t>Denis Rothman - Transformers for Natural Language Processing.pdf</t>
  </si>
  <si>
    <t>Книга Дениса Ротмана посвящена созданию инновационных архитектур глубоких нейронных сетей для обработки естественного языка (NLP) с использованием трансформеров, таких как BERT и RoBERTa, на базе Python, PyTorch и TensorFlow. В ней рассматриваются ключевые концепции архитектуры трансформеров и их применение для решения задач NLP. Издание предназначено для специалистов в области Data Science и машинного обучения, уже имеющих опыт программирования и желающих углубить знания в области современных NLP-моделей.</t>
  </si>
  <si>
    <t>Getting Started with Natural Language Processing</t>
  </si>
  <si>
    <t>Ekaterina Kochmar</t>
  </si>
  <si>
    <t>Getting Started with Natural Language Processing V10 2022.pdf</t>
  </si>
  <si>
    <t>Эта книга представляет собой практическое введение в обработку естественного языка (NLP), охватывающее такие ключевые задачи, как анализ тональности, классификация текстов, информационный поиск и извлечение сущностей. Автор знакомит читателя с основными алгоритмами (стемминг, лемматизация, векторизация) и методами машинного обучения, структурируя процесс создания NLP-проектов. Издание предназначено для разработчиков, знакомых с Python и базовой математикой, но не требует предварительных знаний в области лингвистики или NLP.</t>
  </si>
  <si>
    <t>How Large Language Models Work</t>
  </si>
  <si>
    <t>Edward Raff; Drew Farris; Stella Biderman</t>
  </si>
  <si>
    <t>How Large Language Models Work.pdf</t>
  </si>
  <si>
    <t>Эта книга посвящена устройству и принципам работы больших языковых моделей (LLM). В ней подробно разбираются ключевые этапы преобразования входного текста в выходной: токенизация, создание эмбеддингов, работа трансформеров и декодирование, а также методы обучения, такие как градиентный спуск и обучение с подкреплением на основе обратной связи от человека (RLHF). Издание предназначено для читателей, имеющих базовое представление о машинном обучении, и будет полезно как специалистам, так и новичкам, желающим глубоко понять механизмы работы LLM.</t>
  </si>
  <si>
    <t>Real-World Natural Language Processing</t>
  </si>
  <si>
    <t>Masato Hagiwara</t>
  </si>
  <si>
    <t>Masato_Hagiwara_Real_World_Natural_Language_Processing_Practical.pdf</t>
  </si>
  <si>
    <t>Книга «Real-World Natural Language Processing» Масато Хагивары посвящена практическому применению методов обработки естественного языка (NLP) для создания реальных приложений. В ней рассматриваются ключевые концепции, такие как векторизация слов и документов, классификация предложений, последовательная разметка и языковое моделирование, а также полный цикл разработки NLP-систем — от сбора данных и обучения до мониторинга и развертывания. Издание ориентировано на специалистов и разработчиков, уже имеющих базовые знания в области машинного обучения и NLP, которые хотят перейти от теории к созданию работающих продуктов.</t>
  </si>
  <si>
    <t>Natural Language Processing for Beginners</t>
  </si>
  <si>
    <t>Natural Language Processing for Beginners.pdf</t>
  </si>
  <si>
    <t>Эта книга представляет собой введение в обработку естественного языка (NLP) для начинающих, объясняя основные концепции и методы анализа текстовых данных. В ней рассматриваются ключевые темы, такие как токенизация, векторизация текста (например, мешок слов и TF-IDF), а также базовые алгоритмы машинного обучения для классификации и анализа тональности. Материал ориентирован на новичков, не имеющих глубоких знаний в программировании или лингвистике, и предлагает практические примеры для освоения основ NLP.</t>
  </si>
  <si>
    <t>Natural Language Processing in the Real World: Text Processing, Analytics, and Classification</t>
  </si>
  <si>
    <t>Jyotika Singh</t>
  </si>
  <si>
    <t>Natural Language Processing in the Real World.pdf</t>
  </si>
  <si>
    <t>Книга «Natural Language Processing in the Real World» представляет собой практическое руководство по применению науки о данных и машинного обучения для создания решений в области обработки естественного языка (NLP), сфокусированное на реальных условиях, где часто отсутствуют готовые размеченные наборы данных. В ней рассматриваются базовые концепции NLP и обработки текста, а также применение методов от классического машинного обучения до глубокого обучения и трансформеров в 15 отраслях промышленности. Издание предназначено для студентов компьютерных и data science специальностей, а также для практикующих специалистов, желающих получить целостное и прикладное понимание построения NLP-систем.</t>
  </si>
  <si>
    <t>Natural Language Processing with Transformers</t>
  </si>
  <si>
    <t>Lewis Tunstall; Leandro von Werra; Thomas Wolf</t>
  </si>
  <si>
    <t>Natural_Language with transformer.epub</t>
  </si>
  <si>
    <t>Книга «Natural Language Processing with Transformers» посвящена практическому применению архитектуры трансформеров для задач обработки естественного языка (NLP) с использованием библиотеки Hugging Face Transformers. Ключевые концепции включают обучение и масштабирование предобученных моделей, а также их применение для вопросно-ответных систем, генерации текста и многого другого, с акцентом на реальные примеры кода и лучшие практики. Издание предназначено для специалистов по данным и разработчиков, имеющих базовый опыт в машинном обучении, и будет полезно как новичкам в NLP, так и опытным ветеранам.</t>
  </si>
  <si>
    <t>Natural Language Processing in Action</t>
  </si>
  <si>
    <t>Hobson Lane; Cole Howard; Hannes Max Hapke</t>
  </si>
  <si>
    <t>Natural_Language_Processing_in_Action_by_Hobson_Lane,Cole_Howard.pdf</t>
  </si>
  <si>
    <t>Книга посвящена практическому применению методов обработки естественного языка (NLP) с использованием Python, охватывая полный цикл анализа текста — от токенизации и векторного представления (TF-IDF, Word2Vec) до построения нейросетевых моделей (CNN, RNN, LSTM) и создания диалоговых систем. Ключевые разделы включают семантический анализ, тематическое моделирование (LSA, LDA) и масштабирование NLP-решений. Издание ориентировано на специалистов среднего уровня, уже знакомых с основами Python и машинного обучения, которые хотят углубиться в практическую NLP-разработку.</t>
  </si>
  <si>
    <t>Big Book of NLP Expanded (2010)</t>
  </si>
  <si>
    <t>Shlomo Vaknin</t>
  </si>
  <si>
    <t>The Big Book of NLP ... by Shlomo Vaknin.pdf</t>
  </si>
  <si>
    <t>Книга представляет собой практическую энциклопедию по нейролингвистическому программированию (НЛП), содержащую более 350 техник, паттернов и стратегий. В отличие от других изданий, она лишена теоретических отступлений и «воды», предлагая только чёткие пошаговые инструкции, включая как базовые методы (например, «Свищ» и «Лечение фобий»), так и уникальные, ранее не публиковавшиеся техники. Издание предназначено как для новичков, только знакомящихся с основами НЛП, так и для практикующих специалистов, желающих расширить свой инструментарий.</t>
  </si>
  <si>
    <t>The Oxford Handbook of Computational Linguistics</t>
  </si>
  <si>
    <t>Oxford University Press</t>
  </si>
  <si>
    <t>The Oxford Handbook of Computational Linguistics.pdf</t>
  </si>
  <si>
    <t>Это второе издание «Оксфордского справочника по компьютерной лингвистике» под редакцией Руслана Миткова, представляющее собой всеобъемлющий обзор дисциплины на стыке лингвистики и компьютерных наук. Книга структурирована по четырём частям: лингвистические основы (фонология, морфология, синтаксис), вычислительные методы и ресурсы (статистика, машинное и глубокое обучение, корпуса), задачи обработки языка (разметка, синтаксический анализ, разрешение анафоры) и прикладные системы (машинный перевод, информационный поиск, реферирование). Издание предназначено для исследователей, аспирантов и практикующих специалистов в области компьютерной лингвистики и NLP, имеющих базовую подготовку.</t>
  </si>
  <si>
    <t>Natural Language Processing in Practice</t>
  </si>
  <si>
    <t>__Natural_Language_Processing_in_Practice.pdf</t>
  </si>
  <si>
    <t>Этот фрагмент представляет собой введение к мини-книге «Natural Language Processing in Practice», составленной из глав книги «Getting Started with Natural Language Processing» под редакцией Екатерины Кочмар. Ключевая концепция — построение двух практических NLP-приложений с нуля: спам-фильтра и алгоритма информационного поиска, что позволяет освоить типичный NLP-пайплайн и применить базовые методы машинного обучения. Книга предназначена для новичков, владеющих основами Python, и направлена на быстрое получение практического опыта в обработке естественного языка.</t>
  </si>
  <si>
    <t>Natural Language Processing with PyTorch</t>
  </si>
  <si>
    <t>Delip Rao; Brian McMahan</t>
  </si>
  <si>
    <t>Знакомство с PyTorch.pdf</t>
  </si>
  <si>
    <t>Книга «Знакомство с PyTorch» Делипа Рао и Брайана Макмахана посвящена применению библиотеки глубокого обучения PyTorch для задач обработки естественного языка (NLP). В ней рассматриваются ключевые концепции, такие как нейронные сети, вложение слов и моделирование последовательностей, а также практические примеры построения приложений для анализа текста. Издание предназначено для дата-сайентистов и разработчиков ПО, уже имеющих базовые знания в области машинного обучения и Python, и желающих освоить современные инструменты NLP.</t>
  </si>
  <si>
    <t>Нейронное программирование диалоговых систем</t>
  </si>
  <si>
    <t>Сергей Толкачев</t>
  </si>
  <si>
    <t>Нейронное_программирование_диалоговых_систем.pdf</t>
  </si>
  <si>
    <t>Книга Сергея Толкачева посвящена методам построения динамических диалоговых интернет-приложений с использованием нейронных лингвистических моделей. Ключевые концепции включают конструирование лингвистических нейронов, принцип информационной адекватности и подходы к моделированию диалогов как динамических процессов, в отличие от статического традиционного программирования. Издание предназначено для специалистов и разработчиков, интересующихся применением нейронных сетей в области обработки естественного языка и создания диалоговых систем, и содержит практические программы для самостоятельных экспериментов.</t>
  </si>
  <si>
    <t>Обработка естественного языка. Python и spaCy на практике</t>
  </si>
  <si>
    <t>Обработка естественного языка  Python и Spicy 2021.pdf</t>
  </si>
  <si>
    <t>Эта книга посвящена практическому применению библиотеки spaCy на языке Python для задач обработки естественного языка (NLP), таких как создание чат-ботов, анализ текста и распознавание намерений. Ключевые разделы охватывают конвейер обработки текста, работу с лингвистическими признаками, векторами слов, визуализацию, обучение моделей и развертывание приложений. Издание ориентировано на программистов, уже знакомых с основами Python, которые хотят освоить создание профессиональных NLP-приложений.</t>
  </si>
  <si>
    <t>Обработка_естественного_языка_в_действии_2020_Хобсон.pdf</t>
  </si>
  <si>
    <t>Книга «Обработка естественного языка в действии» посвящена практическому применению NLP (обработки естественного языка) с использованием языка Python. В ней рассматриваются как традиционные методы (токенизация, векторизация TF-IDF, семантический анализ), так и современные подходы глубокого обучения, включая нейронные сети, Word2Vec, сверточные и рекуррентные сети, а также механизмы внимания и модели sequence-to-sequence. Издание предназначено для специалистов уровня «для профессионалов», владеющих основами программирования и желающих научиться создавать приложения для распознавания, анализа и генерации текста, включая чат-боты и системы извлечения информации.</t>
  </si>
  <si>
    <t>Обработка естественного языка с TensorFlow</t>
  </si>
  <si>
    <t>Тушан Ганегедара</t>
  </si>
  <si>
    <t>Обработка_естественного_языка_с_TensorFlow 2020.pdf</t>
  </si>
  <si>
    <t>Книга Тушана Ганегедары посвящена практическому применению библиотеки TensorFlow для решения задач обработки естественного языка (NLP) с использованием методов глубокого обучения. В ней последовательно рассматриваются ключевые концепции NLP, начиная с основ и заканчивая созданием собственной системы нейронного машинного перевода, включая такие темы, как Word2Vec, классификация предложений и генерация текста с помощью LSTM. Издание предназначено для разработчиков, уже знакомых с основами машинного обучения, которые хотят освоить современные методы работы с лингвистическими данными.</t>
  </si>
  <si>
    <t>Осваиваем архитектуру Transformer</t>
  </si>
  <si>
    <t>Саваш Йылдырым; Мейсам Асгари-Ченаглу</t>
  </si>
  <si>
    <t>Осваиваем архитектуру Transformer.pdf</t>
  </si>
  <si>
    <t>Книга «Осваиваем архитектуру Transformer» посвящена созданию современных приложений для обработки естественного языка (NLP) на основе архитектуры трансформеров с использованием библиотеки Python Transformers. В ней рассматриваются ключевые концепции архитектуры, а также практические методы разработки моделей, начиная с написания первой программы. Издание предназначено для специалистов по NLP, преподавателей машинного обучения и читателей, уже владеющих Python и основами глубоких нейронных сетей.</t>
  </si>
  <si>
    <t>Applied Text Analysis with Python: Enabling Language-Aware Data Products with Machine Learning</t>
  </si>
  <si>
    <t>Benjamin Bengfort; Rebecca Bilbro; Tony Ojeda</t>
  </si>
  <si>
    <t>Прикладной анализ текстовых данных на Python.pdf</t>
  </si>
  <si>
    <t>Книга «Прикладной анализ текстовых данных на Python» посвящена применению методов машинного обучения и глубокого обучения для решения задач обработки естественного языка (NLP). В ней рассматриваются ключевые этапы работы с текстом: от создания корпуса и предварительной обработки до классификации, кластеризации, визуализации, графового анализа и масштабирования, включая создание чат-ботов. Издание ориентировано на специалистов, уже знакомых с Python и основами машинного обучения, которые хотят научиться строить практические, «языково-осведомленные» приложения.</t>
  </si>
  <si>
    <t>Создание чат-ботов с Dialogflow, Watson, ChatterBot и Rasa</t>
  </si>
  <si>
    <t>Создание чат-ботов.pdf</t>
  </si>
  <si>
    <t>Книга Тимура Машнина посвящена созданию чат-ботов с использованием облачных платформ Google Dialogflow и IBM Watson, а также библиотек Python ChatterBot и Rasa. В ней объясняются базовые концепции: отличие правил-ориентированных ботов от ботов с искусственным интеллектом, возможности ИИ (автоматизация, анализ данных, круглосуточная поддержка) и принципы интеграции через Webhook. Материал ориентирован на новичков, так как автор утверждает, что разработка чат-бота не сложнее создания веб-приложения и не требует глубоких знаний в области ИИ.</t>
  </si>
  <si>
    <t>RAG-системы: от теории к практике</t>
  </si>
  <si>
    <t>Душкин Р. В.</t>
  </si>
  <si>
    <t>ИИ/RAG и работа с данными</t>
  </si>
  <si>
    <t>RAG и работа с данными</t>
  </si>
  <si>
    <t>RAG-системы от теории к практике.pdf</t>
  </si>
  <si>
    <t>C:\Users\alexa\YandexDisk\Книги\ИИ\RAG и работа с данными</t>
  </si>
  <si>
    <t>Книга Романа Душкина посвящена технологии RAG (Retrieval-Augmented Generation), которая позволяет большим языковым моделям работать с актуальными корпоративными данными. В ней рассматриваются эволюция от поисковых систем к интеллектуальным, базовая архитектура RAG, включающая этапы индексации, векторного поиска и генерации ответов, а также приводится минимальный практический пример на Python. Издание предназначено для разработчиков, ML-инженеров и архитекторов корпоративных решений, то есть для специалистов, уже работающих с генеративным ИИ.</t>
  </si>
  <si>
    <t>RAG и генеративный ИИ. Создаем собственные RAG-пайплайны с помощью LlamaIndex, Deep Lake и Pinecone</t>
  </si>
  <si>
    <t>Ротман Д.</t>
  </si>
  <si>
    <t>RAG_и_генеративный_ИИ.epub</t>
  </si>
  <si>
    <t>Книга Дэниса Ротмана посвящена созданию эффективных и экономичных систем генеративного ИИ с использованием технологии RAG (Retrieval Augmented Generation). В ней подробно рассматриваются ключевые концепции: работа с векторными базами данных, фрагментация, индексирование, ранжирование и интеграция обратной связи от человека для повышения точности и снижения галлюцинаций моделей. Издание предназначено для специалистов, желающих освоить практическое построение RAG-пайплайнов с помощью фреймворков LlamaIndex, Pinecone и Deep Lake, начиная с фундаментальных основ и заканчивая сложными реализациями.</t>
  </si>
  <si>
    <t>RAG и генеративный ИИ. Создаем собственные RAG-пайплайны с помощью LlamaIndex, Deep Lake и Pinecon</t>
  </si>
  <si>
    <t>Дэнис Ротман</t>
  </si>
  <si>
    <t>RAG_и_генеративный_ИИ.pdf</t>
  </si>
  <si>
    <t>Книга посвящена созданию эффективных RAG-пайплайнов (генерации с дополненной выборкой) с использованием фреймворков LlamaIndex, Deep Lake и Pinecone. В ней подробно рассматриваются ключевые концепции: векторные хранилища, фрагментация, индексация, мультимодальные системы, а также методы оптимизации, включая адаптивный RAG, обратную связь от человека и тонкую настройку. Издание предназначено для специалистов и разработчиков, стремящихся внедрять интеллектуальные решения на основе больших языковых моделей и генеративного ИИ в продакшн и обслуживание клиентов.</t>
  </si>
  <si>
    <t>Мультиагентное обучение с подкреплением</t>
  </si>
  <si>
    <t>Алфимцев</t>
  </si>
  <si>
    <t>ИИ/Reinforcement Learning</t>
  </si>
  <si>
    <t>Reinforcement Learning</t>
  </si>
  <si>
    <t>!!Мультиагентное_обучение_с_подкреплением_2021_Aлфимцeв.pdf</t>
  </si>
  <si>
    <t>C:\Users\alexa\YandexDisk\Книги\ИИ\Reinforcement Learning</t>
  </si>
  <si>
    <t>Данный фрагмент книги посвящён мультиагентному обучению с подкреплением — разделу машинного обучения, где несколько интеллектуальных агентов взаимодействуют в общей среде. Ключевые концепции включают кооперативное и конкурентное поведение агентов, а также методы координации их действий для достижения глобальных целей. Книга предназначена для специалистов и исследователей в области искусственного интеллекта, уже знакомых с основами обучения с подкреплением.</t>
  </si>
  <si>
    <t>Model-Based Reinforcement Learning</t>
  </si>
  <si>
    <t>Milad Farsi; Jun Liu</t>
  </si>
  <si>
    <t>Model-Based_Reinforcement_Learning.pdf</t>
  </si>
  <si>
    <t>Книга «Model-Based Reinforcement Learning» Милада Фарси и Джуна Лю посвящена обучению с подкреплением на основе моделей для систем с непрерывными действиями. В ней рассматриваются ключевые концепции, такие как анализ нелинейных систем, оптимальное управление, динамическое программирование и итерация политик, а также методы обучения динамических моделей (параметрические алгоритмы, метод наименьших квадратов и градиентный спуск). Издание предназначено для специалистов и исследователей в области теории управления, машинного обучения и робототехники, предполагающих наличие базовых знаний в этих дисциплинах.</t>
  </si>
  <si>
    <t>Reinforcement Learning Algorithms with Python</t>
  </si>
  <si>
    <t>Andrea Lonza</t>
  </si>
  <si>
    <t>Алгоритмы_обучения_с_подкреплением_на_Python_Описание_и_разработка.pdf</t>
  </si>
  <si>
    <t>Эта книга посвящена обучению с подкреплением (ОП) и реализации его алгоритмов на Python для создания самообучающихся агентов. В ней рассматриваются ключевые элементы ОП (стратегия, функция ценности, вознаграждение), а также подробно разбираются алгоритмы: от Q-обучения с нейронными сетями до методов градиента стратегии (TRPO, PPO) и детерминированных алгоритмов (DDPG, TD3). Издание предназначено для специалистов, интересующихся искусственным интеллектом, применяющих глубокое обучение или осваивающих ОП с нуля, при условии владения Python на рабочем уровне.</t>
  </si>
  <si>
    <t>Глубокое обучение с подкреплением: теория и практика на языке Python</t>
  </si>
  <si>
    <t>Лаура Грессер; Ван Лун Кенг</t>
  </si>
  <si>
    <t>Глубокое_обучение_с_подкреплением 2022.pdf</t>
  </si>
  <si>
    <t>Книга Лауры Грессер и Ван Луна Кенга представляет собой введение в глубокое обучение с подкреплением (глубокое RL), сочетающее теорию и практику на языке Python. В ней рассматриваются ключевые алгоритмы, такие как REINFORCE, SARSA, DQN, A2C и PPO, а также практические аспекты, включая архитектуру сетей, аппаратное обеспечение и проектирование сред. Издание предназначено для студентов компьютерных наук и разработчиков, знакомых с основами машинного обучения и Python.</t>
  </si>
  <si>
    <t>Глубокое обучение с подкреплением на Python. OpenAI Gym и TensorFlow для профи</t>
  </si>
  <si>
    <t>Судхарсан Равичандиран</t>
  </si>
  <si>
    <t>Глубокое_обучение_с_подкреплением_на_Python.pdf</t>
  </si>
  <si>
    <t>Это фрагмент книги Судхарсана Равичандирана «Глубокое обучение с подкреплением на Python. OpenAI Gym и TensorFlow для профи», которая представляет собой практическое руководство по обучению с подкреплением. Книга охватывает ключевые концепции, такие как марковские процессы принятия решений, методы Монте-Карло, Q-обучение и SARSA, а также знакомит с инструментами OpenAI Gym и TensorFlow. Издание предназначено для разработчиков машинного обучения и энтузиастов глубокого обучения, уже имеющих базовые знания Python и математического анализа.</t>
  </si>
  <si>
    <t>Глубокое_обучение_с_подкреплением_теория_и_практика_на_языке_Python.pdf</t>
  </si>
  <si>
    <t>Эта книга представляет собой введение в глубокое обучение с подкреплением (глубокое RL), объединяющее теорию и практику на языке Python. В ней рассматриваются ключевые алгоритмы, такие как REINFORCE, SARSA, DQN, A2C и PPO, а также практические аспекты, включая архитектуру сетей, аппаратное обеспечение и проектирование сред. Издание предназначено для студентов компьютерных наук и разработчиков, знакомых с основами машинного обучения и Python.</t>
  </si>
  <si>
    <t>Грокаем глубокое обучение с подкреплением</t>
  </si>
  <si>
    <t>Мигель Моралес</t>
  </si>
  <si>
    <t>Грокаем глубокое обучение с подкреплением.pdf</t>
  </si>
  <si>
    <t>Книга Мигеля Моралеса посвящена глубокому обучению с подкреплением — области ИИ, где агенты обучаются через взаимодействие со средой и обратную связь в виде вознаграждений. В издании последовательно рассматриваются математические основы, баланс краткосрочных и долгосрочных целей, методы оценки и улучшения поведения агентов, а также продвинутые алгоритмы, включая ценностно-ориентированные методы и подход «актер-критик». Материал сопровождается практическими упражнениями с кодом на Python и подробными комментариями. Книга ориентирована на программистов и специалистов, уже знакомых с основами машинного обучения, желающих углубиться в создание собственных агентов обучения с подкреплением.</t>
  </si>
  <si>
    <t>Мультиагентное_обучение_с_подкреплением.pdf</t>
  </si>
  <si>
    <t>Данная книга посвящена мультиагентному обучению с подкреплением — разделу искусственного интеллекта, изучающему взаимодействие нескольких обучающихся агентов в общей среде. В ней рассматриваются ключевые концепции, такие как кооперативное и конкурентное поведение, коммуникация между агентами, а также методы распределённого принятия решений. Издание предназначено для специалистов в области машинного обучения и ИИ, имеющих базовые знания в обучении с подкреплением, а также для исследователей, интересующихся современными подходами к моделированию сложных систем.</t>
  </si>
  <si>
    <t>Обучение с подкреплением на PyTorch: сборник рецептов</t>
  </si>
  <si>
    <t>Юси (Хэйден) Лю</t>
  </si>
  <si>
    <t>Обучение с подкреплением на PyTorch.pdf</t>
  </si>
  <si>
    <t>Книга «Обучение с подкреплением на PyTorch: сборник рецептов» представляет собой практическое руководство по применению библиотеки PyTorch для задач обучения с подкреплением (ОП). Она охватывает широкий спектр тем: от настройки среды разработки и основ PyTorch до реализации алгоритмов многоруких бандитов, глубоких Q-сетей и методов градиента стратегии, с примерами решения задач из игр Atari, CartPole и оптимизации рекламы. Издание предназначено для специалистов по искусственному интеллекту, знакомых с концепциями машинного обучения, при этом опыт работы с PyTorch желателен, но не обязателен.</t>
  </si>
  <si>
    <t>Обучение с подкреплением для реальных задач. Инженерный подход</t>
  </si>
  <si>
    <t>Фил Уиндер</t>
  </si>
  <si>
    <t>Обучение с подкреплением.pdf</t>
  </si>
  <si>
    <t>Книга Фила Уиндера посвящена промышленно-ориентированному применению обучения с подкреплением (RL) для решения пошаговых задач методом проб и ошибок без подготовки размеченных наборов данных. В ней рассматриваются марковские процессы принятия решений, глубокие Q-сети, градиенты политик и методы устранения энтропии, причем теоретический базис дается в прикладном, отраслевом ключе. Издание предназначено для аналитиков данных и специалистов по искусственному интеллекту, то есть для практикующих специалистов, уже имеющих базовую подготовку.</t>
  </si>
  <si>
    <t>Reinforcement Learning: An Introduction</t>
  </si>
  <si>
    <t>Richard S. Sutton; Andrew G. Barto</t>
  </si>
  <si>
    <t>Обучение_с_подкреплением_Введение_2020_Ричард_С_Саттон,_Эндрю_Дж.pdf</t>
  </si>
  <si>
    <t>Книга Ричарда Саттона и Эндрю Барто представляет собой фундаментальное введение в обучение с подкреплением — раздел машинного обучения, где агент учится принимать решения через взаимодействие со средой и получение вознаграждений. В первой части рассматриваются базовые табличные методы, такие как задача о многоруком бандите и марковские процессы принятия решений, вторая часть посвящена приближенным методам для работы с ограниченными вычислительными ресурсами, а третья — связи обучения с подкреплением с психологией и нейронауками. Издание ориентировано на студентов технических вузов, разработчиков в области машинного обучения и ИИ, а также специалистов нетехнических профессий, интересующихся применением этих методик.</t>
  </si>
  <si>
    <t>AI Agents in Action</t>
  </si>
  <si>
    <t>Micheal Lanham</t>
  </si>
  <si>
    <t>ИИ/Агенты</t>
  </si>
  <si>
    <t>Агенты</t>
  </si>
  <si>
    <t>AI_Agents_in_Action_True.pdf</t>
  </si>
  <si>
    <t>C:\Users\alexa\YandexDisk\Книги\ИИ\Агенты</t>
  </si>
  <si>
    <t>Книга «AI Agents in Action» Майкла Лэнема посвящена созданию и применению AI-агентов на основе больших языковых моделей. В ней подробно разбираются различия между прямым взаимодействием с LLM и использованием прокси-агентов, ассистентов и автономных агентов, а также рассматриваются такие темы, как мультиагентные системы, память агентов и инженерия промптов. Издание предназначено для специалистов, уже знакомых с основами машинного обучения и стремящихся углубить свои знания в области разработки практических AI-решений.</t>
  </si>
  <si>
    <t>Агенты искусственного интеллекта: Руководство по разработке</t>
  </si>
  <si>
    <t>Юньчжун Цзяншу; Ван Чжаохуа; И Лици; Ли Цзиган</t>
  </si>
  <si>
    <t>Агенты искусственного интеллекта.pdf</t>
  </si>
  <si>
    <t>Книга представляет собой руководство по разработке агентов искусственного интеллекта, которые, в отличие от больших языковых моделей, способны принимать решения, выполнять действия и делегировать задачи. Основное внимание уделяется методологии создания структурированных промптов, включая такие методы, как ролевой подход, детализация, примеры, рассуждения и форматирование, а также разбору типичных ошибок. Издание предназначено как для новичков, которые смогут создать собственного ИИ-агента по пошаговым инструкциям, так и для опытных разработчиков, желающих систематизировать и углубить свои знания.</t>
  </si>
  <si>
    <t>Искусственный интеллект: современный агентный подход</t>
  </si>
  <si>
    <t>Искусственный интеллект современный агентный подход.pdf</t>
  </si>
  <si>
    <t>Книга посвящена проектированию и созданию интеллектуальных агентов и многоагентных систем нового поколения, сочетающих большие языковые модели, инструменты, внешние базы знаний и долговременную память. В ней рассматриваются современные когнитивные архитектуры, иерархическое планирование, интеграция RAG-модулей, вопросы безопасности и методы тестирования агентных решений. Издание предназначено для разработчиков интеллектуальных систем, ML-инженеров, архитекторов корпоративных ИИ-решений и исследователей, профессионально работающих с искусственным интеллектом.</t>
  </si>
  <si>
    <t>Глубокое обучение без математики. Том 1</t>
  </si>
  <si>
    <t>Эндрю Гласснер</t>
  </si>
  <si>
    <t>ИИ/Глубокое обучение</t>
  </si>
  <si>
    <t>Глубокое обучение</t>
  </si>
  <si>
    <t>!!! Глубокое_обучение_без_математики.pdf</t>
  </si>
  <si>
    <t>C:\Users\alexa\YandexDisk\Книги\ИИ\Глубокое обучение</t>
  </si>
  <si>
    <t>Это первый том двухтомника, посвященного основам глубокого обучения и нейронных сетей. Книга выбрала «золотую середину», объясняя фундаментальные идеи без сложной математики и кода, используя дружелюбный подход и множество цветных иллюстраций. Издание предназначено для широкого круга читателей — от программистов и инженеров до врачей и музыкантов, желающих применять глубокое обучение в работе с данными. Ключевые разделы охватывают введение в машинное и глубокое обучение, наблюдаемое и ненаблюдаемое обучение, а также генеративные модели.</t>
  </si>
  <si>
    <t>Neural Networks and Deep Learning: A Textbook</t>
  </si>
  <si>
    <t>Charu C. Aggarwal</t>
  </si>
  <si>
    <t>!!! Чару_Аггарвал_Нейронные_сети_и_глубокое_обучение_Учебный_курс.pdf</t>
  </si>
  <si>
    <t>Данный фрагмент представляет собой выходные данные учебного курса Чару Аггарвала по нейронным сетям и глубокому обучению. Книга охватывает фундаментальные и продвинутые темы, включая архитектуры мелких и глубоких сетей, сверточные и рекуррентные нейронные сети, а также обучение с подкреплением. Издание предназначено для специалистов и студентов, уже знакомых с основами машинного обучения, и содержит как теоретические основы, так и практические аспекты тренировки моделей.</t>
  </si>
  <si>
    <t>MIT 6.S191 Deep Learning</t>
  </si>
  <si>
    <t>A. Amini; A. Soleimany</t>
  </si>
  <si>
    <t>MIT</t>
  </si>
  <si>
    <t>6S191_MIT_DeepLearning_L1.pdf</t>
  </si>
  <si>
    <t>Этот фрагмент из учебных материалов курса MIT 6.S191, посвящённого глубокому обучению, вводит в основы нейронных сетей и их применение в науке о данных. Ключевые концепции включают архитектуру нейросетей, процесс обучения и методы оптимизации. Материал предназначен для студентов и специалистов, уже имеющих базовое понимание машинного обучения, то есть для уровня выше начального.</t>
  </si>
  <si>
    <t>Challenges and Opportunities for Deep Learning Applications in Industry 4.0</t>
  </si>
  <si>
    <t>Mehta, Vaishali;Sharma, Dolly;Mangla, Monika;Gehlot, Anita;Singh, Rajesh;Sanchez, Sergio Marquez</t>
  </si>
  <si>
    <t>Challenges_and_Opportunities_fo_Mehta,_Vaishali;Sharma,_Dolly;.pdf</t>
  </si>
  <si>
    <t>Книга представляет собой научный сборник, посвященный анализу вызовов и возможностей применения технологий глубокого обучения в контексте Индустрии 4.0. В издании рассматриваются ключевые концепции внедрения нейросетей в промышленные процессы, а также связанные с этим технические и организационные проблемы. Материал предназначен для специалистов в области компьютерных наук, инженерии и промышленности, имеющих базовую подготовку в сфере машинного обучения.</t>
  </si>
  <si>
    <t>Engineering Deep Learning Systems MEAP V04</t>
  </si>
  <si>
    <t>Chi Wang; Donald Szeto</t>
  </si>
  <si>
    <t>Chi Wang Engineering Deep Learning Systems 2022pdf.pdf</t>
  </si>
  <si>
    <t>Книга «Engineering Deep Learning Systems» посвящена проектированию, созданию и поддержке эффективных систем для работы с глубоким обучением, охватывая весь цикл от управления данными до обучения и развертывания моделей. Ключевые разделы включают проектирование систем, управление наборами данных, распределенное обучение, оптимизацию гиперпараметров, сервис предсказаний и мониторинг. Она предназначена для инженеров-программистов и специалистов по данным, желающих перейти в инженерию систем глубокого обучения, и требует базовых знаний в области компьютерных наук.</t>
  </si>
  <si>
    <t>Deep Learning and Scientific Computing with R torch</t>
  </si>
  <si>
    <t>Sigrid Keydana</t>
  </si>
  <si>
    <t>Deep Learning and Scientific Computing with R to PyTorch.pdf</t>
  </si>
  <si>
    <t>Книга Сигрид Кейданы посвящена библиотеке torch для языка R, которая является портом PyTorch и используется как для глубокого обучения, так и для научных вычислений. Автор ставит три цели: познакомить с основами torch, показать его применение в задачах глубокого обучения (от распознавания изображений до классификации аудио) и дать введение в научные вычисления (матричные операции, дискретное преобразование Фурье и вейвлеты). Издание рассчитано на широкую аудиторию — от новичков до опытных специалистов, стремящихся освоить torch с упором на концептуальное понимание и практические примеры.</t>
  </si>
  <si>
    <t>Deep Neural Network Applications</t>
  </si>
  <si>
    <t>Hasmik Osipyan</t>
  </si>
  <si>
    <t>Deep Neural Network Application - Hasmik Osipyan 2022.pdf</t>
  </si>
  <si>
    <t>Книга «Deep Neural Network Applications» посвящена глубокому обучению как ключевому направлению искусственного интеллекта, которое имитирует работу человеческого мозга для решения задач распознавания, прогнозирования и анализа данных. В ней рассматриваются основы глубоких нейронных сетей, их способность к обучению на неструктурированных данных и практическое применение в таких областях, как автономные транспортные средства и обнаружение мошенничества. Издание ориентировано на разработчиков, бизнес-лидеров и всех, кто хочет понять принципы работы глубокого обучения, и подходит как для новичков, так и для специалистов, стремящихся освоить современные технологии ИИ.</t>
  </si>
  <si>
    <t>Designing Deep Learning Systems</t>
  </si>
  <si>
    <t>Deep.Learning.Systems.pdf</t>
  </si>
  <si>
    <t>Эта книга представляет собой практическое руководство по проектированию и построению систем глубокого обучения для инженеров-программистов. В ней рассматривается эталонная архитектура такой системы, включающая ключевые компоненты: управление наборами данных, обучение моделей (в том числе распределённое), сервинг моделей, хранилище метаданных и оркестровку рабочих процессов. Издание предназначено для специалистов, уже знакомых с основами машинного обучения, которые хотят перейти от разработки отдельных моделей к созданию масштабируемых промышленных решений.</t>
  </si>
  <si>
    <t>Deep Learning: From Big Data to Artificial Intelligence with R</t>
  </si>
  <si>
    <t>Stephane Tuffery</t>
  </si>
  <si>
    <t>Deep_Learning_From_Big_Data_to_AI_with_R.pdf</t>
  </si>
  <si>
    <t>Книга Стефана Тюффери «Deep Learning: From Big Data to Artificial Intelligence with R» представляет собой комплексное руководство по глубокому обучению и работе с большими данными с использованием языка R. В ней рассматриваются ключевые концепции, такие как обработка больших объемов данных, методы машинного обучения (включая ансамблевые методы и SVM), а также обработка естественного языка (NLP). Издание предназначено для специалистов и исследователей, уже имеющих базовые знания в области статистики и программирования, которые хотят применить продвинутые методы анализа данных и ИИ на практике.</t>
  </si>
  <si>
    <t>Deep Learning with JavaScript</t>
  </si>
  <si>
    <t>Shanqing Cai; Stanley Bileschi; Eric D. Nielsen</t>
  </si>
  <si>
    <t>Deep_Learning_with_JavaScript_Neural_networks_in_TensorFlow_js_Shanqing.pdf</t>
  </si>
  <si>
    <t>Книга «Deep Learning with JavaScript» посвящена практическому применению глубокого обучения в среде JavaScript с использованием библиотеки TensorFlow.js. В ней подробно рассматриваются ключевые концепции: работа с данными (очистка, визуализация, аугментация), выбор типов слоёв (Dense, сверточные, рекуррентные) и настройка функций активации, потерь и метрик для задач регрессии, бинарной и многоклассовой классификации. Также освещаются продвинутые темы, такие как трансферное обучение, генеративное обучение и обучение с подкреплением. Издание предназначено для разработчиков, уже знакомых с JavaScript, которые хотят освоить машинное обучение и нейронные сети.</t>
  </si>
  <si>
    <t>Distributed Machine Learning Patterns</t>
  </si>
  <si>
    <t>Yuan Tang</t>
  </si>
  <si>
    <t>Distributed Machine Learning Patterns.pdf</t>
  </si>
  <si>
    <t>Книга «Distributed Machine Learning Patterns» Юань Тана посвящена проектированию и реализации распределенных систем машинного обучения. В ней рассматриваются ключевые паттерны для работы с данными (пакетирование, шардирование, кэширование), распределенного обучения (сервер параметров, коллективные коммуникации), развертывания моделей и организации рабочих процессов. Издание предназначено для специалистов по машинному обучению и инженеров, уже знакомых с основами ML, которые хотят научиться строить масштабируемые и отказоустойчивые системы.</t>
  </si>
  <si>
    <t>Deep Learning with R</t>
  </si>
  <si>
    <t>François Chollet; Tomasz Kalinowski; J. J. Allaire</t>
  </si>
  <si>
    <t>DL c R и Keras.pdf</t>
  </si>
  <si>
    <t>Книга представляет собой второе издание руководства по глубокому обучению с использованием фреймворков R и Keras, охватывающее как теоретические основы, так и практическое применение нейросетей. Ключевые разделы включают математические основы нейронных сетей, работу с Keras и TensorFlow, а также решение прикладных задач: компьютерное зрение, прогнозирование временных рядов, обработка текстов и генеративные модели. Издание предназначено для читателей со средними навыками программирования на R, при этом не требует предварительного опыта работы с Keras, TensorFlow или моделями глубокого обучения.</t>
  </si>
  <si>
    <t>Deep Learning for the Life Sciences</t>
  </si>
  <si>
    <t>Bharath Ramsundar; Peter Eastman; Patrick Walters; Vijay Pande</t>
  </si>
  <si>
    <t>DL в биологии и медицине.pdf</t>
  </si>
  <si>
    <t>Книга посвящена применению глубокого обучения в науках о жизни, включая геномику, химию, биофизику и медицину. В ней рассматриваются ключевые концепции, такие как сверточные и рекуррентные нейронные сети, а также практические инструменты, например библиотека DeepChem для работы с молекулярными данными. Издание предназначено для широкого круга специалистов, связанных с анализом данных в химии, биологии и медицине, а также для разработчиков ПО и студентов.</t>
  </si>
  <si>
    <t>Глубокое обучение в картинках. Визуальный гид по искусственному интеллекту</t>
  </si>
  <si>
    <t>Джон Крон; Грант Бейлевельд; Аглаэ Бассенс</t>
  </si>
  <si>
    <t>DL в картинках.pdf</t>
  </si>
  <si>
    <t>Книга «Глубокое обучение в картинках» представляет собой визуальное и доступное введение в искусственный интеллект и глубокое обучение. Она охватывает ключевые концепции, включая полносвязанные, сверточные, рекуррентные и генеративно-состязательные нейронные сети, а также обучение с подкреплением. Издание предназначено для новичков и широкой аудитории, так как использует минимум математических формул, наглядные иллюстрации и практические примеры кода на Keras.</t>
  </si>
  <si>
    <t>Deep Learning with Python</t>
  </si>
  <si>
    <t>François Chollet</t>
  </si>
  <si>
    <t>François Chollet - Deep Learning with Python (2021).pdf</t>
  </si>
  <si>
    <t>Книга Франсуа Шолле «Deep Learning with Python» (второе издание) представляет собой практическое руководство по глубокому обучению с использованием библиотек Keras и TensorFlow. Она охватывает ключевые концепции, такие как математические основы нейронных сетей, градиентный спуск, обратное распространение ошибки, а также применение моделей для компьютерного зрения, обработки текста и временных рядов. Издание предназначено для специалистов, имеющих базовые знания Python, и подходит как для новичков, желающих освоить глубокое обучение с нуля, так и для практикующих разработчиков.</t>
  </si>
  <si>
    <t>Fundamentals of Deep Learning, 2nd Edition</t>
  </si>
  <si>
    <t>Nithin Buduma</t>
  </si>
  <si>
    <t>Fundamentals of Deep Learning.pdf</t>
  </si>
  <si>
    <t>Книга «Fundamentals of Deep Learning» (второе издание) Нитина Будумы посвящена основам глубокого обучения и проектированию нейросетей нового поколения. В ней подробно разбираются математические основы (линейная алгебра, теория вероятностей), архитектуры нейронных сетей, а также современные достижения в области компьютерного зрения, обработки последовательностей, обучения с подкреплением и генеративного моделирования. Издание предназначено для читателей, владеющих базовыми знаниями математического анализа и Python, и стремится дать интуитивное понимание сложных концепций, чтобы преодолеть разрыв между разрозненными онлайн-уроками и академическими исследованиями.</t>
  </si>
  <si>
    <t>Generative Deep Learning</t>
  </si>
  <si>
    <t>David Foster</t>
  </si>
  <si>
    <t>Generative Deep Learning.pdf</t>
  </si>
  <si>
    <t>Книга Дэвида Фостера «Generative Deep Learning» посвящена обучению машин творческим задачам: рисованию, написанию текстов, сочинению музыки и игре. В первой части рассматриваются основы глубокого обучения, вариационные автоэнкодеры и генеративно-состязательные сети, а во второй — их применение в моделях вроде CycleGAN, MuseGAN и StyleGAN. Издание предполагает у читателя опыт программирования на Python и ориентировано на специалистов, желающих освоить генеративное моделирование.</t>
  </si>
  <si>
    <t>Inside Deep Learning: Math, Algorithms, Models</t>
  </si>
  <si>
    <t>Edward Raff</t>
  </si>
  <si>
    <t>Inside Deep Learning Math, Algorithms, Models 2022.pdf</t>
  </si>
  <si>
    <t>Книга «Inside Deep Learning: Math, Algorithms, Models» Эдварда Раффа посвящена практическому и теоретическому изучению глубокого обучения с использованием PyTorch и Google Colab. Ключевые разделы охватывают фундаментальные методы (полносвязные, сверточные и рекуррентные сети, современные техники обучения) и продвинутые архитектуры (автоэнкодеры, GAN, механизмы внимания, трансферное обучение). Издание предназначено для специалистов и разработчиков, уже знакомых с основами машинного обучения, которые хотят углубить понимание математики и алгоритмов нейросетей.</t>
  </si>
  <si>
    <t>Java Deep Learning Cookbook</t>
  </si>
  <si>
    <t>Rahul Raj</t>
  </si>
  <si>
    <t>Java_Deep_Learning_Cookbook_Train_neural_networks.pdf</t>
  </si>
  <si>
    <t>Книга «Java Deep Learning Cookbook» посвящена обучению нейронных сетей на Java с использованием библиотеки Deeplearning4j для задач классификации, обработки естественного языка и обучения с подкреплением. В ней рассматриваются ключевые концепции глубокого обучения, такие как обратное распространение ошибки, многослойный перцептрон, сверточные и рекуррентные нейронные сети. Издание предназначено для разработчиков и специалистов, уже имеющих опыт работы с Java и желающих применить глубокое обучение на практике.</t>
  </si>
  <si>
    <t>JavaScript для глубокого обучения</t>
  </si>
  <si>
    <t>Франсуа Шолле; Эрик Нильсон; Стэн Байлесчи; Шэнкуинг Цэй</t>
  </si>
  <si>
    <t>JаvaScript для глубокого обучения 2021.pdf</t>
  </si>
  <si>
    <t>Книга посвящена использованию библиотеки TensorFlow.js для построения моделей глубокого обучения, работающих в браузере или серверной среде JavaScript. В ней рассматриваются основы машинного обучения, сверточные сети, перенос обучения, работа с текстом и последовательностями, а также генеративное обучение и обучение с подкреплением. Издание предназначено для веб-разработчиков и специалистов, владеющих JavaScript, которые хотят освоить практическое применение ИИ без глубокого погружения в теорию.</t>
  </si>
  <si>
    <t>Keras: инструмент глубокого обучения</t>
  </si>
  <si>
    <t>Keras_инструмент_глубокого_обучения_2018.pdf</t>
  </si>
  <si>
    <t>Manning.Distributed.Machine.Learning.Patterns.pdf</t>
  </si>
  <si>
    <t>Книга Юаня Тана «Distributed Machine Learning Patterns» посвящена проектированию и реализации распределенных систем машинного обучения. В ней рассматриваются ключевые паттерны для построения таких систем, включая ингестию данных, распределенное обучение, сервинг моделей, организацию рабочих процессов и операционные шаблоны. Издание предназначено для специалистов по машинному обучению и инженеров данных, имеющих базовый опыт в ML и желающих освоить масштабирование систем.</t>
  </si>
  <si>
    <t>Math and Architectures of Deep Learning MEAP V10</t>
  </si>
  <si>
    <t>Krishnendu Chaudhury</t>
  </si>
  <si>
    <t>Math and Architectures of Deep Learning V10 2022.pdf</t>
  </si>
  <si>
    <t>Книга «Math and Architectures of Deep Learning» посвящена глубокому обучению и его математическим основам, соединяя теорию (векторы, матрицы, тензоры, векторное исчисление, вероятностные распределения) с практической реализацией на Python и PyTorch. Ключевые разделы охватывают обучение нейронных сетей, свёрточные архитектуры, байесовский вывод и генеративное моделирование. Издание предназначено для читателей, стремящихся не просто использовать готовые модели, а глубоко понимать их устройство и уметь адаптировать под свои задачи, то есть для специалистов и продвинутых студентов.</t>
  </si>
  <si>
    <t>Math for Deep Learning: What You Need to Know to Understand Neural Networks</t>
  </si>
  <si>
    <t>Ronald T. Kneusel</t>
  </si>
  <si>
    <t>Math_for_Deep_Learning_What_You_Need_to_Know.pdf</t>
  </si>
  <si>
    <t>Эта книга представляет собой практическое руководство по математическим основам, необходимым для понимания и работы с нейронными сетями и глубоким обучением. Ключевые разделы охватывают теорию вероятностей, статистику, линейную алгебру и дифференциальное исчисление, включая матричное исчисление, обратное распространение ошибки и градиентный спуск. Издание предназначено для читателей, уже имеющих базовые знания в области машинного обучения, которые хотят углубить своё понимание математического аппарата, лежащего в основе нейросетей.</t>
  </si>
  <si>
    <t>Practical Simulations for Machine Learning</t>
  </si>
  <si>
    <t>Paris Buttfield-Addison</t>
  </si>
  <si>
    <t>Practical Simulations for Machine Learning 2022.pdf</t>
  </si>
  <si>
    <t>Эта книга посвящена использованию симуляции и синтеза данных для обучения моделей машинного обучения и ИИ, например, созданию «мозга» беспилотного автомобиля без реального автомобиля. В ней рассматриваются практические методы генерации искусственных данных для тренировки традиционных моделей, а также более широкие возможности применения синтетических данных. Издание представляет собой раннюю версию (Early Release) и предназначено для программистов, специалистов по данным и инженеров машинного обучения, уже имеющих базовый уровень подготовки.</t>
  </si>
  <si>
    <t>PyTorch. Освещая глубокое обучение</t>
  </si>
  <si>
    <t>Эли Стивенс; Лука Антига; Томас Виман</t>
  </si>
  <si>
    <t>PyTorch. Освещая DL.pdf</t>
  </si>
  <si>
    <t>Книга «PyTorch. Освещая глубокое обучение» представляет собой практическое руководство по работе с библиотекой PyTorch для создания нейронных сетей и систем глубокого обучения. Ключевые разделы охватывают основы работы с тензорами, обучение на изображениях, включая сверточные сети, а также сквозной проект по раннему выявлению рака легких и вопросы развертывания моделей. Издание предназначено для программистов, знакомых с Python, NumPy и scikit-learn, которые хотят освоить глубокое обучение с нуля до уровня корпоративного проекта.</t>
  </si>
  <si>
    <t>Regularization in Deep Learning MEAP V03</t>
  </si>
  <si>
    <t>Peng Liu</t>
  </si>
  <si>
    <t>Regularization in Deep Learning MEAP3.pdf</t>
  </si>
  <si>
    <t>Книга «Regularization in Deep Learning» предлагает систематический обзор методов регуляризации для улучшения обобщающей способности моделей глубокого обучения. Автор рассматривает ключевые концепции, такие как компромисс между смещением и дисперсией, переобучение и недообучение, а также классифицирует техники регуляризации по четырём направлениям: данные, модель, функция потерь и оптимизация. Издание предназначено для специалистов, уже знакомых с основами машинного обучения, которые хотят углубить понимание регуляризации и получить практические примеры с кодом.</t>
  </si>
  <si>
    <t>TensorFlow in Action</t>
  </si>
  <si>
    <t>Thushan Ganegedara</t>
  </si>
  <si>
    <t>TensorFlow in Action.pdf</t>
  </si>
  <si>
    <t>Книга «TensorFlow in Action» Ташана Ганегедары посвящена практическому применению библиотеки TensorFlow 2 для глубокого обучения. Она охватывает фундаментальные концепции (тензоры, операции, Keras), ключевые архитектуры нейросетей (сверточные, рекуррентные сети и трансформеры), а также продвинутые темы, такие как сегментация изображений, обработка естественного языка и развертывание моделей (MLOps). Издание предназначено для специалистов, уже имеющих базовые знания в области машинного обучения и Python, которые хотят освоить современные методы глубокого обучения с помощью TensorFlow.</t>
  </si>
  <si>
    <t>The Little Learner: A Straight Line to Deep Learning</t>
  </si>
  <si>
    <t>Daniel P. Friedman; Anurag Mendhekar</t>
  </si>
  <si>
    <t>The Little Learner чудесное машинное обучение.pdf</t>
  </si>
  <si>
    <t>Книга «The Little Learner: чудесное машинное обучение» посвящена интуитивному пониманию работы глубоких нейронных сетей, начиная с азов и заканчивая полной реализацией распознавателя зашумленных сигналов азбуки Морзе. Ключевые концепции включают тензоры, алгоритмы градиентного спуска, искусственные нейроны, полносвязные, сверточные и остаточные сети, а также автоматическое дифференцирование. Издание предназначено для читателей, знающих математику на уровне средней школы и имеющих некоторый опыт программирования.</t>
  </si>
  <si>
    <t>Training Data for Machine Learning</t>
  </si>
  <si>
    <t>Anthony Sarkis</t>
  </si>
  <si>
    <t>Kili Technology</t>
  </si>
  <si>
    <t>Training Data for Machine Learning 2022.pdf</t>
  </si>
  <si>
    <t>Книга Энтони Саркиса «Training Data for Machine Learning» посвящена критической роли обучающих данных в успехе проектов машинного обучения, подчеркивая, что качество данных не менее важно, чем сами алгоритмы. Автор вводит концепцию «мышления, ориентированного на обучающие данные», объясняя, как технические представления, человеческие решения и процессы влияют на эффективность моделей. Ключевые разделы включают определение обучающих данных как «контроля над системой», важность соответствия данных реальным условиям использования (например, ракурсы камеры) и различие между «хорошими» и «плохими» данными. Книга предназначена для специалистов по данным и инженеров машинного обучения, которые уже имеют базовые знания и хотят углубить понимание практических аспектов работы с данными.</t>
  </si>
  <si>
    <t>The Deep Learning Revolution</t>
  </si>
  <si>
    <t>Terrence J. Sejnowski</t>
  </si>
  <si>
    <t>Антология_машинного_обучения_Важнейшие_исследования_в_области_ИИ.pdf</t>
  </si>
  <si>
    <t>Книга Терренса Сейновски представляет собой исторический обзор развития машинного обучения и искусственного интеллекта за последние 60 лет, от первых теоретических исследований до современных прорывов в глубоком обучении. Автор объясняет, как алгоритмы нейросетей, основанные на принципах работы человеческого мозга, в сочетании с большими данными и мощными компьютерами, привели к революции в ИИ. Книга разделена на три части: предпосылки и создание глубокого обучения, алгоритмы обучения нейронных сетей и влияние ИИ на общество. Издание предназначено для широкого круга читателей, интересующихся историей и будущим технологий, от новичков до специалистов.</t>
  </si>
  <si>
    <t>Probabilistic Machine Learning. Advanced Topics</t>
  </si>
  <si>
    <t>Kevin P. Murphy</t>
  </si>
  <si>
    <t>Вероятностное машинное обучение.pdf</t>
  </si>
  <si>
    <t>Это книга Кэвина Мэрфи, углублённо рассматривающая продвинутые темы вероятностного машинного обучения, включая обучение при различных распределениях, порождение многомерных данных (изображения, текст, графы) и байесовский вывод. Ключевые разделы охватывают основы теории вероятностей, различные распределения и алгоритмы вывода. Издание предназначено для специалистов в области машинного обучения и искусственного интеллекта, а также студентов профильных специальностей, уже знакомых с основами МО и математикой.</t>
  </si>
  <si>
    <t>Генеративное глубокое обучение. Творческий потенциал нейронных сетей</t>
  </si>
  <si>
    <t>Дэвид Фостер</t>
  </si>
  <si>
    <t>Генеративное глубокое обучение.pdf</t>
  </si>
  <si>
    <t>Книга Дэвида Фостера «Генеративное глубокое обучение» посвящена обучению нейронных сетей творческим задачам: рисованию, написанию текстов, сочинению музыки и игре в игры. В ней подробно разбираются ключевые архитектуры генеративных моделей, такие как вариационные автокодировщики (VAE), генеративно-состязательные сети (GAN) и модели типа кодер-декодер, включая BERT и GPT-2. Материал предназначен для читателей, уже знакомых с основами глубокого обучения (например, с Keras), и позволяет перейти от базовых принципов к самым передовым алгоритмам.</t>
  </si>
  <si>
    <t>Глубокое обучение в картинках.pdf</t>
  </si>
  <si>
    <t>Книга «Глубокое обучение в картинках» представляет собой визуальное и доступное введение в искусственный интеллект и нейронные сети. Она охватывает ключевые концепции, такие как полносвязанные, сверточные, рекуррентные и генеративно-состязательные сети, а также обучение с подкреплением, используя минимум математики и много иллюстраций. Издание предназначено для новичков и широкой аудитории, желающих понять теорию и получить практические навыки с помощью кода на Keras и блокнотов Jupyter.</t>
  </si>
  <si>
    <t>Глубокое обучение для чайников</t>
  </si>
  <si>
    <t>Джон Пол Мюллер; Лука Массарон</t>
  </si>
  <si>
    <t>Глубокое обучение для чайников.zip</t>
  </si>
  <si>
    <t>Книга «Глубокое обучение для чайников» Джона Пола Мюллера и Луки Массарона представляет собой вводное руководство по технологиям глубокого обучения, машинному обучению и их практическому применению. В ней рассматриваются ключевые концепции, такие как нейронные сети, сверточные и рекуррентные сети, а также основы работы с Python и инфраструктурой глубокого обучения. Издание предназначено для новичков, желающих разобраться в сложных алгоритмах и получить безопасную среду для экспериментов.</t>
  </si>
  <si>
    <t>Глубокое обучение на Python</t>
  </si>
  <si>
    <t>Франсуа Шолле</t>
  </si>
  <si>
    <t>Глубокое обучение на Python.pdf</t>
  </si>
  <si>
    <t>Эта книга Франсуа Шолле, создателя библиотеки Keras, представляет собой расширенное руководство по глубокому обучению на Python с использованием фреймворков Keras и TensorFlow. В издании подробно рассматриваются математические основы нейронных сетей, работа с компьютерным зрением, временными последовательностями, текстом и генеративными моделями. Материал предназначен как для новичков, так и для опытных специалистов, желающих освоить практические навыки разработки приложений глубокого обучения.</t>
  </si>
  <si>
    <t>Глубокое обучение на R</t>
  </si>
  <si>
    <t>Шолле Франсуа</t>
  </si>
  <si>
    <t>Глубокое обучение на R.pdf</t>
  </si>
  <si>
    <t>Книга Франсуа Шолле «Глубокое обучение на R» представляет собой практическое руководство по глубокому обучению, адаптированное для языка R с использованием библиотеки Keras. Она делится на две части: в первой излагаются теоретические основы и математические принципы работы нейронных сетей, а вторая посвящена решению конкретных прикладных задач. Ключевые концепции включают историю машинного обучения, представление данных и архитектуру нейронных сетей. Издание предназначено для программистов, уже имеющих опыт работы с R, которые хотят быстро освоить глубокое обучение на практике.</t>
  </si>
  <si>
    <t>Deep Learning: Foundations and Concepts</t>
  </si>
  <si>
    <t>Christopher M. Bishop; Hugh Bishop</t>
  </si>
  <si>
    <t>Глубокое обучение принципы и концепции.pdf</t>
  </si>
  <si>
    <t>Эта книга представляет собой фундаментальное руководство по глубокому обучению, охватывающее как теоретические принципы, так и практические аспекты применения методов. Ключевые разделы включают введение в революцию глубокого обучения, основы теории вероятностей и математический аппарат, необходимый для понимания нейросетей. Издание адресовано как новичкам в машинном обучении, так и опытным специалистам, желающим углубить свои знания.</t>
  </si>
  <si>
    <t>Глубокое обучение с точки зрения практика</t>
  </si>
  <si>
    <t>Джош Паттерсон; Адам Гибсон</t>
  </si>
  <si>
    <t>Глубокое обучение.pdf</t>
  </si>
  <si>
    <t>Книга «Глубокое обучение с точки зрения практика» Джоша Паттерсона и Адама Гибсона посвящена практическому применению глубоких нейронных сетей для решения реальных задач. В ней рассматриваются фундаментальные концепции машинного и глубокого обучения, основные архитектуры сетей (включая сверточные и рекуррентные), а также вопросы настройки, векторизации данных и распараллеливания вычислений с использованием библиотеки Deeplearning4j (DL4J) на платформах Hadoop и Spark. Издание предназначено для специалистов по анализу данных, стремящихся получить широкое и практическое понимание принципов глубокого обучения.</t>
  </si>
  <si>
    <t>Глубокое_обучение_без_математики.pdf</t>
  </si>
  <si>
    <t>Книга Эндрю Гласснера «Глубокое обучение без математики. Том 1: Основы» посвящена фундаментальным принципам глубокого обучения и нейронных сетей, изложенным без сложных математических выкладок и программного кода. Ключевые концепции включают наблюдаемое и ненаблюдаемое обучение, классификацию, регрессию, кластеризацию, уменьшение размерности и генеративные модели. Издание предназначено для широкой аудитории новичков и практиков — программистов, инженеров, ученых и всех, кто хочет применять глубокое обучение в работе с данными.</t>
  </si>
  <si>
    <t>Глубокое обучение для поисковых систем</t>
  </si>
  <si>
    <t>Томмазо Теофили</t>
  </si>
  <si>
    <t>Глубокое_обучение_для_поисковых_систем_2020_Томмазо_Теофили.pdf</t>
  </si>
  <si>
    <t>Книга Томмазо Теофили посвящена применению методов глубокого обучения для создания и улучшения поисковых систем. В ней рассматриваются такие ключевые концепции, как индексация, ранжирование, генерация синонимов, поиск по изображениям и использование рекомендательных систем. Издание предназначено для разработчиков, имеющих опыт работы с Java и базовое понимание поиска, при этом специальных знаний в области глубокого обучения или обработки естественного языка не требуется.</t>
  </si>
  <si>
    <t>Глубокое обучение и игра в го</t>
  </si>
  <si>
    <t>Макс Памперла; Кевин Фергюсон</t>
  </si>
  <si>
    <t>Глубокое_обучение_и_игра_в_го.pdf</t>
  </si>
  <si>
    <t>Эта книга посвящена созданию игрового искусственного интеллекта для игры в го с использованием методов глубокого обучения. Авторы на практике знакомят читателя с обучением с подкреплением и нейронными сетями, используя библиотеку Keras на языке Python. Издание предназначено для читателей с базовым знанием Python и математики, не требующим опыта в глубоком обучении.</t>
  </si>
  <si>
    <t>Глубокое обучение с fastai и PyTorch: минимум формул, минимум кода, максимум эффективности</t>
  </si>
  <si>
    <t>Джереми Ховард; Сильвейн Гуггер</t>
  </si>
  <si>
    <t>Глубокое_обучение_с_fastai_и_PyTorch_минимум_формул,_минимум_кода.pdf</t>
  </si>
  <si>
    <t>Книга «Глубокое обучение с fastai и PyTorch» Джереми Ховарда и Сильвейна Гуггера посвящена практическому применению глубокого обучения с использованием библиотеки fastai. Ключевые разделы охватывают классификацию изображений, обработку естественного языка, коллаборативную фильтрацию и построение нейронных сетей с нуля, при этом акцент делается на минимуме формул и кода. Издание предназначено для программистов, знакомых с Python, и ориентировано как на новичков, так и на специалистов, желающих быстро освоить создание эффективных моделей.</t>
  </si>
  <si>
    <t>Deep Learning</t>
  </si>
  <si>
    <t>John D. Kelleher</t>
  </si>
  <si>
    <t>Глубокое_обучение_Самый_краткий_и_понятный_курс.pdf</t>
  </si>
  <si>
    <t>Книга Джона Д. Келлехера представляет собой доступное введение в глубокое обучение, искусственный интеллект и нейросети для неспециалистов. Автор объясняет базовые концепции, историю развития технологии, устройство свёрточных и рекуррентных нейронных сетей, а также рассматривает перспективы и ограничения глубокого обучения. Издание предназначено для широкого круга читателей, включая предпринимателей, политиков, исследователей и любознательных обывателей, желающих понять суть и потенциал ИИ.</t>
  </si>
  <si>
    <t>Grokking Deep Learning</t>
  </si>
  <si>
    <t>Andrew W. Trask</t>
  </si>
  <si>
    <t>Грокаем глубокое обучение.pdf</t>
  </si>
  <si>
    <t>Книга Эндрю Траска «Грокаем глубокое обучение» посвящена практическому конструированию нейронных сетей с нуля на языке Python с использованием библиотеки NumPy. Ключевые концепции включают обучение машин, распознавание изображений, перевод текстов и генерацию контента. Издание предназначено для новичков и программистов, желающих освоить глубокое обучение с практической стороны.</t>
  </si>
  <si>
    <t>Машинное обучение и TensorFlow</t>
  </si>
  <si>
    <t>Нишант Шакла; Кен Фриклас</t>
  </si>
  <si>
    <t>Машинное обучение и TensorFlow 2019.pdf</t>
  </si>
  <si>
    <t>Книга «Машинное обучение и TensorFlow» Нишанта Шаклы представляет собой практическое введение в машинное обучение и работу с библиотекой TensorFlow. Автор проводит читателя от базовых концепций (представление данных, метрики расстояния, типы обучения) до создания нейронных сетей и решения задач классификации, регрессии и прогнозирования. Издание ориентировано на новичков, желающих быстро перейти от теории к решению реальных задач, и содержит обзор инструментария и инструкций для самостоятельной работы.</t>
  </si>
  <si>
    <t>Machine Learning with PyTorch and Scikit-Learn</t>
  </si>
  <si>
    <t>Sebastian Raschka; Yuxi (Hayden) Liu; Vahid Mirjalili</t>
  </si>
  <si>
    <t>Фолиант</t>
  </si>
  <si>
    <t>Машинное обучение с PyTorch и Scikit-Learn.pdf</t>
  </si>
  <si>
    <t>Книга представляет собой исчерпывающее руководство по машинному и глубокому обучению с использованием Python, PyTorch и Scikit-Learn. В ней рассматриваются основы МО, алгоритмы классификации и регрессии, предварительная обработка данных, оценка моделей, ансамблевое обучение, а также продвинутые темы: сверточные, рекуррентные, графовые нейронные сети, трансформеры и обучение с подкреплением. Издание предназначено для программистов и специалистов в области машинного обучения, уже имеющих базовый уровень подготовки.</t>
  </si>
  <si>
    <t>Neural Networks and Deep Learning</t>
  </si>
  <si>
    <t>Нейронные_сети_и_глубокое_обучение.pdf</t>
  </si>
  <si>
    <t>Книга Чару Аггарвала «Нейронные сети и глубокое обучение» представляет собой учебный курс, посвященный теории и практике построения нейронных сетей, от базовых архитектур (перцептрон, многослойные сети) до продвинутых моделей (сверточные, рекуррентные сети, генеративно-состязательные сети и обучение с подкреплением). Ключевые разделы охватывают алгоритм обратного распространения ошибки, методы регуляризации, автокодировщики, word2vec и работу с графами. Издание предназначено для специалистов и студентов, уже знакомых с основами машинного обучения, и содержит как теоретические выкладки, так и практические аспекты тренировки моделей.</t>
  </si>
  <si>
    <t>Николенко С.; Кадурин А.; Архангельская Е.</t>
  </si>
  <si>
    <t>Николенко Глубокое обучение 2018.pdf</t>
  </si>
  <si>
    <t>Эта книга представляет собой первое русскоязычное издание, посвященное глубокому обучению — области машинного обучения, которая произвела революцию в компьютерном зрении, распознавании речи и обработке текстов. В ней подробно рассматриваются ключевые концепции и архитектуры: от основ перцептронов и градиентного спуска до сверточных и рекуррентных нейронных сетей, а также современных методов работы с текстами (word2vec). Издание ориентировано на широкий круг читателей, включая новичков, благодаря доступному изложению с минимумом кода и максимумом объяснений, но при этом охватывает серьезный и современный материал.</t>
  </si>
  <si>
    <t>Fundamentals of Deep Learning: Designing Next-Generation Machine Intelligence Algorithms</t>
  </si>
  <si>
    <t>Nikhil Buduma; Nicholas Locascio</t>
  </si>
  <si>
    <t>Основы глубокого обучения.pdf</t>
  </si>
  <si>
    <t>Книга Нихиля Будумы «Основы глубокого обучения» посвящена глубокому обучению — разделу машинного обучения, изучающему глубокие нейронные сети. Автор разбирает основные принципы решения задач, исторический контекст современных подходов и способы внедрения алгоритмов. Издание предназначено для всех, кто интересуется или занимается глубоким обучением, и рассчитано на читателей, уже знакомых с основами программирования и математики.</t>
  </si>
  <si>
    <t>Programming PyTorch for Deep Learning</t>
  </si>
  <si>
    <t>Ian Pointer</t>
  </si>
  <si>
    <t>Пойнтер Программируем с PyTorch 2020.pdf</t>
  </si>
  <si>
    <t>Книга Яна Пойнтера «Программируем с PyTorch» представляет собой практическое руководство по созданию приложений глубокого обучения с использованием фреймворка PyTorch. В ней рассматриваются ключевые концепции: классификация изображений, сверточные нейронные сети, перенос обучения, работа с текстом и звуком, а также отладка и развертывание моделей в рабочей среде. Издание предназначено для программистов и разработчиков алгоритмов машинного обучения, желающих освоить PyTorch для решения практических задач.</t>
  </si>
  <si>
    <t>Пойнтер_Я_Программируем_с_PyTorch_Бестселлеры_O’Reilly_2020.pdf</t>
  </si>
  <si>
    <t>Книга Яна Пойнтера «Программируем с PyTorch» представляет собой практическое руководство по использованию фреймворка PyTorch для создания и развертывания приложений глубокого обучения. В ней рассматриваются ключевые концепции, такие как сверточные нейронные сети, перенос обучения, классификация текста и аудиоданных, а также отладка моделей с помощью TensorBoard. Издание предназначено для программистов и разработчиков алгоритмов машинного обучения, желающих освоить PyTorch для работы над реальными проектами.</t>
  </si>
  <si>
    <t>Applied Deep Learning: A Case-Based Approach to Understanding Deep Neural Networks</t>
  </si>
  <si>
    <t>Umberto Michelucci</t>
  </si>
  <si>
    <t>Прикладное_глубокое_обучение.pdf</t>
  </si>
  <si>
    <t>Книга «Прикладное глубокое обучение» Умберто Микелуччи посвящена практическому пониманию глубоких нейронных сетей на основе метода кейсов. В ней рассматриваются расширенные темы, такие как оптимизационные алгоритмы, настройка гиперпараметров, отсев и анализ ошибок, а также описываются активационные функции, линейная и логистическая регрессии, библиотека TensorFlow и работа со сложными архитектурами. Издание предназначено для разработчиков систем глубокого обучения, уже имеющих базовые знания в области машинного обучения.</t>
  </si>
  <si>
    <t>Программируем_с_PyTorch-2020.pdf</t>
  </si>
  <si>
    <t>Книга Яна Пойнтера «Программируем с PyTorch» представляет собой практическое руководство по использованию фреймворка PyTorch для создания приложений глубокого обучения. Она охватывает ключевые концепции, включая классификацию изображений, сверточные нейронные сети, перенос обучения, работу с текстом и звуком, а также отладку и развертывание моделей. Издание предназначено для программистов и разработчиков алгоритмов машинного обучения, желающих освоить PyTorch на практике.</t>
  </si>
  <si>
    <t>Рамсундар_Б_Глубокое_обучение_в_биологии_и_медицине_2020.pdf</t>
  </si>
  <si>
    <t>Книга посвящена применению глубокого обучения в науках о жизни, включая геномику, химию, биофизику и медицину. В ней рассматриваются ключевые концепции, такие как сверточные и рекуррентные нейронные сети, графовые свертки для работы с молекулами, а также практические инструменты, например библиотека DeepChem. Издание предназначено для широкого круга специалистов, связанных с анализом данных в химии, биологии и медицине, а также для разработчиков ПО и студентов, уже знакомых с основами машинного обучения.</t>
  </si>
  <si>
    <t>Траск - грокаем глубокое обучение.pdf</t>
  </si>
  <si>
    <t>Фрагмент представляет собой посвящение и выходные данные книги Эндрю Траска «Грокаем глубокое обучение». Книга посвящена глубокому обучению — разделу искусственного интеллекта, обучающему компьютеры с помощью нейронных сетей. Она учит конструировать нейронные сети с нуля на Python и NumPy для решения задач распознавания изображений, перевода текстов и генерации контента. Издание предназначено для программистов, желающих освоить практическое построение нейросетей, начиная с базового уровня.</t>
  </si>
  <si>
    <t>Трехмерное глубокое обучение на Python</t>
  </si>
  <si>
    <t>Ксудонг Ма; Вишах Хегде; Лилит Йольан</t>
  </si>
  <si>
    <t>Трехмерное глубокое обучение на Python.pdf</t>
  </si>
  <si>
    <t>Книга «Трехмерное глубокое обучение на Python» представляет собой практическое руководство по применению методов глубокого обучения для работы с трехмерными данными, такими как облака точек и полигональные сетки. В ней рассматриваются фундаментальные концепции 3D-геометрии, модели камеры, отрисовки и затенения, а также продвинутые модели вроде NeRF и Mesh R-CNN. Издание предназначено для практикующих специалистов и инженеров машинного обучения начального и среднего уровня, желающих освоить трехмерное компьютерное зрение с использованием библиотеки PyTorch3D.</t>
  </si>
  <si>
    <t>Introduction to Deep Learning</t>
  </si>
  <si>
    <t>Eugene Charniak</t>
  </si>
  <si>
    <t>Черняк Введение в глубокое обучение 2020.pdf</t>
  </si>
  <si>
    <t>Книга Евгения Черняка «Введение в глубокое обучение» представляет собой учебное пособие, охватывающее фундаментальные темы глубокого обучения, включая нейронные сети с прямой связью, сверточные и рекуррентные сети, а также обучение с подкреплением и генеративные модели. Ключевые разделы посвящены работе с фреймворком TensorFlow, векторному представлению слов и архитектурам «последовательность-к-последовательности». Издание ориентировано на начинающих специалистов и студентов, желающих освоить практические аспекты построения и обучения нейросетей.</t>
  </si>
  <si>
    <t>Deep Learning Patterns and Practices</t>
  </si>
  <si>
    <t>Andrew Ferlitsch</t>
  </si>
  <si>
    <t>Шаблоны_и_практика_глубокого_обучения 2022.pdf</t>
  </si>
  <si>
    <t>Книга посвящена практическим шаблонам и приемам создания приложений глубокого обучения, основанным на десятилетнем опыте автора. В ней рассматриваются основы машинного обучения, базовые шаблоны конструирования нейросетей, включая сверточные и мобильные сети, а также работа с конвейерами данных, гиперпараметрическая настройка и перенос обучения. Издание предназначено для инженеров машинного обучения, уже знакомых с Python и глубоким обучением.</t>
  </si>
  <si>
    <t>Computer Vision: Algorithms and Applications</t>
  </si>
  <si>
    <t>Richard Szeliski</t>
  </si>
  <si>
    <t>ИИ/Компьютерное зрение</t>
  </si>
  <si>
    <t>Компьютерное зрение</t>
  </si>
  <si>
    <t>Computer Vision Algorithms and Applications.pdf</t>
  </si>
  <si>
    <t>C:\Users\alexa\YandexDisk\Книги\ИИ\Компьютерное зрение</t>
  </si>
  <si>
    <t>Фрагмент представляет собой введение ко второму изданию книги Ричарда Шелиски «Компьютерное зрение: алгоритмы и приложения», которая является всеобъемлющим учебником по компьютерному зрению. Книга охватывает широкий спектр тем, включая формирование изображений, обработку изображений, глубокое обучение, распознавание объектов, оценку движения, фотограмметрию и 3D-реконструкцию. Издание предназначено для студентов старших курсов и аспирантов, а также для специалистов, желающих углубить свои знания в этой области, и содержит как теоретические основы, так и практические примеры.</t>
  </si>
  <si>
    <t>Computer Vision and Image Analysis for Industry 4.0</t>
  </si>
  <si>
    <t>Nazmul Siddique</t>
  </si>
  <si>
    <t>Computer Vision and Image Analysis for Industry 4.0.pdf</t>
  </si>
  <si>
    <t>Эта книга посвящена роли компьютерного зрения и анализа изображений в технологиях Индустрии 4.0. В ней рассматриваются такие ключевые приложения, как обнаружение заболеваний, распознавание текста, верификация подписей, классификация сельскохозяйственных культур и создание интеллектуальных систем управления. Издание представляет собой сборник научных глав, охватывающих методы глубокого обучения, включая свёрточные нейронные сети, для решения прикладных задач. Книга предназначена для исследователей, инженеров и специалистов в области компьютерного зрения, машинного обучения и автоматизации.</t>
  </si>
  <si>
    <t>Computer Vision Projects with PyTorch</t>
  </si>
  <si>
    <t>Akshay Kulkarni; Adarsha Shivananda; Nitin Ranjan Sharma</t>
  </si>
  <si>
    <t>Computer.Vision.Projects.with.PyTorch.pdf</t>
  </si>
  <si>
    <t>Эта книга посвящена практическому применению компьютерного зрения с использованием библиотеки PyTorch для создания моделей, готовых к промышленной эксплуатации. В ней рассматриваются такие ключевые концепции, как сверточные нейронные сети, архитектуры глубокого обучения и построение конвейеров для классификации изображений. Издание предназначено для специалистов, уже имеющих базовые знания в области машинного обучения и стремящихся углубить свои навыки в разработке production-grade решений.</t>
  </si>
  <si>
    <t>Computer Vision and Augmented Reality in iOS: OpenCV and ARKit Applications</t>
  </si>
  <si>
    <t>Ahmed Fathi Bekhit</t>
  </si>
  <si>
    <t>Computer_Vision_and_Augmented_Reality_in_iOS_OpenCV_and_ARKit_Applications.pdf</t>
  </si>
  <si>
    <t>Книга Ахмеда Фатхи Беххита посвящена компьютерному зрению и дополненной реальности в среде iOS с использованием библиотек OpenCV и ARKit. В ней рассматриваются фундаментальные концепции, такие как основы обработки изображений и видео, математические алгоритмы, обнаружение объектов, а также эволюция от традиционных методов к глубокому обучению. Издание предназначено для разработчиков и специалистов, уже имеющих базовые знания в области программирования, которые хотят освоить практическое применение этих технологий на платформе Apple.</t>
  </si>
  <si>
    <t>Deep Learning for Medical Image Analysis</t>
  </si>
  <si>
    <t>S. Kevin Zhou</t>
  </si>
  <si>
    <t>Deep Learning for Medical Image.pdf</t>
  </si>
  <si>
    <t>Это второе издание книги «Deep Learning for Medical Image Analysis» под редакцией С. Кевина Чжоу, посвящённое применению методов глубокого обучения в анализе медицинских изображений. Книга охватывает теоретические основы и архитектуры нейросетей, включая свёрточные и рекуррентные сети, а также их практическое применение в медицинской визуализации. Издание предназначено для исследователей и специалистов в области компьютерных наук, биомедицинской инженерии и медицинской визуализации, имеющих базовый уровень подготовки в машинном обучении.</t>
  </si>
  <si>
    <t>Deep Learning for Vision Systems</t>
  </si>
  <si>
    <t>Mohamed Elgendy</t>
  </si>
  <si>
    <t>Deep_Learning_for_Vision_Systems 2020.pdf</t>
  </si>
  <si>
    <t>Эта книга представляет собой практическое руководство по компьютерному зрению и глубокому обучению, начиная с основ восприятия изображений и заканчивая построением свёрточных нейронных сетей (CNN). Ключевые разделы охватывают архитектуру нейросетей, методы предобработки данных, настройку гиперпараметров и борьбу с переобучением. Материал рассчитан на читателей начального и среднего уровня, желающих освоить создание систем классификации и детекции объектов.</t>
  </si>
  <si>
    <t>Object Detection with Deep Learning Models; Principles and Applications</t>
  </si>
  <si>
    <t>S. Poonkuntran</t>
  </si>
  <si>
    <t>Object_Detection_with_Deep_Learning_Models.pdf</t>
  </si>
  <si>
    <t>Книга посвящена современным методам обнаружения и распознавания объектов с использованием глубокого обучения в компьютерном зрении. В ней рассматриваются такие ключевые темы, как фреймворки для детекции объектов, анализ лиц, 3D-распознавание и поиск изображений, с особым акцентом на приложения в сельском хозяйстве и дистанционном зондировании. Издание предназначено для студентов, исследователей и практикующих специалистов, уже имеющих базовое понимание машинного обучения и математического анализа.</t>
  </si>
  <si>
    <t>OpenCV и Java. Обработка изображений и компьютерное зрение</t>
  </si>
  <si>
    <t>OpenCV и Java.pdf</t>
  </si>
  <si>
    <t>Книга Николая Прохоренка посвящена применению библиотеки компьютерного зрения OpenCV в связке с языком программирования Java. В ней рассматриваются загрузка и сохранение изображений, работа с матрицами, а также алгоритмы обнаружения, классификации и отслеживания объектов. Издание предназначено для программистов, уже имеющих базовые навыки разработки на Java.</t>
  </si>
  <si>
    <t>Python with open cv</t>
  </si>
  <si>
    <t>fptsh</t>
  </si>
  <si>
    <t>Python.with.OpenCV3.Computer.Vision.Course.for.Beginners.pdf</t>
  </si>
  <si>
    <t>Эта книга представляет собой практическое руководство по компьютерному зрению и машинному обучению с использованием библиотеки OpenCV 3 и языка Python. Она охватывает широкий спектр тем: от базовой обработки изображений (пороговая обработка, гистограммы, фильтры) и геометрических преобразований до сегментации, отслеживания объектов и детекции лиц с помощью каскадных классификаторов и SVM. Материал включает множество практических проектов, таких как создание панорам, распознавание форм и фильтры в стиле Snapchat. Книга предназначена для начинающих, но требует предварительной установки Python 3.4+ и NumPy.</t>
  </si>
  <si>
    <t>Biological and Computer Vision</t>
  </si>
  <si>
    <t>Gabriel Kreiman</t>
  </si>
  <si>
    <t>Биологическое_и_компьютерное_зрение_2022_Крейман_Гэбриел.pdf</t>
  </si>
  <si>
    <t>Книга Гэбриела Креймана посвящена сравнительному анализу биологического и компьютерного зрения, объединяя нейробиологию с математическим моделированием. В первой части рассматриваются анатомия и физиология зрительной системы человека, включая работу сетчатки и нейронные механизмы распознавания образов. Вторая часть знакомит с принципами работы нейронных сетей, глубокими сверточными сетями и генеративными моделями, а заключительная глава затрагивает феномен сознания. Издание рассчитано на широкую аудиторию, интересующуюся искусственным интеллектом, и подойдет как новичкам, так и специалистам, желающим понять, как машины учатся интерпретировать визуальный мир.</t>
  </si>
  <si>
    <t>Learning OpenCV 3</t>
  </si>
  <si>
    <t>Adrian Kaehler; Gary Bradski</t>
  </si>
  <si>
    <t>Изучаем OpenCV.pdf</t>
  </si>
  <si>
    <t>Фрагмент представляет собой введение к книге «Изучаем OpenCV 3», посвященной разработке программ компьютерного зрения на языке C++ с использованием библиотеки OpenCV. Ключевые разделы включают общие сведения об OpenCV, её архитектуре, установке, а также основы работы с изображениями и видео. Издание предназначено для разработчиков, научных сотрудников, инженеров-робототехников и энтузиастов, то есть для специалистов и продвинутых пользователей, а не для абсолютных новичков.</t>
  </si>
  <si>
    <t>Искусственный интеллект и компьютерное зрение. Реальные проекты на Python, Keras и TensorFlow</t>
  </si>
  <si>
    <t>Анирад Коул; Сиддха Ганджу; Мехер Казам</t>
  </si>
  <si>
    <t>ИИ и компьютерное зрение 2023.pdf</t>
  </si>
  <si>
    <t>Эта книга представляет собой практическое руководство по созданию приложений компьютерного зрения и искусственного интеллекта с использованием Python, Keras и TensorFlow. Она охватывает широкий спектр тем: от классификации изображений и переноса обучения до развертывания моделей в облаке, на мобильных устройствах (iOS и Android) и краевых системах, включая создание беспилотных автомобилей. Издание предназначено как для начинающих инженеров-программистов, так и для опытных специалистов по обработке данных, желающих реализовать реальные проекты с помощью ИИ.</t>
  </si>
  <si>
    <t>Компьютерное зрение на Python. Первые шаги</t>
  </si>
  <si>
    <t>Э. Д. Шакирьянов</t>
  </si>
  <si>
    <t>Компьютерное_зрение_на_Python_первые_шаги.pdf</t>
  </si>
  <si>
    <t>Книга представляет собой учебный курс по компьютерному зрению на Python с использованием библиотеки OpenCV, ориентированный на начинающих, в том числе школьников. Материал разделен на три темы: основы программирования на Python, поиск и выделение цветных объектов на изображениях и в видеопотоке, а также программирование колесной робоплатформы на Raspberry Pi 3 с камерой. Издание содержит многочисленные иллюстрации, листинги кода и ссылки на ресурсы, помогающие освоить материал. Книга предназначена для школьников среднего и старшего возраста, педагогов и всех новичков, желающих изучить компьютерное зрение с помощью Python и OpenCV.</t>
  </si>
  <si>
    <t>Advanced Methods and Deep Learning in Computer Vision</t>
  </si>
  <si>
    <t>E.R. Davies; Matthew A. Turk</t>
  </si>
  <si>
    <t>Компьютерное_зрение_Передовые_методы_и_DL.pdf</t>
  </si>
  <si>
    <t>Книга представляет собой сборник под редакцией Роя Дэвиса и Мэтью Терка, посвященный передовым методам компьютерного зрения с акцентом на глубокое обучение. В ней рассматриваются ключевые концепции, такие как обнаружение признаков и объектов, распознавание лиц и действий, а также отслеживание аномалий, причем все принципы иллюстрируются примерами из реальной практики. Издание адресовано исследователям и практикам в области компьютерного зрения, а также студентам, изучающим эту технологию самостоятельно или в рамках вузовского курса.</t>
  </si>
  <si>
    <t>Компьютерное зрение. Теория и алгоритмы</t>
  </si>
  <si>
    <t>Компьютерное_зрение_Теория_и_алгоритмы.pdf</t>
  </si>
  <si>
    <t>Книга посвящена теории и алгоритмам компьютерного зрения, охватывая такие ключевые концепции, как обработка изображений, выделение признаков, распознавание объектов и глубокое обучение. Она предназначена для специалистов и студентов, уже имеющих базовые знания в области машинного обучения и математики, стремящихся углубить понимание алгоритмических основ компьютерного зрения.</t>
  </si>
  <si>
    <t>Программирование компьютерного зрения с Raspberry Pi</t>
  </si>
  <si>
    <t>Эшвин Паджанкар</t>
  </si>
  <si>
    <t>Паджанкар_Э_Программирование_компьютерного_зрения_Raspberry_Pi,.pdf</t>
  </si>
  <si>
    <t>Книга Эшвина Паджанкара посвящена разработке и внедрению приложений компьютерного зрения на одноплатном компьютере Raspberry Pi с использованием библиотек OpenCV и Python 3. Ключевые разделы охватывают настройку платы и установку ПО, основы программирования на Python, работу с изображениями и видео, а также продвинутые темы: фильтрацию, сегментацию, обнаружение объектов и реальные приложения (например, отслеживание движения). Издание предназначено для начинающих и специалистов среднего уровня, желающих освоить практическое компьютерное зрение на доступном оборудовании.</t>
  </si>
  <si>
    <t>Применение функций OpenCV в компьютерном зрении (60 примеров на Python)</t>
  </si>
  <si>
    <t>Молодяков С.А.</t>
  </si>
  <si>
    <t>Издательство Политехнического университета</t>
  </si>
  <si>
    <t>Применение функций OpenCV  60 примеров.pdf</t>
  </si>
  <si>
    <t>Эта книга посвящена практическому применению библиотеки OpenCV для компьютерного зрения на языке Python. В ней представлено 60 рабочих примеров программ, разделённых на три уровня сложности: низкоуровневая обработка изображений, сегментирование и высокоуровневое распознавание, а также обработка видео. Издание предназначено для начинающих инженеров, специалистов по видеосистемам и студентов технических направлений подготовки.</t>
  </si>
  <si>
    <t>Рейнхард Клетте</t>
  </si>
  <si>
    <t>Рейнхард_Клетте_Компьютерное_зрение_Теория_и_алгоритмы 2019.djvu</t>
  </si>
  <si>
    <t>Фрагмент книги Рейнхарда Клетте «Компьютерное зрение: Теория и алгоритмы» посвящён теоретическим основам и практическим алгоритмам в области компьютерного зрения. Ключевые концепции включают обработку изображений, выделение признаков и методы анализа визуальных данных. Книга предназначена для специалистов и студентов, уже имеющих базовые знания в программировании и математике, и требует серьёзной подготовки для понимания материала.</t>
  </si>
  <si>
    <t>Системы распознавания образов</t>
  </si>
  <si>
    <t>Бобков, А. В.</t>
  </si>
  <si>
    <t>Издательство МГТУ им. Н. Э. Баумана</t>
  </si>
  <si>
    <t>Системы распознавания образов.pdf</t>
  </si>
  <si>
    <t>Учебное пособие А.В. Бобкова посвящено системам распознавания образов и обработке изображений в задачах автоматического управления. В книге рассматриваются три уровня анализа изображений: нижний (коррекция и фильтрация), средний (выделение контуров и структурных элементов) и высокий (поиск и идентификация объектов). Издание предназначено для студентов МГТУ им. Н.Э. Баумана, а также для инженеров и исследователей, занимающихся проектированием систем распознавания.</t>
  </si>
  <si>
    <t>Системы технического зрения в задачах обнаружения, измерения, управления</t>
  </si>
  <si>
    <t>С.Н. Ярышев; В.А. Рыжова; М.А. Волынский</t>
  </si>
  <si>
    <t>Системы технического зрения в задачах обнаружения, измерения, управления.pdf</t>
  </si>
  <si>
    <t>Данный фрагмент представляет собой учебное пособие, посвященное системам технического зрения, которые решают задачи обнаружения объектов, измерения их параметров и управления видеосистемами. Ключевые разделы включают лабораторные работы по исследованию погрешности измерения координат, неравномерности чувствительности матричных фотоприемников, а также видеомодулей для обнаружения оставленных предметов и построения траекторий. Пособие предназначено для студентов магистратуры по направлению «Оптотехника» (программы «Техническое зрение» и «Прикладная оптика»), то есть для специалистов, уже имеющих базовую подготовку.</t>
  </si>
  <si>
    <t>Цифровая обработка изображений. Java и OpenCV</t>
  </si>
  <si>
    <t>Шибайкин С. Д.</t>
  </si>
  <si>
    <t>Издатель Афанасьев В. С.</t>
  </si>
  <si>
    <t>Цифровая обработка изображений  Java и OpenCV 2019.pdf</t>
  </si>
  <si>
    <t>Учебное пособие посвящено применению языка Java и библиотеки OpenCV для цифровой обработки изображений. В книге рассматриваются установка OpenCV, работа с матрицами изображений, фильтрация (сглаживание, морфологические операторы, пороговая обработка), сегментирование (операторы Собеля, Кэнни, Хафа) и обработка видео. Материал предназначен для студентов направлений «Инфокоммуникационные технологии» и «Информатика и вычислительная техника», то есть для начинающих и практикующих специалистов.</t>
  </si>
  <si>
    <t>GPT-3: программирование на Python в примерах</t>
  </si>
  <si>
    <t>Aymen El Amri</t>
  </si>
  <si>
    <t>ИИ/Модели ИИ</t>
  </si>
  <si>
    <t>Модели ИИ</t>
  </si>
  <si>
    <t>!GPT 3.pdf</t>
  </si>
  <si>
    <t>C:\Users\alexa\YandexDisk\Книги\ИИ\Модели ИИ</t>
  </si>
  <si>
    <t>Эта книга посвящена практическому применению генеративной текстовой модели GPT для создания приложений на Python. В ней рассматриваются ключевые концепции работы с моделями OpenAI, включая управление креативностью, генерацию и редактирование текста, а также приводятся примеры создания чат-ботов, голосовых помощников и систем классификации. Издание предназначено для разработчиков, владеющих основами Python и желающих использовать GPT для решения прикладных задач.</t>
  </si>
  <si>
    <t>DeepSeek на практике</t>
  </si>
  <si>
    <t>Мэн Цзянь; Яо Лусин</t>
  </si>
  <si>
    <t>DeepSeek на практике.pdf</t>
  </si>
  <si>
    <t>Книга представляет собой практическое руководство по работе с моделью DeepSeek, описывая её историю, технологические инновации и преимущества, такие как автономное обучение и многомодальность. Основные разделы охватывают знакомство с моделью, основы составления промптов, режим углубленного анализа и решение типичных проблем. Издание предназначено для широкого круга пользователей — от новичков до специалистов, желающих освоить применение генеративных моделей на практике.</t>
  </si>
  <si>
    <t>GPT_3.pdf</t>
  </si>
  <si>
    <t>Книга Аймена Эль Амри посвящена практическому использованию генеративной текстовой модели GPT (включая GPT-3, Codex и Content Filter) для создания приложений на Python. В ней рассматриваются ключевые концепции работы с моделями: управление креативностью через параметры temperature и top_p, контроль повторений, потоковая передача результатов, а также методы редактирования и генерации текста. Отдельное внимание уделяется примерам, таким как создание медицинского чат-бота, голосового помощника и системы классификации изображений с помощью OpenAI CLIP. Издание предназначено для разработчиков, владеющих основами Python и желающих применять GPT для решения прикладных задач.</t>
  </si>
  <si>
    <t>Graph Neural Networks in Action</t>
  </si>
  <si>
    <t>copyright-2020-manning-publications.html</t>
  </si>
  <si>
    <t>Graph Neural Networks in Action.pdf</t>
  </si>
  <si>
    <t>Книга «Graph Neural Networks in Action» посвящена графовым нейронным сетям (GNN) — специализированным алгоритмам для работы с данными в виде графов, где ключевую роль играют связи между сущностями. В ней рассматриваются такие темы, как проектирование систем, конвейеры данных, графовые эмбеддинги, а также архитектуры GCN и GraphSage. Издание предназначено для специалистов среднего уровня, владеющих Python и имеющих базовые знания о нейросетях и линейной алгебре.</t>
  </si>
  <si>
    <t>Multimodal Deep Learning</t>
  </si>
  <si>
    <t>arXiv</t>
  </si>
  <si>
    <t>Multimodal Deep Learning.pdf</t>
  </si>
  <si>
    <t>Книга «Multimodal Deep Learning» представляет собой обзор современных методов глубокого обучения, работающих одновременно с текстом и изображениями, а также с другими модальностями. В ней рассматриваются архитектуры для преобразования одной модальности в другую (например, текст в изображение), модели, где одна модальность улучшает обучение другой, и универсальные архитектуры для совместной обработки данных. Издание создано по итогам университетского семинара и предназначено для студентов и специалистов в области Data Science, машинного обучения и ИИ, уже знакомых с основами глубокого обучения.</t>
  </si>
  <si>
    <t>Нечеткие модели и сети</t>
  </si>
  <si>
    <t>В. В. Борисов; В. В. Круглов; А. С. Федулов</t>
  </si>
  <si>
    <t>Борисов_В_,_Круглов_В_,_Федулов_А_Нечеткие_модели_и_сети_2018.pdf</t>
  </si>
  <si>
    <t>Книга посвящена исследованию нечетких моделей и сетей для описания, анализа и моделирования сложных слабо формализуемых систем. Рассматриваются нечеткие нейронные сети, реализующие продукционные, реляционные и функциональные модели, а также нейронные нечеткие сети и нечеткие когнитивные карты. Особое внимание уделяется интеграции нечеткого и нейросетевого подходов на основе принципа «мягких» вычислений. Издание предназначено для специалистов в области информатики и моделирования, а также для аспирантов и студентов соответствующих специальностей.</t>
  </si>
  <si>
    <t>Объяснимые модели искусственного интеллекта на Python</t>
  </si>
  <si>
    <t>Прадипта Мишра</t>
  </si>
  <si>
    <t>Объяснимые модели ИИ на Python 2022.pdf</t>
  </si>
  <si>
    <t>Книга посвящена методам объяснимого искусственного интеллекта (XAI) на Python, в частности, работе с моделями «черного ящика» для повышения их интерпретируемости. В ней рассматриваются ключевые концепции, такие как различие между объяснимостью и интерпретируемостью, этика и предвзятость ИИ, а также практические инструменты вроде SHAP, LIME и ELI5. Издание предназначено для специалистов по анализу данных и инженеров, уже имеющих опыт работы с моделями машинного обучения.</t>
  </si>
  <si>
    <t>Разработка приложений на базе GPT-4 и ChatGPT</t>
  </si>
  <si>
    <t>Оливье Келен; Мари-Алис Блете</t>
  </si>
  <si>
    <t>Разработка_приложений на базе ChanGPT4.pdf</t>
  </si>
  <si>
    <t>Книга представляет собой практическое руководство для Python-разработчиков по созданию приложений с использованием больших языковых моделей GPT-4 и ChatGPT. В ней рассматриваются основы работы LLM, токенизация и архитектура трансформеров, а также даются пошаговые инструкции по интеграции API OpenAI для генерации текста, создания чат-ботов и интеллектуальных ассистентов. Издание охватывает продвинутые стратегии интеграции, работу с фреймворками и плагинами, а также содержит множество примеров кода из репозитория GitHub. Книга предназначена для разработчиков, уже знакомых с Python, которые хотят применить возможности LLM в своих проектах.</t>
  </si>
  <si>
    <t>Рекомендательные системы на основе больших языковых моделей</t>
  </si>
  <si>
    <t>Лю Лу; Чжан Юйцзюнь</t>
  </si>
  <si>
    <t>Рекомендательные системы на основе больших языковых моделей.pdf</t>
  </si>
  <si>
    <t>Книга Лю Лу и Чжан Юйцзюня посвящена интеграции больших языковых моделей с рекомендательными системами, охватывая полный цикл от предобучения до развертывания интеллектуальных агентов. В ней систематически разбираются ключевые технологии, включая основы коллаборативной фильтрации, методы на основе признаков и последовательностей, а также архитектуру трансформеров и промпт-инженерию. Издание предназначено для алгоритмических инженеров, системных архитекторов и исследователей, стремящихся освоить технологии рекомендательных систем следующего поколения.</t>
  </si>
  <si>
    <t>Neural Network Programming with Java</t>
  </si>
  <si>
    <t>Fábio M. Soares; Alan M.F. Souza</t>
  </si>
  <si>
    <t>ИИ/Нейронные сети</t>
  </si>
  <si>
    <t>Нейронные сети</t>
  </si>
  <si>
    <t>Neural Network Programming with Java.pdf</t>
  </si>
  <si>
    <t>C:\Users\alexa\YandexDisk\Книги\ИИ\Нейронные сети</t>
  </si>
  <si>
    <t>Книга «Neural Network Programming with Java» посвящена практической реализации нейронных сетей на языке Java. Авторы, Фабио М. Соарес и Алан М.Ф. Соуза, рассматривают методы контролируемого обучения и моделирования данных, предлагая профессиональный Java-код для построения нейросетевых решений. Издание предназначено для разработчиков и специалистов, уже имеющих опыт программирования, которые хотят применить нейронные сети в таких областях, как телекоммуникации и химическое моделирование.</t>
  </si>
  <si>
    <t>A Brief Introduction to Neural Networks</t>
  </si>
  <si>
    <t>David Kriesel</t>
  </si>
  <si>
    <t>Neuro NetWork.pdf</t>
  </si>
  <si>
    <t>Это фрагмент введения к книге Дэвида Кризеля «Краткое введение в нейронные сети», которая представляет собой учебное пособие по теме нейронных сетей. Ключевые концепции включают классическую структуру перцептрона и процедуры его обучения, причём материал изложен как на формальном, так и на доступном языке с большим количеством иллюстраций. Книга предназначена для широкой аудитории — от новичков до специалистов, интересующихся предметом, и также содержит отсылки к программной библиотеке SNIPE для практического кодирования.</t>
  </si>
  <si>
    <t>Нейронные сети: распознавание, управление, принятие решений</t>
  </si>
  <si>
    <t>Барский А. Б.</t>
  </si>
  <si>
    <t>Финансы и статистика</t>
  </si>
  <si>
    <t>Барский Нейронные сети 2004.pdf</t>
  </si>
  <si>
    <t>Книга А.Б. Барского посвящена применению нейросетевых технологий для построения информационных и управляющих систем в науке, экономике, финансах и искусстве. Ключевые концепции включают обучение и адаптацию нейронных сетей, ассоциативное мышление, а также практические разделы по прогнозированию финансовых потоков, оценке кредитных рисков и использованию самоорганизующихся карт Кохонена. Издание предназначено для студентов технических и экономических вузов, аспирантов, инженеров и исследователей в области современных информационных технологий.</t>
  </si>
  <si>
    <t>Введение в нейросетевое моделирование : учебное пособие</t>
  </si>
  <si>
    <t>Сергеев А. П.; Тарасов Д. А.</t>
  </si>
  <si>
    <t>Введение_в_нейросетевое_моделирование.pdf</t>
  </si>
  <si>
    <t>Учебное пособие посвящено основам моделирования с использованием искусственных нейронных сетей. В нём рассматриваются биологические принципы работы нейронов, строение нервной клетки и механизмы нейронной передачи, а также алгоритмы создания искусственного нейрона (перцептрона) и сетей на его основе. Книга предназначена для студентов инженерно-технических направлений, исследователей и всех, кто интересуется современным состоянием искусственных нейронных сетей, и подходит для начального уровня.</t>
  </si>
  <si>
    <t>Нейронные сети. Эволюция</t>
  </si>
  <si>
    <t>Каниа Алексеевич Кан</t>
  </si>
  <si>
    <t>Кан_К_А_Нейронные_сети_Эволюция_2018.pdf</t>
  </si>
  <si>
    <t>Эта книга посвящена устройству и принципам работы искусственных нейронных сетей, объясняя их эволюцию от простейшего нейрона до сложных сетей по аналогии с биологическими видами. Ключевая концепция — постепенное усложнение математического аппарата и архитектуры нейронов для решения всё более трудных задач, с практической реализацией на языке Python. Издание предназначено для новичков, желающих с нуля разобраться в теме без специальных знаний, выходящих за рамки школьного курса математики.</t>
  </si>
  <si>
    <t>Надежность нейронных сетей: укрепляем устойчивость ИИ к обману</t>
  </si>
  <si>
    <t>Кэти Уорр</t>
  </si>
  <si>
    <t>Надежность_нейронных_сетей_Укрепляем_устойчивость_ИИ_к_обману_2021.pdf</t>
  </si>
  <si>
    <t>Книга Кэти Уорр посвящена проблеме уязвимости глубоких нейронных сетей к вредоносным атакам, которые используют специально созданные данные для обмана ИИ. В ней рассматриваются мотивация хакеров, методы генерации вредоносных искажений (например, заплатки и неестественные образы), а также реальные угрозы в цифровом и физическом мире. Отдельные разделы посвящены оценке устойчивости моделей и практическим способам защиты от таких взломов. Издание предназначено для специалистов по data science и архитекторов систем безопасности, стремящихся повысить надежность ИИ-систем.</t>
  </si>
  <si>
    <t>Нейронный сети. Эволюция</t>
  </si>
  <si>
    <t>Нейронные сети. Эволюция.pdf</t>
  </si>
  <si>
    <t>Книга «Нейронные сети. Эволюция» Каниа Алексеевича Кана посвящена объяснению устройства и принципов работы искусственных нейронных сетей с нуля. Ключевая концепция — эволюционный подход: автор предлагает изучать нейросети по аналогии с биологической эволюцией, начиная с простейшего нейрона и постепенно усложняя его структуру и математический аппарат. Книга предназначена для новичков, желающих самостоятельно научиться программировать нейронные сети без использования специализированных библиотек, при этом от читателя требуются знания математики только в пределах школьного курса.</t>
  </si>
  <si>
    <t>Нейронные сети.pdf</t>
  </si>
  <si>
    <t>Книга Каниа Алексеевича Кана посвящена объяснению устройства и принципов работы искусственных нейронных сетей (ИНС) на доступном, даже для школьника, языке. Ключевая идея — моделирование эволюции биологических видов: автор предлагает начать с простейшего искусственного нейрона и, постепенно усложняя его математический аппарат и добавляя новые входы, прийти к созданию полноценных сетей. В книге сознательно избегается сложная терминология, а теория подкрепляется практическими примерами на языке Python, включая задачи классификации и распознавания рукописных цифр. Издание предназначено для новичков, желающих с нуля разобраться в сути работы нейросетей и научиться программировать их без использования специализированных библиотек.</t>
  </si>
  <si>
    <t>Нейронные системы обработки информации</t>
  </si>
  <si>
    <t>С. В. Макартичян; Н. С. Кузнецова; С. С. Дементьев</t>
  </si>
  <si>
    <t>Нейронные системы обработки информации.pdf</t>
  </si>
  <si>
    <t>Данное учебно-методическое пособие посвящено искусственным нейронным сетям (ИНС) — одному из направлений компьютерной индустрии, моделирующему принципы работы человеческого мозга. В книге рассматриваются история развития нейроинформатики, структура и архитектура нейронных сетей, алгоритмы их обучения, а также часто применяемые на практике типы сетей, такие как персептроны и сети Кохонена. Пособие предназначено для студентов высших технических учебных заведений, в частности по направлению «Приборостроение», и подходит для начального и среднего уровня подготовки.</t>
  </si>
  <si>
    <t>НЕЙРОСЕТИ НА PYTHON. Основы ИИ и МАШИННОГО ОБУЧЕНИЯ</t>
  </si>
  <si>
    <t>Куликова И. В.</t>
  </si>
  <si>
    <t>Издательство Наука и Техника</t>
  </si>
  <si>
    <t>Нейросети на Python.pdf</t>
  </si>
  <si>
    <t>Книга И. В. Куликовой «Нейросети на Python» представляет собой практическое руководство по основам искусственного интеллекта и машинного обучения, охватывающее различные типы нейросетей, их архитектуру и принципы работы. Ключевые разделы включают математические основы (линейная алгебра, теория вероятности и статистика) с примерами на Python, а также применение библиотек NumPy, PyTorch, TensorFlow и других. Издание предназначено для широкой аудитории, желающей овладеть современными нейросетями, от новичков до практикующих специалистов, и содержит ссылки на реальные нейросети для углубления навыков.</t>
  </si>
  <si>
    <t>Саймон Хайкин</t>
  </si>
  <si>
    <t>Саймон Хайкин Нейронные сети.pdf</t>
  </si>
  <si>
    <t>Книга Саймона Хайкина «Нейронные сети» представляет собой фундаментальный учебник по теории и практике нейросетевых вычислений, охватывающий как классические архитектуры (многослойный перцептрон, сети радиальных базисных функций), так и современные методы обучения (алгоритм обратного распространения ошибки, обучение с подкреплением). Ключевые разделы включают математические основы нейронных сетей, анализ сходимости, регуляризацию и вопросы обобщения. Издание предназначено для студентов старших курсов, аспирантов и специалистов в области машинного обучения и искусственного интеллекта, имеющих базовую подготовку в математическом анализе и линейной алгебре.</t>
  </si>
  <si>
    <t>Make Your Own Neural Network</t>
  </si>
  <si>
    <t>Tariq Rashid</t>
  </si>
  <si>
    <t>ООО "Альфа-книга"</t>
  </si>
  <si>
    <t>Создаем нейронную сеть.pdf</t>
  </si>
  <si>
    <t>Фрагмент представляет собой выходные данные книги Тарика Рашида «Создаем нейронную сеть», которая является практическим руководством по созданию нейронных сетей с нуля на языке Python. Книга охватывает ключевые концепции, такие как работа нейронов, матричные вычисления, метод обратного распространения ошибки и корректировка весовых коэффициентов, а также включает проекты по распознаванию рукописных цифр. Издание предназначено для новичков, желающих понять основы машинного обучения и самостоятельно реализовать нейронную сеть.</t>
  </si>
  <si>
    <t>Состязательные сети</t>
  </si>
  <si>
    <t>Состязательные сети.pdf</t>
  </si>
  <si>
    <t>Книга Кайлаша Ахирвара посвящена практическому построению порождающих состязательных сетей (GAN) с использованием библиотек TensorFlow и Keras. В ней рассматриваются сквозные проекты, включая такие архитектуры, как 3D-GAN, DCGAN, StackGAN и CycleGAN, с акцентом на обучение без учителя и генерацию изображений, 3D-форм и анимационных персонажей. Материал структурирован по возрастанию сложности и охватывает ключевые концепции, такие как состязательная игра генератора и дискриминатора. Издание предназначено для специалистов по данным и машинному обучению, а также для всех, кто интересуется практической реализацией современных моделей ИИ.</t>
  </si>
  <si>
    <t>Эволюционные нейросети на языке Python</t>
  </si>
  <si>
    <t>Ярослав Омельяненко</t>
  </si>
  <si>
    <t>Эволюционные нейросети на Python 2020.pdf</t>
  </si>
  <si>
    <t>Книга посвящена нейроэволюции — подходу к обучению нейросетей с помощью эволюционных алгоритмов. В ней рассматриваются ключевые алгоритмы (NEAT, HyperNEAT, ES-HyperNEAT), их реализация на Python, визуализация топологий и применение для решения задач, включая игры Atari. Издание предназначено для специалистов по машинному обучению и анализу данных, имеющих базовые знания в области глубокого обучения и навыки программирования на Python.</t>
  </si>
  <si>
    <t>Грокаем алгоритмы искусственного интеллекта</t>
  </si>
  <si>
    <t>ИИ/Общие вопросы</t>
  </si>
  <si>
    <t>!!!Грокаем алгоритмы ИИ.pdf</t>
  </si>
  <si>
    <t>C:\Users\alexa\YandexDisk\Книги\ИИ\Общие вопросы</t>
  </si>
  <si>
    <t>Книга «Грокаем алгоритмы искусственного интеллекта» представляет собой вводное руководство по фундаментальным алгоритмам ИИ, объясняя их работу через иллюстрации и примеры из жизни. В ней рассматриваются ключевые концепции: основы и умный поиск, эволюционные алгоритмы, роевой интеллект, искусственные нейронные сети, машинное обучение и обучение с подкреплением. Издание предназначено для новичков, желающих понять принципы ИИ, и требует лишь знания алгебры на уровне старших классов.</t>
  </si>
  <si>
    <t>Chat GPT и Революция Искусственного Интеллекта</t>
  </si>
  <si>
    <t>Тимур Казанцев</t>
  </si>
  <si>
    <t>!Chat GPT и Революция ИИ.pdf</t>
  </si>
  <si>
    <t>Эта книга посвящена революции в области искусственного интеллекта, вызванной появлением ChatGPT, и исследует его возможности, влияние на общество и будущее технологий. В ней рассматриваются ключевые концепции: история развития ИИ, практическое применение ChatGPT для повышения личной продуктивности и в бизнесе, а также этические и социальные последствия внедрения ИИ. Структура книги включает три части: практическое использование ChatGPT и других ИИ-сервисов, техническое устройство нейросетей и машинного обучения, а также исторический обзор развития искусственного интеллекта. Издание предназначено для широкой аудитории, включая новичков, желающих понять и применить ИИ-инструменты в жизни и карьере.</t>
  </si>
  <si>
    <t>Искусственный интеллект, аналитика и новые технологии</t>
  </si>
  <si>
    <t>Томас Дэвенпорт; Раджив Ронанки</t>
  </si>
  <si>
    <t>!Искусственный_интеллект,_аналитика_и_новые_технологии.pdf</t>
  </si>
  <si>
    <t>Фрагмент книги посвящен практическому применению искусственного интеллекта в бизнесе, на примере неудач амбициозных проектов (онкологический центр) и успехов точечных решений (RPA). Ключевая концепция — разделение ИИ на три типа: автоматизация процессов, углубленный анализ данных и взаимодействие с клиентами, при этом авторы рекомендуют постепенный подход, а не попытки совершить прорыв. Материал основан на исследовании 152 проектов и опросе руководителей, поэтому будет полезен менеджерам и специалистам, планирующим внедрение когнитивных технологий в организациях.</t>
  </si>
  <si>
    <t>A First Course in Artificial Intelligence</t>
  </si>
  <si>
    <t>Osondu Oguike</t>
  </si>
  <si>
    <t>A First Course in Artificial Intelligence.pdf</t>
  </si>
  <si>
    <t>Этот фрагмент представляет собой вступительную часть учебника «A First Course in Artificial Intelligence» авторства Осонду Огуике, опубликованного в 2021 году издательством Bentham Science Publishers. Книга представляет собой вводный курс по искусственному интеллекту, предназначенный для начинающих изучать эту область, и, судя по оглавлению, начинается с определения ИИ и основополагающих концепций. Издание содержит стандартные разделы, такие как предисловие, подтверждения и лицензионное соглашение для персонального использования. Материал ориентирован на студентов и новичков, делающих первые шаги в изучении искусственного интеллекта.</t>
  </si>
  <si>
    <t>AI-Assisted Programming</t>
  </si>
  <si>
    <t>Tom Taulli</t>
  </si>
  <si>
    <t>AI-Assisted Programming.pdf</t>
  </si>
  <si>
    <t>Книга Тома Таулли «AI-Assisted Programming» посвящена практическому применению инструментов искусственного интеллекта (таких как ChatGPT, GitHub Copilot и Gemini) на всех этапах разработки программного обеспечения — от планирования и написания кода до отладки и тестирования. Автор рассматривает ключевые концепции, включая модульное программирование, промпт-инжиниринг и использование ИИ для рутинных задач, а также анализирует плюсы и минусы популярных систем. Издание предназначено как для начинающих, так и для опытных разработчиков, желающих эффективно интегрировать ИИ-ассистентов в свой рабочий процесс.</t>
  </si>
  <si>
    <t>Искусственный интеллект в стратегических играх</t>
  </si>
  <si>
    <t>Илья Шпигорь</t>
  </si>
  <si>
    <t>ai-in-strategy-games.epub</t>
  </si>
  <si>
    <t>Книга Ильи Шпигоря посвящена применению искусственного интеллекта в стратегических играх, от классических шахмат до современных киберспортивных дисциплин. В ней рассматриваются теория игр, основы ИИ (включая машинное обучение и состязательный поиск), а также история и устройство таких систем, как Stockfish, AlphaZero, AlphaStar и OpenAI Five. Издание предназначено для широкой аудитории, интересующейся темой ИИ в играх, и не требует глубокой технической подготовки, заполняя пробел между сугубо научными и научно-популярными работами.</t>
  </si>
  <si>
    <t>ai-in-strategy-games.pdf</t>
  </si>
  <si>
    <t>Книга Ильи Шпигоря посвящена применению искусственного интеллекта в стратегических играх, начиная с теории игр и заканчивая современными шахматными движками. Ключевые разделы охватывают историю ИИ, машинное обучение, состязательный поиск, а также подробный анализ шахматных программ, включая Stockfish и AlphaZero. Материал рассчитан на широкую аудиторию, от новичков до специалистов, интересующихся пересечением ИИ и игр.</t>
  </si>
  <si>
    <t>AI Engineering</t>
  </si>
  <si>
    <t>Chip Huyen</t>
  </si>
  <si>
    <t>AI-инженерия. Построение приложений с использованием базовых моделей.pdf</t>
  </si>
  <si>
    <t>Это практическое руководство по AI-инженерии, посвященное созданию приложений на основе готовых базовых моделей. Книга охватывает ключевые концепции: промт-инжиниринг, RAG и агенты, дообучение (тонкая настройка), проектирование наборов данных и оптимизацию вывода. Издание предназначено для разработчиков, включая тех, у кого еще нет опыта работы с искусственным интеллектом, и предлагает методику разработки и развертывания AI-приложений.</t>
  </si>
  <si>
    <t>AI.at.the.Edge.epub</t>
  </si>
  <si>
    <t>Книга посвящена применению искусственного интеллекта и машинного обучения на периферийных устройствах (Edge AI), то есть вне облачных серверов. Ключевые концепции включают оптимизацию моделей для работы с ограниченными ресурсами, развертывание нейросетей на микроконтроллерах и IoT-устройствах, а также баланс между производительностью и энергопотреблением. Издание ориентировано на специалистов в области Data Science и разработчиков, уже знакомых с основами машинного обучения, которые хотят внедрять ИИ в реальные устройства.</t>
  </si>
  <si>
    <t>Algorithms, Humans, and Interactions; How Do Algorithms Interact with People? Designing Meaningful AI Experiences</t>
  </si>
  <si>
    <t>Don Donghee Shin</t>
  </si>
  <si>
    <t>Algorithms, Humans, and Interactions.pdf</t>
  </si>
  <si>
    <t>Книга Дона Донхи Шина посвящена взаимодействию человека и искусственного интеллекта, с особым акцентом на человеческий фактор в проектировании, разработке и эксплуатации алгоритмических систем. Автор рассматривает ключевые концепции, такие как алгоритмический опыт, осведомленность, подталкивание и доверие, а также поднимает вопросы прозрачности, справедливости и конфиденциальности. Издание предназначено для широкого круга читателей, включая как новичков, так и специалистов, стремящихся понять, как создавать полезные и этичные AI-системы, уважающие человеческие ценности и дающие пользователям осмысленный контроль.</t>
  </si>
  <si>
    <t>Artificial Intelligence By Example</t>
  </si>
  <si>
    <t>Artificial Intellige... by example.pdf</t>
  </si>
  <si>
    <t>Книга «Artificial Intelligence By Example» Дениса Ротмана посвящена практическому изучению искусственного интеллекта и машинного обучения через решение реальных задач. В ней рассматриваются ключевые концепции, такие как адаптивное мышление, обучение с подкреплением и уравнение Беллмана, с переходом от естественного языка к математическим моделям и реализации на Python. Издание предназначено для специалистов и разработчиков, желающих углубить понимание ИИ через примеры и практические проекты.</t>
  </si>
  <si>
    <t>Beyond the Algorithm: AI, Security, Privacy, and Ethics</t>
  </si>
  <si>
    <t>Omar Santos; Petar Radanliev</t>
  </si>
  <si>
    <t>Beyond the Algorithm_Final.pdf</t>
  </si>
  <si>
    <t>Книга «Beyond the Algorithm» посвящена пересечению искусственного интеллекта, машинного обучения с вопросами безопасности, конфиденциальности и этики. В представленном фрагменте рассматриваются исторический обзор развития ИИ и МО, сравнение алгоритмов, их практическое применение, а также этические и кибербезопасностные вызовы. Издание предназначено как для новичков, так и для специалистов, интересующихся практическими и теоретическими аспектами внедрения ИИ.</t>
  </si>
  <si>
    <t>Brain Computer Interface; EEG Signal Processing</t>
  </si>
  <si>
    <t>Narayan Panigrahi; Saraju P. Mohanty</t>
  </si>
  <si>
    <t>Brain Computer Interface.pdf</t>
  </si>
  <si>
    <t>Книга посвящена интерфейсу «мозг-компьютер» (BCI) и обработке сигналов электроэнцефалографии (ЭЭГ). В ней рассматриваются четыре ключевых этапа BCI: нейровизуализация, обработка данных, классификация признаков и управление устройствами, а также такие темы, как обнаружение морганий, саккад, потенциала P300 и эпилептических припадков. Издание предназначено для специалистов и исследователей в области нейротехнологий и обработки сигналов, имеющих базовую подготовку.</t>
  </si>
  <si>
    <t>Chat GPT и Революция ИИ.pdf</t>
  </si>
  <si>
    <t>Книга посвящена революции искусственного интеллекта на примере ChatGPT, который за пять дней набрал миллион пользователей и способен выполнять широкий спектр задач — от написания кода до создания маркетинговых стратегий. Автор рассматривает историю развития ИИ, устройство нейросетей и машинного обучения, а также практическое применение ChatGPT для повышения личной продуктивности, карьерного роста и бизнеса. В первой части описываются возможности чат-бота как личного помощника, во второй — технические основы ИИ, в третьей — история его развития. Книга предназначена для широкой аудитории, включая новичков, желающих понять потенциал ИИ и научиться использовать его в повседневной жизни и работе.</t>
  </si>
  <si>
    <t>Computational Intelligence Applications for Software Engineering Problems</t>
  </si>
  <si>
    <t>Parma Nand</t>
  </si>
  <si>
    <t>Computational_Intelligence_Applications_for_Software_Engineering.pdf</t>
  </si>
  <si>
    <t>Книга «Computational Intelligence Applications for Software Engineering Problems» под редакцией Пармы Нанда посвящена применению методов вычислительного интеллекта (машинного обучения, глубокого обучения, нечеткой логики, искусственного интеллекта и др.) для решения задач на всех этапах разработки программного обеспечения — от сбора требований до тестирования и сопровождения. Основная цель издания — снизить стоимость и количество ошибок, возникающих из-за сложности современных программных проектов. Издание содержит как теоретические исследования, так и практические примеры (кейсы), включая модели прогнозирования временных рядов и метаэвристические алгоритмы. Книга предназначена для специалистов в области программной инженерии, исследователей, а также преподавателей и студентов старших курсов, уже знакомых с основами разработки.</t>
  </si>
  <si>
    <t>Edge AI: Convergence of Edge Computing and Artificial Intelligence</t>
  </si>
  <si>
    <t>Xiaofei Wang; Yiwen Han; Victor C. M. Leung; Dusit Niyato; Xueqiang Yan; Xu Chen</t>
  </si>
  <si>
    <t>Edge_AI_convergence_of_edge_computing.pdf</t>
  </si>
  <si>
    <t>Книга «Edge AI: Convergence of Edge Computing and Artificial Intelligence» посвящена взаимному проникновению и синергии двух технологий: периферийных вычислений и искусственного интеллекта. Авторы рассматривают ключевые концепции, включая развертывание AI-инференса и обучения на периферии, оптимизацию моделей для edge-устройств, а также применение AI для управления самими периферийными системами. Издание предназначено для специалистов в области компьютерных наук, инженеров и исследователей, уже знакомых с основами машинного обучения и распределенных систем.</t>
  </si>
  <si>
    <t>Foundations, Architecture, and Prototyping of Humanized AI: A New Constructivist Approach</t>
  </si>
  <si>
    <t>Mark Chang</t>
  </si>
  <si>
    <t>Foundation, Architecture, and Prototyping of Humanized AI.pdf</t>
  </si>
  <si>
    <t>Книга Марка Чанга посвящена концепции Гуманизированного ИИ (HAI) — искусственных социальных существ, близких к человеку, а не «цифровых рабов». Вместо популярного подхода «больших данных» автор предлагает методологию «малых данных», основанную на принципе сходства и конструктивистском подходе, сочетающем эффективность и гибкость. Ключевые разделы охватывают философию HAI, новую архитектуру, механизмы внимания, обучения и адаптации, а также прототипирование агентов. Издание предназначено для преподавателей, студентов в области ИИ и философии, а также для отраслевых специалистов, стремящихся быть на переднем крае разработок.</t>
  </si>
  <si>
    <t>Gaussian Processes for Machine Learning</t>
  </si>
  <si>
    <t>Carl Edward Rasmussen; Christopher K. I. Williams</t>
  </si>
  <si>
    <t>the MIT Press</t>
  </si>
  <si>
    <t>Gaussian_Processes_for_Machine_Learning_proglib 2006.pdf</t>
  </si>
  <si>
    <t>Книга «Gaussian Processes for Machine Learning» Карла Эдварда Расмуссена и Кристофера К. И. Уильямса представляет собой фундаментальный учебник по гауссовским процессам — мощному методу байесовского машинного обучения. Ключевые разделы охватывают регрессию (с рассмотрением как в пространстве весов, так и в пространстве функций), классификацию и теорию принятия решений, а также практические аспекты настройки гиперпараметров. Издание предназначено для читателей с уровнем от продвинутого студента до специалиста, уже знакомых с основами машинного обучения и математической статистики.</t>
  </si>
  <si>
    <t>Hands-On Machine Learning with Scikit-Learn and TensorFlow: Concepts, Tools, and Techniques to Build Intelligent Systems</t>
  </si>
  <si>
    <t>Aurélien Géron</t>
  </si>
  <si>
    <t>Geron Hands on Machine Learning with Scikit Learn and Tensorflow.pdf</t>
  </si>
  <si>
    <t>Книга Орельена Жерона представляет собой практическое руководство по машинному обучению с использованием библиотек Scikit-Learn и TensorFlow. Она охватывает широкий спектр техник — от простой линейной регрессии до глубокого обучения, делая акцент на понимании концепций через работающие примеры кода. Издание предназначено для читателей с базовым знанием Python и математики, которые хотят научиться применять машинное обучение в реальных проектах.</t>
  </si>
  <si>
    <t>Learning GitHub Copilot</t>
  </si>
  <si>
    <t>Brent Laster</t>
  </si>
  <si>
    <t>GitHub Copilot.pdf</t>
  </si>
  <si>
    <t>Книга посвящена практическому применению инструментов искусственного интеллекта, в частности GitHub Copilot, в процессе разработки программного обеспечения. В ней рассматриваются ключевые концепции парного программирования с ИИ, включая написание промптов, рефакторинг кода и отладку с помощью нейросети. Издание ориентировано на программистов любого уровня — от новичков до опытных специалистов, желающих повысить эффективность работы за счёт использования ИИ-ассистента.</t>
  </si>
  <si>
    <t>Digital Skills: Artificial Intelligence Accenture Glossary</t>
  </si>
  <si>
    <t>Osho; Tami</t>
  </si>
  <si>
    <t>Glossary_Terms_v2.pdf</t>
  </si>
  <si>
    <t>Этот фрагмент представляет собой глоссарий терминов по искусственному интеллекту и цифровым навыкам, составленный компанией Accenture. В нём даются краткие определения ключевых понятий, таких как алгоритмы, искусственный интеллект, чат-боты, компьютерное зрение и автономные транспортные средства, а также описываются конкретные технологии и компании, включая Amazon Alexa, Babylon и Bloomberg Vision. Материал предназначен для новичков, желающих ознакомиться с базовой терминологией в сфере AI и цифровых технологий.</t>
  </si>
  <si>
    <t>Аймен Эль Амри</t>
  </si>
  <si>
    <t>GPT 3.pdf</t>
  </si>
  <si>
    <t>Книга Аймена Эль Амри посвящена практическому применению генеративной текстовой модели GPT-3 для создания приложений на Python, таких как чат-боты, голосовые помощники и системы классификации. В ней рассматриваются ключевые концепции работы с моделями OpenAI, включая управление креативностью через параметры temperature и top_p, контроль повторений, потоковую передачу данных и методы точной настройки. Издание предназначено для разработчиков, владеющих основами Python и желающих использовать GPT в реальных прикладных задачах.</t>
  </si>
  <si>
    <t>Hello World. Как быть человеком в эпоху машин</t>
  </si>
  <si>
    <t>Ханна Фрай</t>
  </si>
  <si>
    <t>Hello_World_Как_быть_человеком_в_эпоху_машин.pdf</t>
  </si>
  <si>
    <t>Книга Ханны Фрай посвящена принципам работы алгоритмов и искусственного интеллекта, их применению в различных сферах жизни, а также связанным с ними возможностям и рискам. Автор на примерах успехов и провалов «умных» машин исследует вопросы человеческих способностей, ответственности и морали, приходя к выводу о возрастающей роли человека в эпоху алгоритмов. Книга предназначена для широкого круга читателей, включая новичков, интересующихся технологиями и их влиянием на общество.</t>
  </si>
  <si>
    <t>Information Theory, Inference, and Learning Algorithms</t>
  </si>
  <si>
    <t>David J.C. MacKay</t>
  </si>
  <si>
    <t>Information_Theory_Inference_and_Learning_Algorithms_proglib - 2003.pdf</t>
  </si>
  <si>
    <t>Книга Дэвида Маккея «Information Theory, Inference, and Learning Algorithms» представляет собой междисциплинарный учебник, объединяющий теорию информации, байесовский вывод и машинное обучение. Ключевые разделы охватывают сжатие данных, кодирование для зашумленных каналов, вероятностные методы (включая Монте-Карло и вариационные подходы), нейронные сети и разреженные графовые коды. Издание предназначено для студентов старших курсов, аспирантов и специалистов в области компьютерных наук, математики и инженерии, обладающих базовыми знаниями в теории вероятностей.</t>
  </si>
  <si>
    <t>Machine Learning, Neural and Statistical Classification</t>
  </si>
  <si>
    <t>D. Michie; D.J. Spiegelhalter; C.C. Taylor</t>
  </si>
  <si>
    <t>1994</t>
  </si>
  <si>
    <t>Machine_Learning_Neural_And_Statistical_Classification 1994.pdf</t>
  </si>
  <si>
    <t>Книга «Machine Learning, Neural and Statistical Classification» (1994) под редакцией Мичи, Шпигельхальтера и Тейлора представляет собой обзор и сравнение трёх подходов к задаче классификации: статистических методов, машинного обучения и нейронных сетей. Ключевые разделы охватывают классические статистические методы (линейный, квадратичный и логистический дискриминанты), современные статистические техники (оценка плотности, k-ближайших соседей, наивный Байес) и машинное обучение на основе правил и деревьев решений (C4.5, CART, NewID). Издание предназначено для специалистов и исследователей в области анализа данных, уже знакомых с основами статистики и машинного обучения.</t>
  </si>
  <si>
    <t>Managing AI in the Enterprise: Succeeding with AI Projects and MLOps to Build Sustainable AI Organizations</t>
  </si>
  <si>
    <t>Klaus Haller</t>
  </si>
  <si>
    <t>Managing.AI.in.the.Enterprise.pdf</t>
  </si>
  <si>
    <t>Книга Клауса Халлера посвящена управлению проектами в области искусственного интеллекта и MLOps для создания устойчивых AI-организаций. В ней рассматриваются такие темы, как расчет бизнес-ценности AI, структурирование и доставка AI-проектов, а также преодоление организационных барьеров. Издание предназначено для специалистов среднего и продвинутого уровня, включая менеджеров, технических руководителей и практиков, стремящихся системно внедрять AI в корпоративную среду.</t>
  </si>
  <si>
    <t>OpenAI GPT For Python Developers</t>
  </si>
  <si>
    <t>OpenAI GPT For Python Developers (2).pdf</t>
  </si>
  <si>
    <t>Эта книга представляет собой практическое руководство по разработке интеллектуальных приложений на Python с использованием моделей OpenAI, таких как GPT-3, DALL·E 2, CLIP и Whisper. В ней подробно рассматриваются ключевые концепции, включая настройку среды разработки, работу с API, управление параметрами генерации текста (температура, токены, штрафы), а также примеры создания чат-ботов, извлечения ключевых слов и генерации контента. Издание ориентировано на разработчиков любого уровня — от новичков до опытных специалистов, желающих освоить интеграцию ИИ-моделей в свои проекты.</t>
  </si>
  <si>
    <t>Aymen El Amri @eon01</t>
  </si>
  <si>
    <t>OpenAI GPT For Python Developers.pdf</t>
  </si>
  <si>
    <t>Книга «OpenAI GPT For Python Developers» автора Aymen El Amri представляет собой практическое руководство по разработке интеллектуальных приложений с использованием моделей OpenAI, таких как GPT-3, DALL·E 2, CLIP и Whisper. В ней подробно рассматриваются ключевые концепции, включая настройку среды разработки, работу с API, управление параметрами генерации текста (температура, токены, штрафы), а также примеры создания чат-ботов, извлечения ключевых слов и генерации контента. Издание предназначено для разработчиков всех уровней — от новичков до опытных специалистов, желающих освоить интеграцию языковых моделей в Python-проекты.</t>
  </si>
  <si>
    <t>Основы искусственного интеллекта в примерах на Python</t>
  </si>
  <si>
    <t>Osnovy_iskusstvennogo_intellekta_v_primerakh_na_Python_2021_Postolit.pdf</t>
  </si>
  <si>
    <t>Книга представляет собой самоучитель по основам искусственного интеллекта с практическими примерами на языке Python. В ней рассматриваются базовые концепции ИИ, программная реализация нейронных сетей, а также работа со специализированными библиотеками, такими как PyBrain, Scikit-learn, Keras, TensorFlow, ImageAI и OpenCV. Материал включает установку инструментов, основы Python, создание и обучение нейросетей, а также распознавание объектов на изображениях. Издание предназначено для программистов начального и среднего уровня, желающих освоить практическое применение ИИ.</t>
  </si>
  <si>
    <t>Программируем коллективный разум</t>
  </si>
  <si>
    <t>Тоби Сегаран</t>
  </si>
  <si>
    <t>Programmiruem_kollektivny_razum.pdf</t>
  </si>
  <si>
    <t>Книга Тоби Сегарана «Программируем коллективный разум» представляет собой практическое руководство по созданию интеллектуальных приложений для Web 2.0, которые способны собирать и анализировать большие массивы данных из интернета. В ней рассматриваются ключевые концепции машинного обучения, такие как коллаборативная фильтрация, кластеризация (включая иерархическую и метод K-средних), а также построение поисковых систем с ранжированием. Издание предназначено для программистов, имеющих опыт разработки, но не требует специальных знаний в области анализа данных или статистики, предлагая практические примеры и задания для освоения алгоритмов.</t>
  </si>
  <si>
    <t>Python Artificial Intelligence Projects for Beginners</t>
  </si>
  <si>
    <t>Joshua Eckroth</t>
  </si>
  <si>
    <t>Python_Artificial_Intelligence_Projects_for_Beginners_Get_up_and.pdf</t>
  </si>
  <si>
    <t>Эта книга представляет собой практическое руководство по созданию проектов в области искусственного интеллекта на языке Python. В ней рассматриваются такие ключевые концепции, как деревья решений, случайные леса, нейронные сети и глубокое обучение, с примерами прогнозирования успеваемости студентов, классификации спама и распознавания видов птиц. Издание предназначено для Python-разработчиков начального уровня, желающих сделать первые шаги в мире искусственного интеллекта.</t>
  </si>
  <si>
    <t>Rassel_S__Norvig_P4ed-figs.pdf</t>
  </si>
  <si>
    <t>Этот фрагмент из книги «Искусственный интеллект: современный подход» (Russell &amp; Norvig, 4-е издание) посвящён введению в тему интеллектуальных агентов и основам ИИ. Ключевые концепции включают сравнение вычислительной мощности мозга и компьютеров, описание структуры нейронов, а также классификацию агентов по схеме PEAS (Performance, Environment, Actuators, Sensors) на примерах от такси до медицинской диагностики. Книга предназначена для студентов и специалистов, имеющих базовую подготовку в области компьютерных наук.</t>
  </si>
  <si>
    <t>Software Engineer's Guide to Deep Learning System Design</t>
  </si>
  <si>
    <t>Software_Engineers_Guide_to_DL_System_Design.pdf</t>
  </si>
  <si>
    <t>Эта книга представляет собой руководство для инженеров-программистов и специалистов по данным, желающих перейти к проектированию и разработке систем глубокого обучения. Авторы последовательно разбирают ключевые компоненты такой системы: от управления данными и тренировки моделей до их развертывания и оркестрации рабочих процессов, уделяя особое внимание принципам, а не конкретным инструментам. Материал рассчитан на читателей с базовыми знаниями компьютерных наук, но будет полезен и менеджерам для понимания работы систем глубокого обучения.</t>
  </si>
  <si>
    <t>Artificial Intelligence: A Modern Approach</t>
  </si>
  <si>
    <t>Stuart J. Russell; Peter Norvig</t>
  </si>
  <si>
    <t>Stuart_Russel_Peter_Norwig_Artificial_Intelligence_a_Modern_Approach.pdf</t>
  </si>
  <si>
    <t>Это четвёртое издание фундаментального учебника по искусственному интеллекту, охватывающее весь спектр дисциплины: от логики и вероятностей до восприятия, обучения и действий. Ключевые обновления включают углублённое рассмотрение машинного обучения, глубокого обучения, вероятностного программирования, мультиагентных систем, а также вопросов этики, безопасности и доверия к ИИ. Книга предназначена для студентов и специалистов, имеющих базовую подготовку, и предлагает современный взгляд на создание интеллектуальных агентов, которые учатся действовать в условиях неопределённости относительно целей человека.</t>
  </si>
  <si>
    <t>Synthetic Data and Generative AI</t>
  </si>
  <si>
    <t>Vincent Granville</t>
  </si>
  <si>
    <t>Synthetic Data and Generative AI_True.pdf</t>
  </si>
  <si>
    <t>Книга Винсента Гранвиля «Synthetic Data and Generative AI» (2024) посвящена методам создания и использования синтетических данных, а также генеративному искусственному интеллекту. Ключевые разделы охватывают машинное обучение, регрессию, ансамблевые методы (включая скрытые деревья решений), линейную алгебру для синтетических временных рядов и практические примеры, такие как подбор окружностей и анализ океанских приливов. Издание предназначено для специалистов и практиков в области Data Science, владеющих Python и MATLAB, а также интересующихся продвинутыми статистическими и оптимизационными подходами.</t>
  </si>
  <si>
    <t>The Smiling Chatbot: Investigating Emotional Contagion in Human-to-Chatbot Service Interactions</t>
  </si>
  <si>
    <t>Konstantin Prinz</t>
  </si>
  <si>
    <t>Springer Fachmedien Wiesbaden</t>
  </si>
  <si>
    <t>The Smiling Chatbot.pdf</t>
  </si>
  <si>
    <t>Данная диссертация Константина Принца посвящена исследованию эмоционального заражения (emotional contagion) в сервисных взаимодействиях между человеком и чат-ботом. Ключевая концепция работы заключается в том, что чат-бот, демонстрируя положительные эмоции, способен передавать их пользователю, что улучшает оценку сервиса, при этом эффективность зависит от личности клиента и внешнего вида аватара. Книга основана на шести последовательных исследованиях и предназначена для специалистов в области сервисных технологий, искусственного интеллекта и человеко-компьютерного взаимодействия.</t>
  </si>
  <si>
    <t>The Art of AI Product Development</t>
  </si>
  <si>
    <t>Janna Lipenkova</t>
  </si>
  <si>
    <t>The_Art_of_AI_Product_Development_Delivering_business_value_with.pdf</t>
  </si>
  <si>
    <t>Книга «The Art of AI Product Development» Джанны Липенковой посвящена созданию AI-продуктов, приносящих бизнес-ценность. Она охватывает три ключевых этапа: Discovery (поиск и приоритизация AI-возможностей), Development (разработка, включая предиктивный AI, языковые модели, промпт-инжиниринг и агентный AI) и Adoption (внедрение, UX для работы с неопределенностью и управление AI). Издание предназначено для специалистов, уже знакомых с основами машинного обучения, которые хотят системно подойти к разработке и развертыванию AI-решений.</t>
  </si>
  <si>
    <t>The Elements of Statistical Learning: Data Mining, Inference, and Prediction</t>
  </si>
  <si>
    <t>Trevor Hastie; Robert Tibshirani; Jerome Friedman</t>
  </si>
  <si>
    <t>The_Elements_Of_Statistical_Learning_Data_Mining_Inference_and_Prediction.pdf</t>
  </si>
  <si>
    <t>Книга «The Elements of Statistical Learning» представляет собой фундаментальный учебник по статистическому обучению, охватывающий методы анализа данных, машинного обучения и прогнозирования. Второе издание включает новые главы, посвящённые случайным лесам, ансамблевым методам, неориентированным графовым моделям и задачам с высокой размерностью, а также обновлённые разделы по регуляризации, ядерным методам и кластеризации. Книга предназначена для специалистов и исследователей в области статистики, компьютерных наук и смежных дисциплин, имеющих базовую математическую подготовку.</t>
  </si>
  <si>
    <t>Автономный искусственный интеллект</t>
  </si>
  <si>
    <t>А. А. Жданов</t>
  </si>
  <si>
    <t>Автономный ИИ.pdf</t>
  </si>
  <si>
    <t>Книга А. А. Жданова посвящена моделированию нервных систем с целью создания «автономного искусственного интеллекта» — систем, способных к самостоятельному поведению, подобно живым организмам. Ключевые концепции включают логико-рациональный подход к устройству нервной системы, анализ работы нейрона, а также методы построения адаптивных систем управления на основе эмпирических знаний и динамической оптимизации. Издание предназначено для научных работников, аспирантов и студентов, интересующихся кибернетикой, а также для специалистов по системам управления, биологов и математиков.</t>
  </si>
  <si>
    <t>Агентный искусственный интеллект. Руководство по трансформации бизнеса</t>
  </si>
  <si>
    <t>Паскаль Борне; Йохен Виртц; Томас Х. Давенпорт; Дэвид Де Кремер; Брайан Эвергрин; Фил Фершт; Ракеш Гохел; Шаил Кхийара</t>
  </si>
  <si>
    <t>Агентный искусственный интеллект..pdf</t>
  </si>
  <si>
    <t>Книга Паскаля Борне и соавторов посвящена агентному искусственному интеллекту — новому поколению ИИ, способному не только генерировать контент, но и самостоятельно принимать решения и действовать. В первой части рассматривается эволюция от ChatGPT к автономным агентам, их пять уровней развития и внутреннее устройство, а вторая часть фокусируется на практических аспектах, таких как обучение ИИ действиям и работе с инструментами. Издание предназначено для лидеров бизнеса, профессионалов и предпринимателей, стремящихся понять, как адаптироваться к новой реальности сотрудничества человека и ИИ-агентов.</t>
  </si>
  <si>
    <t>Bayesian Reasoning and Machine Learning</t>
  </si>
  <si>
    <t>David Barber</t>
  </si>
  <si>
    <t>Барбер Bayesian_Reasoning_and_Machine_Learning2007-2010.pdf</t>
  </si>
  <si>
    <t>Книга Дэвида Барбера «Bayesian Reasoning and Machine Learning» посвящена вероятностным аспектам обработки информации и машинного обучения, с особым акцентом на байесовский подход и использование графовых моделей для работы с неопределённостью. В начале книги представлен список обозначений, охватывающий ключевые понятия теории вероятностей, такие как условная вероятность, независимость, индикаторные функции и дельта-функции, а также термины из области графовых моделей (родители, дети, соседи узла). Основная цель первой части — познакомить студентов компьютерных наук с вероятностным мышлением, проводя параллели с логическим выводом и динамическим программированием, чтобы преодолеть их возможные трудности с математическим аппаратом. Книга предназначена для исследователей и студентов, уже знакомых с основами машинного обучения, но при этом изложение начинается с базовых принципов, чтобы сделать материал доступным для начинающих специалистов.</t>
  </si>
  <si>
    <t>Разум машины и математика. Искусственный интеллект</t>
  </si>
  <si>
    <t>Белда</t>
  </si>
  <si>
    <t>Белда Razum_mashiny_i_matematika_Iskusstvenny_intel.pdf</t>
  </si>
  <si>
    <t>Книга посвящена взаимосвязи математики, машинного обучения и искусственного интеллекта, исследуя, как математические модели лежат в основе «разума» машин. Ключевые концепции включают вероятностное программирование, байесовский вывод и математическую логику, используемые для анализа данных и построения интеллектуальных систем. Издание рассчитано на читателей с базовым математическим образованием, интересующихся фундаментальными принципами ИИ, но не требует глубоких знаний в области Data Science.</t>
  </si>
  <si>
    <t>Введение в искусственный интеллект</t>
  </si>
  <si>
    <t>А.В. Остроух</t>
  </si>
  <si>
    <t>Научно-инновационный центр</t>
  </si>
  <si>
    <t>Введение в ИИ.pdf</t>
  </si>
  <si>
    <t>Монография А.В. Остроуха посвящена концептуальным основам и методам представления знаний в системах искусственного интеллекта. В книге рассматриваются классификация систем ИИ, модели представления знаний (включая логические и семантические), а также методы решения задач, такие как поиск в пространстве состояний и метод резолюций. Отдельное внимание уделено технологиям экспертных систем и представлению неопределенности знаний. Издание предназначено для студентов, аспирантов и научных сотрудников, изучающих и разрабатывающих системы искусственного интеллекта в области информатики и вычислительной техники.</t>
  </si>
  <si>
    <t>Виртуальная реальность</t>
  </si>
  <si>
    <t>Паршукова Н.Б.</t>
  </si>
  <si>
    <t>Изд-во Южно-Урал. гос. гуманит.-пед. ун-та</t>
  </si>
  <si>
    <t>Виртуальная реальность.pdf</t>
  </si>
  <si>
    <t>Учебное пособие посвящено основам технологии виртуальной реальности (VR и AR), включая теоретические аспекты разработки, создание 3D-графики, физику виртуальных миров и искусственный интеллект. Ключевые разделы охватывают сферы применения VR, программно-аппаратную реализацию ощущений, а также лабораторный практикум по программированию в среде Alice. Книга предназначена для студентов педагогических и технических направлений (бакалавриат и магистратура), изучающих информатику и информационные системы, то есть для новичков и обучающихся начального уровня.</t>
  </si>
  <si>
    <t>Генеративный искусственный интеллект</t>
  </si>
  <si>
    <t>Р. В. Душкин</t>
  </si>
  <si>
    <t>Генеративный искусственный интеллект.pdf</t>
  </si>
  <si>
    <t>Книга Р. В. Душкина «Генеративный искусственный интеллект» представляет собой введение в технологии генеративного ИИ, объясняя их основы, архитектуры (включая трансформеры и диффузионные модели) и роль больших моделей. Издание охватывает теоретические основы, историю развития, философские и этические аспекты, а также прогнозы влияния технологии на бизнес и общество. Книга адресована широкой аудитории, включая новичков, и требует лишь начального знакомства с искусственным интеллектом.</t>
  </si>
  <si>
    <t>Генетические алгоритмы на Python</t>
  </si>
  <si>
    <t>Эйял Вирсански</t>
  </si>
  <si>
    <t>Генетические_алгоритмы_на_Python 2020.pdf</t>
  </si>
  <si>
    <t>Книга посвящена применению генетических алгоритмов для решения задач глубокого обучения и искусственного интеллекта. В ней объясняются ключевые концепции, такие как генотип, популяция, функция приспособленности, отбор, скрещивание и мутация, а также рассматриваются теоретические основы (теорема о схемах), преимущества и ограничения метода. Издание предназначено для программистов, специалистов по обработке данных и энтузиастов ИИ, владеющих Python на рабочем уровне и имеющих базовые знания математики и информатики.</t>
  </si>
  <si>
    <t>Грокаем алгоритмы искусственного интеллекта.pdf</t>
  </si>
  <si>
    <t>Книга «Грокаем алгоритмы искусственного интеллекта» представляет собой введение в фундаментальные концепции и алгоритмы ИИ, объясняя, как они обрабатывают данные для решения задач. Ключевые разделы охватывают основы и умный поиск, эволюционные алгоритмы, роевой интеллект, искусственные нейронные сети, машинное обучение и обучение с подкреплением. Издание предназначено для новичков, интересующихся ИИ, и требует лишь знания алгебры на уровне старших классов школы.</t>
  </si>
  <si>
    <t>БИНОМ. Лаборатория знаний</t>
  </si>
  <si>
    <t>Жданов_А_Автономный_искусственный_интеллект_4_е_издание_Адаптивные.pdf</t>
  </si>
  <si>
    <t>Книга Александра Жданова посвящена моделированию нервных систем и созданию «автономного искусственного интеллекта» — систем, которые, в отличие от традиционных программ, обладают собственными потребностями и целями, подобно живым организмам. Автор рассматривает логически-рациональный подход к устройству нейронных сетей, способы построения адаптивных систем управления на основе эмпирических знаний и представляет прототипы прикладных систем. Издание предназначено для научных работников, аспирантов и студентов, интересующихся кибернетикой, а также для специалистов по системам управления, биологов и математиков.</t>
  </si>
  <si>
    <t>ИИ-2041. Десять образов нашего будущего</t>
  </si>
  <si>
    <t>Кай-Фу Ли; Чэнь Цюфань</t>
  </si>
  <si>
    <t>ИИ 10 образов нашего будущего.pdf</t>
  </si>
  <si>
    <t>Книга «ИИ-2041. Десять образов нашего будущего» представляет собой совместный труд эксперта по ИИ Кай-Фу Ли и писателя-фантаста Чэня Цюфаня, посвященный тому, как искусственный интеллект изменит жизнь человечества к 2041 году. Каждая из десяти глав сочетает художественный рассказ с аналитическим разбором ключевых технологий: глубокое обучение, компьютерное зрение, обработка естественного языка, автономный транспорт, квантовые вычисления и этические вопросы, такие как конфиденциальность данных и влияние ИИ на рынок труда. Книга предназначена для широкой аудитории — от новичков, интересующихся будущим технологий, до специалистов, желающих увидеть практические сценарии развития ИИ.</t>
  </si>
  <si>
    <t>Artificial Intelligence in STEM Education: The Paradigmatic Shifts in Research, Education, and Technology</t>
  </si>
  <si>
    <t>Fan Ouyang; Pengcheng Jiao; Bruce M. McLaren; Amir H. Alavi</t>
  </si>
  <si>
    <t>ИИ в обучении (англ).pdf</t>
  </si>
  <si>
    <t>Эта книга под редакцией Фан Оуяна и соавторов посвящена парадигмальным сдвигам в использовании искусственного интеллекта в STEM-образовании на уровнях от школьного до профессионального. В 23 главах сборника анализируются причины и механизмы этих изменений, а также рассматриваются AI-технологии для персонализированного обучения, преподавания и проектирования учебных программ. Издание предназначено для исследователей, педагогов, студентов, дизайнеров и инженеров, интересующихся возможностями и вызовами внедрения ИИ в образование.</t>
  </si>
  <si>
    <t>Искусственный интеллект для чайников</t>
  </si>
  <si>
    <t>ИИ для чайников.pdf</t>
  </si>
  <si>
    <t>Книга «Искусственный интеллект для чайников» Джона Пола Мюллера и Луки Массарона представляет собой вводное руководство по искусственному интеллекту, его роли в обществе, программным и аппаратным приложениям, а также будущим перспективам. Ключевые разделы охватывают определение ИИ, работу с данными, алгоритмы машинного и глубокого обучения, а также практическое применение в робототехнике, дронах и беспилотных автомобилях. Издание предназначено для новичков, желающих получить базовое понимание технологий ИИ без углубления в сложные технические детали.</t>
  </si>
  <si>
    <t>Artificial Intelligence with Python</t>
  </si>
  <si>
    <t>Prateek Joshi</t>
  </si>
  <si>
    <t>ИИ с примерами на_Python_2019.pdf</t>
  </si>
  <si>
    <t>Книга Пратика Джоши «Искусственный интеллект с примерами на Python» представляет собой практическое руководство по созданию реальных приложений ИИ с использованием языка Python. В ней рассматриваются ключевые концепции машинного обучения, включая обучение с учителем и без учителя, ансамблевые методы, нейронные сети, обработку естественного языка и распознавание речи. Издание предназначено для разработчиков и специалистов, уже знакомых с основами программирования, которые хотят углубить свои знания в области искусственного интеллекта и применить их на практике.</t>
  </si>
  <si>
    <t>Искусственный интеллект: современный подход</t>
  </si>
  <si>
    <t>ИИ современный подход, 4-е изд. в 3-х томах.zip</t>
  </si>
  <si>
    <t>Данный фрагмент представляет собой часть учебника «Искусственный интеллект: современный подход» (4-е издание), который является фундаментальным трудом, охватывающим всю область искусственного интеллекта. Ключевые концепции книги включают агентный подход, методы поиска, машинное обучение, обработку естественного языка и робототехнику. Издание предназначено для студентов старших курсов, аспирантов и специалистов, уже имеющих базовую подготовку в области компьютерных наук.</t>
  </si>
  <si>
    <t>Интеллектуальные системы: учебник</t>
  </si>
  <si>
    <t>Л. Н. Ясницкий</t>
  </si>
  <si>
    <t>Интеллектуальные системы.pdf</t>
  </si>
  <si>
    <t>Учебник Л. Н. Ясницкого посвящен научной области «искусственный интеллект» и методам создания интеллектуальных систем. В книге рассматриваются три основных стратегических подхода: технология экспертных систем, нейронных сетей и эволюционного моделирования, а также модели представления знаний и примеры их применения для анализа данных. Издание предназначено для студентов высших учебных заведений технического профиля, изучающих фундаментальную информатику и информационные технологии.</t>
  </si>
  <si>
    <t>Интеллектуальные технологии проектирования искусственного интеллекта</t>
  </si>
  <si>
    <t>К. Т. Пазюк; Т. А. Серебрякова; С. С. Кутафьева</t>
  </si>
  <si>
    <t>Издательство ТОГУ</t>
  </si>
  <si>
    <t>Интеллектуальные_технологии_проектирования_ИИ.pdf</t>
  </si>
  <si>
    <t>Монография посвящена концептуальным вопросам моделирования искусственного интеллекта и разработке субкультуры проектирования ментальной организации знаний. Ключевые разделы охватывают анатомию интеллекта, креативные подходы к проектированию интеллектуальных информационных систем и актуальные проблемы инженерии знаний. Книга предназначена для студентов, преподавателей, научных работников и специалистов в области управления, а также может использоваться как пособие по проектированию интеллектуальных систем в социологии.</t>
  </si>
  <si>
    <t>Искусственный интеллект в комиксах</t>
  </si>
  <si>
    <t>Генри Брайтон</t>
  </si>
  <si>
    <t>Искусственный_интеллект_в_комиксах.pdf</t>
  </si>
  <si>
    <t>Книга «Искусственный интеллект в комиксах» Генри Брайтона в доступной графической форме знакомит читателя с основами, историей и философскими вопросами искусственного интеллекта. В ней рассматриваются ключевые концепции, такие как понятие «агента» (физического или программного), различие между сильным и слабым ИИ, а также практические применения технологий — от шахматных программ до систем безопасности и медицины. Издание предназначено для новичков и всех, кто хочет понять, как работает ИИ, его этику и механику, без углублённой технической подготовки.</t>
  </si>
  <si>
    <t>Artificial Intelligence For Dummies</t>
  </si>
  <si>
    <t>Искусственный иттеллект для_чайников.pdf</t>
  </si>
  <si>
    <t>Книга «Искусственный интеллект для чайников» представляет собой вводное руководство по основам ИИ, его применению в обществе, медицине, робототехнике и беспилотных технологиях. Ключевые разделы охватывают роль данных, алгоритмы машинного и глубокого обучения, специализированное аппаратное обеспечение, а также будущее ИИ и ограничения его возможностей. Издание предназначено для новичков, желающих получить базовое понимание темы без углубления в технические детали.</t>
  </si>
  <si>
    <t>Искусственный интеллект на практике. 50 кейсов успешных компаний</t>
  </si>
  <si>
    <t>Бернард Марр; Мэтт Уорд</t>
  </si>
  <si>
    <t>Искусственный_интеллект_на_практике_50_кейсов.pdf</t>
  </si>
  <si>
    <t>Книга Бернарда Марра и Мэтта Уорда посвящена практическому применению искусственного интеллекта в современном бизнесе и содержит 50 реальных кейсов успешных компаний, от стартапов до гигантов вроде Google и Amazon. Авторы объясняют, что ИИ — это способность машин учиться и действовать самостоятельно, и подчеркивают его стратегическую важность, цитируя мировых лидеров и глав корпораций. Ключевые разделы включают предисловие о роли ИИ как «мощнейшей технологии человечества» и обзор того, как компании используют его для общения с клиентами, автоматизации и создания новых продуктов. Книга предназначена для широкой аудитории, включая новичков, так как содержит минимум технических подробностей, но при этом сохраняет детали, полезные для профессионалов.</t>
  </si>
  <si>
    <t>Искусственный интеллект. Перезагрузка</t>
  </si>
  <si>
    <t>Гэри; Эрни</t>
  </si>
  <si>
    <t>Искусственный_интеллект_Перезагрузка.pdf</t>
  </si>
  <si>
    <t>Книга посвящена критическому анализу обещаний и реальных достижений в области искусственного интеллекта, разоблачая завышенные ожидания, которые сопровождают эту сферу с 1950-х годов. Авторы на примерах беспилотных автомобилей, системы IBM Watson и чат-ботов показывают, что заявления о скором создании универсального ИИ не соответствуют действительности, а текущие технологии далеки от гибкости человеческого мышления. Ключевая концепция — разрыв между амбициозными прогнозами (вплоть до превосходства ИИ над человеком к 2029 году) и реальным положением дел, где даже узкоспециализированные системы допускают грубые ошибки. Книга предназначена для широкой аудитории, включая новичков, интересующихся реалистичной оценкой возможностей современного ИИ.</t>
  </si>
  <si>
    <t>Искусственный_интеллект_с_примерами_на_Python.pdf</t>
  </si>
  <si>
    <t>Книга Пратика Джоши «Искусственный интеллект с примерами на Python» представляет собой практическое руководство по созданию реальных приложений ИИ с использованием языка Python. В ней рассматриваются ключевые концепции и разделы, такие как обучение с учителем и без учителя, ансамблевое обучение, обработка естественного языка, нейронные сети и глубокое обучение. Издание предназначено для программистов и специалистов, уже имеющих базовые знания Python, которые хотят освоить практические методы искусственного интеллекта.</t>
  </si>
  <si>
    <t>Искусственный интеллект – для вашего бизнеса</t>
  </si>
  <si>
    <t>Искусственный_интеллект_–_для_вашего_бизнеса_.pdf</t>
  </si>
  <si>
    <t>Этот фрагмент книги посвящён практическому применению искусственного интеллекта в бизнесе и повседневной жизни. Автор делится личным опытом, объясняет разницу между узкоспециализированным и универсальным ИИ, а также приводит примеры автоматизации рутинных задач (например, обработка писем в Virgin Trains). В тексте затрагиваются этические вопросы (безработица, конфиденциальность) и ближайшие цели, такие как распознавание эмоций по голосу. Книга ориентирована на новичков и предпринимателей, которые хотят понять, как внедрять ИИ для повышения эффективности.</t>
  </si>
  <si>
    <t>Искусственный интеллект</t>
  </si>
  <si>
    <t>Душкин Роман</t>
  </si>
  <si>
    <t>Исусственный интеллект Душкин 2019.pdf</t>
  </si>
  <si>
    <t>Книга Романа Душкина представляет собой исчерпывающее описание современного состояния технологий искусственного интеллекта и сфер их применения, с акцентом на гуманитарную составляющую и развенчание мифов. Ключевые разделы включают историю развития ИИ, три столпа (символьные вычисления, нейронные сети, эволюционные алгоритмы), современные технологии (машинное обучение, обработка языка, робототехника), философию сознания и практическое применение в различных отраслях. Издание предназначено для широкой аудитории, желающей быстро погрузиться в тему, освоить базовую терминологию и основные методы, от новичков до специалистов.</t>
  </si>
  <si>
    <t>Книга Интеллектуальные системы.pdf</t>
  </si>
  <si>
    <t>Учебник Л. Н. Ясницкого посвящен истории, теории и практике создания интеллектуальных систем в области искусственного интеллекта. В книге рассматриваются три ключевых подхода: технология экспертных систем, нейронных сетей и эволюционного моделирования, а также модели представления знаний и примеры их применения для анализа данных в различных сферах. Издание предназначено для студентов высших учебных заведений технического профиля, осваивающих фундаментальную информатику и информационные технологии.</t>
  </si>
  <si>
    <t>Машинное обучение с участием человека</t>
  </si>
  <si>
    <t>Роберт (Манро) Монарх</t>
  </si>
  <si>
    <t>Машинное_обучение_с_участием_человека_2022_Роберт_Манро_Монарх.pdf</t>
  </si>
  <si>
    <t>Книга Роберта Монарха посвящена методологии машинного обучения с участием человека (Human-in-the-Loop), где акцент сделан не на алгоритмах, а на работе с данными: их разметке, аннотировании и контроле качества. Ключевые разделы охватывают стратегии активного обучения (выборка неопределенности и разнообразия), методы аннотирования и проектирование интерфейсов для взаимодействия человека и ИИ. Издание предназначено для специалистов по данным, разработчиков и новичков, делающих первые шаги в машинном обучении.</t>
  </si>
  <si>
    <t>Машинный интеллект</t>
  </si>
  <si>
    <t>Машинный интеллект.pdf</t>
  </si>
  <si>
    <t>Книга посвящена основам машинного интеллекта и его роли в современной науке о данных. В ней рассматриваются ключевые концепции, такие как обучение с учителем и без учителя, нейронные сети и алгоритмы обработки больших данных. Издание предназначено для начинающих специалистов и студентов, желающих систематизировать знания в области ИИ и машинного обучения.</t>
  </si>
  <si>
    <t>Искусственный интеллект. Этапы. Угрозы. Стратегии</t>
  </si>
  <si>
    <t>Ник Бостром</t>
  </si>
  <si>
    <t>Ник Бостром Искусственный интеллект.pdf</t>
  </si>
  <si>
    <t>Книга Ника Бострома посвящена анализу рисков и стратегий, связанных с возможным появлением сверхразумного искусственного интеллекта, который может превзойти человеческий интеллект. Автор рассматривает этапы развития ИИ, типы сверхразума (скоростной, коллективный, качественный) и динамику его потенциально взрывного развития, а также обсуждает проблему контроля и решающего стратегического преимущества. Ключевые разделы включают анализ прошлых достижений, пути к сверхразуму и сценарии будущего. Книга предназначена для широкого круга читателей, интересующихся будущим технологий, от новичков до специалистов в области ИИ и философии.</t>
  </si>
  <si>
    <t>Introduction to Machine Learning</t>
  </si>
  <si>
    <t>Nils J. Nilsson</t>
  </si>
  <si>
    <t>1998</t>
  </si>
  <si>
    <t>Нильсон Introduction_To_Machine_Learning_proglib-1998.pdf</t>
  </si>
  <si>
    <t>Этот фрагмент представляет собой ранний черновик учебника Нильса Нильссона «Введение в машинное обучение» (1998 г.). Книга охватывает фундаментальные темы, включая булевы функции, обучение на основе версионных пространств, нейронные сети (включая обратное распространение ошибки), статистическое обучение и деревья решений. Материал предназначен для читателей, уже знакомых с основами информатики и математики, то есть для студентов и специалистов начального и среднего уровня.</t>
  </si>
  <si>
    <t>Основы ИИ</t>
  </si>
  <si>
    <t>Основы ИИ.pdf</t>
  </si>
  <si>
    <t>Книга посвящена основам искусственного интеллекта, машинного обучения и науки о данных, охватывая базовые концепции и методы этих областей. В ней рассматриваются ключевые разделы, такие как типы машинного обучения, работа с данными и построение прогностических моделей. Издание ориентировано на новичков, желающих получить систематизированное введение в тему без глубокого погружения в математический аппарат.</t>
  </si>
  <si>
    <t>Основы искусственного интеллекта в примерах на Python_2021_Postolit.pdf</t>
  </si>
  <si>
    <t>Книга представляет собой самоучитель по основам искусственного интеллекта с практическими примерами на языке Python. В ней рассматриваются базовые конструкции Python, принципы построения нейронных сетей и работа со специализированными библиотеками, такими как PyBrain, Scikit-learn, Keras, TensorFlow, а также инструменты для обработки изображений ImageAI и OpenCV. Издание предназначено для программистов начального и среднего уровня, желающих освоить создание приложений ИИ.</t>
  </si>
  <si>
    <t>Поиск на основе искусственного интеллекта</t>
  </si>
  <si>
    <t>Трей Грейнджер; Дуг Тернбулл; Макс Ирвин</t>
  </si>
  <si>
    <t>Поиск на основе искусственного интеллекта.pdf</t>
  </si>
  <si>
    <t>Книга «Поиск на основе искусственного интеллекта» посвящена разработке современных поисковых систем, выходящих за рамки простого сопоставления запросов и использующих ИИ для автоматического обучения на основе контента и взаимодействия с пользователем. В ней рассматриваются такие ключевые концепции, как работа с естественным языком, графы знаний, семантический поиск, персонализация, обучение ранжированию и применение больших языковых моделей. Издание предназначено для специалистов, занимающихся разработкой и внедрением поисковых систем различного масштаба, а также для всех, кто хочет повысить свою профессиональную эрудицию в этой области.</t>
  </si>
  <si>
    <t>Романтика искусственного интеллекта</t>
  </si>
  <si>
    <t>Потопахин В.В.</t>
  </si>
  <si>
    <t>Потопахин Романтика искусственного интеллекта.pdf</t>
  </si>
  <si>
    <t>Книга В. В. Потопахина посвящена исследованию искусственного интеллекта: его возможностям, текущим достижениям и перспективам, а также вопросам о том, может ли машина стать разумным партнёром человека. В работе рассматриваются ключевые концепции, такие как критерий Тьюринга, формализация мышления, эвристические алгоритмы, игровые стратегии (дерево перебора, минимакс), обучаемые системы и нейросетевые архитектуры (перцептрон, сети Кохонена). Издание предназначено для широкого круга читателей, интересующихся вопросами ИИ, и не требует глубокой специальной подготовки.</t>
  </si>
  <si>
    <t>Разработка+приложений+на+базе+GPT-4+и+ChatGPT.pdf</t>
  </si>
  <si>
    <t>Эта книга представляет собой практическое руководство для Python-разработчиков по созданию приложений с использованием больших языковых моделей GPT-4 и ChatGPT. В ней рассматриваются основы работы LLM и NLP, архитектура трансформеров, токенизация, а также эволюция моделей от GPT-1 до GPT-4. Отдельные главы посвящены работе с API, разработке чат-ботов и генераторов контента, а также продвинутым техникам, включая интеграцию с фреймворком LangChain и плагинами. Издание ориентировано на разработчиков, уже знакомых с Python, которые хотят освоить применение LLM в своих проектах.</t>
  </si>
  <si>
    <t>Building Machine Learning Systems with Python</t>
  </si>
  <si>
    <t>Luis Pedro Coelho; Willi Richert</t>
  </si>
  <si>
    <t>ИИ/Основы ML</t>
  </si>
  <si>
    <t>Основы ML</t>
  </si>
  <si>
    <t>Ричерт Луис Педро Building-machine-learning-systems-with-python_proglib 2013-2015.pdf</t>
  </si>
  <si>
    <t>Это фрагмент титульной страницы и выходных данных книги «Building Machine Learning Systems with Python» (второе издание), авторами которой являются Луис Педро Коэльо и Вилли Рихерт. Книга посвящена практическому созданию систем машинного обучения с использованием Python, охватывая такие темы, как обработка данных, применение различных алгоритмов и интеграция моделей в реальные проекты. Издание предназначено для специалистов, уже имеющих базовые знания в программировании на Python и желающих углубиться в практическое применение машинного обучения для анализа данных.</t>
  </si>
  <si>
    <t>Сильный искусственный интеллект : На подступах к сверхразуму</t>
  </si>
  <si>
    <t>Александр Ведяхин</t>
  </si>
  <si>
    <t>Интеллектуальная Литература</t>
  </si>
  <si>
    <t>Сильный ИИ.pdf</t>
  </si>
  <si>
    <t>Книга «Сильный искусственный интеллект: На подступах к сверхразуму» представляет собой первый русскоязычный кросс-дисциплинарный гид по Общему искусственному интеллекту (AGI), который, в отличие от узких нейросетей, способен решать широкий круг задач. В ней рассматриваются история развития ИИ, критерии распознавания AGI, основные научные направления (от глубокого обучения до когнитивистики) и варианты его практического воплощения. Издание предназначено для широкой аудитории, интересующейся будущим технологий, включая как новичков, так и специалистов, стремящихся понять подходы к созданию сильного ИИ.</t>
  </si>
  <si>
    <t>Системы ИИ</t>
  </si>
  <si>
    <t>Системы ИИ.pdf</t>
  </si>
  <si>
    <t>Данная книга посвящена системам искусственного интеллекта, охватывая как теоретические основы, так и практические аспекты их построения. В ней рассматриваются ключевые концепции машинного обучения, нейронных сетей и обработки данных, а также разделы, посвященные архитектуре ИИ-систем и их применению. Издание ориентировано на специалистов и студентов, уже имеющих базовые знания в области программирования и математики, и стремящихся углубить понимание современных подходов к созданию ИИ.</t>
  </si>
  <si>
    <t>Машинное обучение. Наука и искусство построения алгоритмов - знания из данных</t>
  </si>
  <si>
    <t>Флах П.</t>
  </si>
  <si>
    <t>Флах П. - Машинное обучение. Наука и искусство построения алгоритмов - знания из данных - 2015.PDF</t>
  </si>
  <si>
    <t>Книга Питера Флаха «Машинное обучение. Наука и искусство построения алгоритмов» посвящена фундаментальным принципам и практическим алгоритмам машинного обучения, рассматривая его как науку о выявлении закономерностей в данных. В ней подробно разбираются ключевые концепции, такие как вероятностное и байесовское обучение, деревья решений, линейные модели, а также методы оценки и сравнения моделей. Издание ориентировано на студентов технических специальностей и специалистов, уже знакомых с основами математики и программирования, стремящихся к глубокому пониманию алгоритмов, а не просто к их поверхностному применению.</t>
  </si>
  <si>
    <t>Демон внутри. Анатомия искусственного интеллекта</t>
  </si>
  <si>
    <t>Шнуренко, Игорь</t>
  </si>
  <si>
    <t>Издательство «Наше завтра»</t>
  </si>
  <si>
    <t>Шнуренко_Демон внутри_2020.pdf</t>
  </si>
  <si>
    <t>Книга Игоря Шнуренко «Демон внутри» посвящена критическому анализу индустрии искусственного интеллекта, который, по мнению автора, вместо освобождения человечества привел к новому, более циничному рабству и атомизации общества. Ключевые концепции включают рассмотрение ИИ как пирамиды из ресурсов и подневольного труда, а также обсуждение рисков тотальной слежки, манипуляции эмоциями и утраты человеческой субъективности в гонке за технологическим господством. Книга предназначена для широкого круга читателей, включая новичков, интересующихся философскими и социальными последствиями развития технологий.</t>
  </si>
  <si>
    <t>Ясницкий  Интеллектуальные системы.pdf</t>
  </si>
  <si>
    <t>Учебник Л. Н. Ясницкого посвящен истории, теории и практическому применению искусственного интеллекта и интеллектуальных систем. В книге подробно рассматриваются три ключевых подхода к их созданию: экспертные системы, нейронные сети и эволюционное моделирование, а также модели представления знаний. Издание предназначено для студентов высших учебных заведений технического профиля, изучающих фундаментальную информатику и информационные технологии, и может служить руководством для освоения технологий создания нейросетевых систем.</t>
  </si>
  <si>
    <t>Machine Learning Refined: Foundations, Algorithms, and Applications</t>
  </si>
  <si>
    <t>Jeremy Watt; Reza Borhani; Aggelos K. Katsaggelos</t>
  </si>
  <si>
    <t>!!! Машинное_обучение_основы,_алгоритмы_и_практика_применения 2022.pdf</t>
  </si>
  <si>
    <t>C:\Users\alexa\YandexDisk\Книги\ИИ\Основы ML</t>
  </si>
  <si>
    <t>Книга представляет собой фундаментальное руководство по машинному обучению, охватывающее как теоретические основы, так и практические инструменты. Ключевые разделы включают математическую оптимизацию (методы первого и второго порядка, градиентный спуск), обучение с учителем (линейная регрессия, классификация) и без учителя, а также продвинутые темы, такие как нейронные сети, деревья решений и регуляризация. Издание содержит более 100 упражнений на Python и цветные иллюстрации. Книга предназначена для разработчиков систем машинного обучения и специалистов, имеющих базовую подготовку в этой области.</t>
  </si>
  <si>
    <t>!_ML_!.docx</t>
  </si>
  <si>
    <t>The Hundred-Page Machine Learning Book</t>
  </si>
  <si>
    <t>Andriy Burkov</t>
  </si>
  <si>
    <t>!Машинное_обучение_без_лишних_слов_2020_Андрей_Бурков.pdf</t>
  </si>
  <si>
    <t>Книга «Машинное обучение без лишних слов» Андрея Буркова представляет собой краткое и практичное введение в машинное обучение, где автор объясняет, что обучение машин сводится к поиску математической формулы для обработки данных. Ключевые разделы охватывают фундаментальные алгоритмы (линейная и логистическая регрессия, деревья решений, метод опорных векторов), анатомию алгоритмов обучения и практические основы, включая проектирование признаков и борьбу с переобучением. Книга предназначена для начинающих специалистов и аналитиков, желающих получить сжатые, но прикладные знания, применимые в повседневной работе.</t>
  </si>
  <si>
    <t>6 шагов к успешному проекту машинного обучения</t>
  </si>
  <si>
    <t>6 шагов к успешному проекту машинного обучения.docx</t>
  </si>
  <si>
    <t>Книга посвящена методологии реализации проектов машинного обучения, предлагая структурированный подход из шести последовательных шагов. Ключевые концепции включают этапы от формулировки бизнес-задачи и сбора данных до развертывания модели и мониторинга её работы. Издание ориентировано на начинающих специалистов и практиков, желающих систематизировать процесс перехода от идеи к рабочему решению, избегая типичных ошибок.</t>
  </si>
  <si>
    <t>Adaptive Machine Learning Algorithms with Python: Solve Data Analytics and Machine Learning Problems on Edge Devices</t>
  </si>
  <si>
    <t>Chanchal Chatterjee</t>
  </si>
  <si>
    <t>Adaptive.Machine.Learning.Algorithms.pdf</t>
  </si>
  <si>
    <t>Книга «Adaptive Machine Learning Algorithms with Python» посвящена решению задач анализа данных и машинного обучения на периферийных устройствах с помощью адаптивных алгоритмов. В ней рассматриваются такие ключевые концепции, как отбеливание данных, метод главных компонент, линейный дискриминантный анализ и сингулярное разложение, а также их происхождение из нейробиологии, теории информации и оптимизации. Основной акцент сделан на адаптивной обработке потоковых данных в реальном времени в отличие от пакетной обработки статических данных. Издание предназначено для специалистов по данным и инженеров машинного обучения, имеющих опыт работы с Python и желающих освоить методы вычислений на граничных устройствах.</t>
  </si>
  <si>
    <t>Machine Learning Yearning</t>
  </si>
  <si>
    <t>Andrew Ng</t>
  </si>
  <si>
    <t>Andrew Ng.zip</t>
  </si>
  <si>
    <t>Эта книга Эндрю Ына посвящена стратегиям построения эффективных систем машинного обучения, а не конкретным алгоритмам. Ключевые концепции включают правильную настройку тренировочных и тестовых наборов, анализ ошибок, диагностику смещения и дисперсии, а также методы преодоления несоответствия данных. Материал предназначен для практикующих специалистов и инженеров, уже имеющих базовые знания в области машинного обучения, которые хотят ускорить итерации и улучшить результаты своих проектов.</t>
  </si>
  <si>
    <t>Approaching (Almost) Any Machine Learning Problem</t>
  </si>
  <si>
    <t>Approaching_Almost_Any_Machine_Learning_Problem_2020.pdf</t>
  </si>
  <si>
    <t>Эта книга представляет собой практическое руководство по решению задач машинного обучения, охватывающее полный цикл проекта: от настройки окружения и перекрестной проверки до работы с категориальными переменными, инженерии признаков, оптимизации гиперпараметров и ансамблирования моделей. Ключевые разделы включают методы классификации и регрессии для изображений и текста, а также вопросы воспроизводимости кода и развертывания моделей. Издание предназначено для читателей, уже обладающих базовыми знаниями в области машинного и глубокого обучения, и делает акцент на практическом программировании с подробными комментариями к коду.</t>
  </si>
  <si>
    <t>Bayesian Optimization: Theory and Practice Using Python</t>
  </si>
  <si>
    <t>Apress_Bayesian_Optimization_Theory_and_Practice_Using_Python (2).pdf</t>
  </si>
  <si>
    <t>Книга Пэна Лю «Bayesian Optimization: Theory and Practice Using Python» посвящена байесовской оптимизации — методу глобальной оптимизации «черных ящиков». В ней рассматриваются ключевые концепции, такие как байесовская статистика, гауссовские процессы и функции приобретения, а также описывается полный рабочий процесс байесовской оптимизации. Издание предназначено для специалистов по данным и инженеров машинного обучения, уже имеющих базовые знания в области статистики и Python.</t>
  </si>
  <si>
    <t>Automated Machine Learning in Action</t>
  </si>
  <si>
    <t>Qingquan Song; Haifeng Jin; Xia Hu</t>
  </si>
  <si>
    <t>Automated Machine Learning in Action.pdf</t>
  </si>
  <si>
    <t>Книга "Automated Machine Learning in Action" посвящена автоматизации процессов машинного обучения (AutoML) и охватывает полный жизненный цикл ML-модели: от постановки задачи и сбора данных до предобработки, выбора алгоритмов, настройки гиперпараметров и развертывания. Ключевые разделы включают основы AutoML, практическое создание end-to-end решений с помощью инструментов вроде AutoKeras, а также продвинутые темы, такие как кастомизация поисковых пространств и масштабирование. Издание предназначено для специалистов по данным и инженеров машинного обучения, имеющих базовые знания в этой области и желающих освоить автоматизацию для повышения эффективности своих проектов.</t>
  </si>
  <si>
    <t>Introduction to Machine Learning with Python</t>
  </si>
  <si>
    <t>Andreas C. Müller; Sarah Guido</t>
  </si>
  <si>
    <t>A_C_Muller_and_S_Guido_Introduction to ML with Python.pdf</t>
  </si>
  <si>
    <t>Эта книга представляет собой практическое руководство по машинному обучению с использованием языка Python, ориентированное на специалистов по данным. Авторы знакомят читателей с основными концепциями, такими как обучение с учителем, обобщение, переобучение и недообучение, а также с ключевыми библиотеками, включая scikit-learn, NumPy и pandas. Книга начинается с простого примера классификации ирисов, постепенно переходя к более сложным алгоритмам и методам оценки моделей. Издание рассчитано на начинающих и практикующих специалистов, желающих освоить машинное обучение с нуля.</t>
  </si>
  <si>
    <t>Bayesian Optimization in Action MEAP V05</t>
  </si>
  <si>
    <t>Quan Nguyen</t>
  </si>
  <si>
    <t>Bayesian_Optimization_in_Action_MEAP.pdf</t>
  </si>
  <si>
    <t>Книга «Bayesian Optimization in Action» представляет собой практическое руководство по байесовской оптимизации — методу оптимизации «черных ящиков» и дорогостоящих процессов. Ключевые разделы охватывают гауссовские процессы, различные стратегии поиска (улучшение, исследование, энтропия), а также специализированные сценарии, такие как пакетная, многокритериальная и оптимизация с ограничениями. Издание предназначено для специалистов по машинному обучению, уже владеющих основами статистики, байесовской вероятности и Python, и стремится сделать сложную тему доступной с помощью кода и наглядных примеров.</t>
  </si>
  <si>
    <t>Machine Learning for Kids</t>
  </si>
  <si>
    <t>Dale Lane</t>
  </si>
  <si>
    <t>Dale Lane - Machine Learning for Kids (2020).epub</t>
  </si>
  <si>
    <t>Книга Дейла Лейна «Machine Learning for Kids» представляет собой практическое введение в машинное обучение и искусственный интеллект для детей. Она знакомит с базовыми концепциями ML и AI, а затем проводит читателя через серию проектов по созданию игр и приложений на языке Scratch, таких как сортировка изображений, игра «Камень, ножницы, бумага» и распознавание языка. Книга предназначена для начинающих, в первую очередь для детей и подростков, не имеющих опыта в программировании или машинном обучении.</t>
  </si>
  <si>
    <t>Data Without Labels</t>
  </si>
  <si>
    <t>Vaibhav Verdhan</t>
  </si>
  <si>
    <t>Data Without Labels.pdf</t>
  </si>
  <si>
    <t>Книга «Data Without Labels» представляет собой практическое руководство по неконтролируемому машинному обучению, охватывающее методы анализа данных без размеченных меток. Ключевые разделы включают кластеризацию, снижение размерности, ассоциативные правила, работу с текстовыми данными, а также продвинутые темы, такие как автокодировщики, генеративные состязательные сети и ChatGPT. Издание предназначено как для новичков, так и для практикующих специалистов, желающих освоить теорию и реализацию алгоритмов на Python.</t>
  </si>
  <si>
    <t>Designing Machine Learning Systems</t>
  </si>
  <si>
    <t>Designing Machine Learning Systems.pdf</t>
  </si>
  <si>
    <t>Книга Чипа Хуйена «Проектирование систем машинного обучения» посвящена созданию промышленных ML-систем, которые должны быть надежными, масштабируемыми и легко обновляемыми. Автор подчеркивает, что алгоритмы — лишь малая часть такой системы, а ключевое внимание уделяется целостной архитектуре, включающей интерфейсы, управление данными, инфраструктуру и мониторинг. Книга предлагает итеративный процесс разработки решений, подходящих для конкретных задач, без привязки к конкретным алгоритмам. Издание предназначено для специалистов, уже знакомых с машинным обучением, которые хотят перейти от прототипов к реальным продакшн-решениям.</t>
  </si>
  <si>
    <t>Ethem Alpaydın</t>
  </si>
  <si>
    <t>Ethem_Alpaydin_Introduction_to_Machine_Learning_The_MIT_Press_2014.pdf</t>
  </si>
  <si>
    <t>Это третье издание учебника «Введение в машинное обучение» Этема Алпайдина, выпущенное в серии MIT Press. Книга охватывает фундаментальные и продвинутые темы, включая обучение с учителем, байесовскую теорию, снижение размерности, кластеризацию, непараметрические методы, деревья решений, нейронные сети и ансамблевые методы. Материал предназначен для студентов и специалистов, уже имеющих базовую математическую подготовку, и служит всесторонним введением в теорию и алгоритмы машинного обучения.</t>
  </si>
  <si>
    <t>Experimentation for Engineers MEAP V08</t>
  </si>
  <si>
    <t>Experimentation for Engineers MEAP V08.pdf</t>
  </si>
  <si>
    <t>Книга «Experimentation for Engineers» посвящена экспериментальным методам оптимизации инженерных систем, таким как A/B-тестирование, многорукие бандиты, байесовская оптимизация и методология поверхности отклика. Автор, Дэвид Свит, на практических примерах из области рекламных алгоритмов, рекомендательных систем и алгоритмической торговли объясняет, как измерять влияние изменений на бизнес-метрики и находить оптимальные настройки. Материал излагается в трёх стилях (текст, математика, код) и предназначен для практикующих инженеров (ML-инженеров, квантов, разработчиков), уже знакомых с основами, но желающих освоить продвинутые методы промышленного экспериментирования.</t>
  </si>
  <si>
    <t>Hamiltonian Monte Carlo Methods in Machine Learning</t>
  </si>
  <si>
    <t>Tshilidzi Marwala; Wilson Tsakane Mongwe; Rendani Mbuvha</t>
  </si>
  <si>
    <t>Hamiltonian Monte Carlo Methods in ML.pdf</t>
  </si>
  <si>
    <t>Книга посвящена методам гамильтонова Монте-Карло (HMC) и их применению в машинном обучении. В ней рассматриваются ключевые алгоритмы, такие как классический HMC, квантово-вдохновленный HMC, теневой гамильтониан, метод «без поворота» (No-U-Turn Sampler) и антитетический HMC, а также их адаптивные версии. Издание предназначено для исследователей и специалистов в области машинного обучения и статистики, имеющих продвинутый уровень подготовки.</t>
  </si>
  <si>
    <t>Building Machine Learning Pipelines</t>
  </si>
  <si>
    <t>Hannes Hapke;Catherine Nelson</t>
  </si>
  <si>
    <t>Hannes_Hapke_Razrabotka_konveyerov_mashinnogo_obucheniya_Avtomatizatsiya.pdf</t>
  </si>
  <si>
    <t>Книга посвящена автоматизации жизненных циклов моделей машинного обучения с помощью конвейеров на базе TensorFlow и TensorFlow Extended (TFX). В ней подробно описываются ключевые этапы такого конвейера: загрузка и версионирование данных, проверка, предобработка, обучение, анализ и развертывание модели, а также вопросы оркестровки. Издание предназначено для специалистов в области машинного обучения и инженерии данных, уже знакомых с основными концепциями ML и фреймворками вроде TensorFlow или PyTorch.</t>
  </si>
  <si>
    <t>Real-World Machine Learning</t>
  </si>
  <si>
    <t>Henrik Brink; Joseph W. Richards; Mark Fetherolf</t>
  </si>
  <si>
    <t>Henri Brink - ML.pdf</t>
  </si>
  <si>
    <t>Книга "Real-World Machine Learning" авторов Хенрика Бринка, Джозефа Ричардса и Марка Фетеролфа посвящена практическому применению машинного обучения для решения реальных задач. В ней описывается полный рабочий процесс ML: от сбора и предобработки данных, построения моделей классификации и регрессии до их оценки, оптимизации и инженерии признаков. Ключевые разделы включают работу с реальными данными, визуализацию, кросс-валидацию и настройку гиперпараметров. Издание предназначено для специалистов начального и среднего уровня, желающих перейти от теории к созданию работающих систем машинного обучения.</t>
  </si>
  <si>
    <t>Introducing MLOps</t>
  </si>
  <si>
    <t>Treveil, Mark; Omont, Nicolas; Stenac, Clément</t>
  </si>
  <si>
    <t>Introducing_MLOps_How_to_Scale_Machine_Learning_in_the_Enterprise.pdf</t>
  </si>
  <si>
    <t>Книга «Introducing MLOps» посвящена методологии MLOps, которая позволяет масштабировать и внедрять машинное обучение в корпоративной среде. В ней рассматриваются ключевые концепции: определение MLOps и связанные с ним риски, роли участников процесса (от специалистов по данным до инженеров DevOps), а также этапы жизненного цикла модели — от разработки и оценки до развертывания и обеспечения воспроизводимости. Издание ориентировано на специалистов, уже знакомых с основами машинного обучения, которые хотят вывести свои проекты на промышленный уровень.</t>
  </si>
  <si>
    <t>Introduction to Machine Learning with Applications in Information Security: Second Edition</t>
  </si>
  <si>
    <t>Mark Stamp</t>
  </si>
  <si>
    <t>Introduction_to_Machine_Learning_with_Applications_in_Informatio.pdf</t>
  </si>
  <si>
    <t>Книга Марка Стэмпа представляет собой учебное введение в широкий спектр алгоритмов машинного и глубокого обучения, ориентированное на практическое применение в сфере информационной безопасности, в частности для анализа вредоносного ПО. В издании подробно рассматриваются как классические методы (скрытые марковские модели, машины опорных векторов, кластеризация), так и современные архитектуры глубокого обучения (сверточные и рекуррентные нейронные сети, GAN, BERT). Материал излагается на интуитивном уровне без углубления в математические доказательства, что делает книгу доступной для читателей с базовыми навыками программирования и начальным опытом в компьютерных науках.</t>
  </si>
  <si>
    <t>Machine Learning and Data Science: Fundamentals and Applications</t>
  </si>
  <si>
    <t>Prateek Agrawal; Charu Gupta; Anand Sharma; Vishu Madaan; Nisheeth Joshi</t>
  </si>
  <si>
    <t>Machine Learning and Data Science Fun....pdf</t>
  </si>
  <si>
    <t>Книга представляет собой сборник научных работ под редакцией Пратика Агравала, посвященный фундаментальным основам и прикладным аспектам машинного обучения и науки о данных. Ключевые разделы охватывают обучение с подкреплением, анализ данных на примере боев UFC, применение Hadoop для работы с большими данными, концепции Индустрии 4.0 и моделирование кривой COVID-19. Издание предназначено для специалистов и исследователей, уже знакомых с основами анализа данных и машинного обучения.</t>
  </si>
  <si>
    <t>Machine Learning and Metaheuristic Computation</t>
  </si>
  <si>
    <t>Erik Cuevas; Jorge Galvez; Omar Avalos; Fernando Wario</t>
  </si>
  <si>
    <t>Machine Learning and Metaheuristic Computation.pdf</t>
  </si>
  <si>
    <t>Книга «Machine Learning and Metaheuristic Computation» под редакцией Эрика Куэваса посвящена двум взаимосвязанным областям: машинному обучению и метаэвристическим методам оптимизации. В первых главах рассматриваются основы машинного обучения (регрессия, классификация, деревья решений, байесовские методы, кластеризация) и введение в метаэвристики (имитация отжига, генетические алгоритмы). Издание предназначено для читателей, имеющих базовую подготовку в области программирования и математики, и будет полезно как студентам, так и практикующим специалистам, желающим освоить современные подходы к решению задач оптимизации и анализа данных.</t>
  </si>
  <si>
    <t>Machine Learning Engineering in Action</t>
  </si>
  <si>
    <t>Ben Wilson</t>
  </si>
  <si>
    <t>Machine Learning Engineering in Action (Final Release) 2022.pdf</t>
  </si>
  <si>
    <t>Эта книга посвящена инженерной практике в машинном обучении (ML Engineering) и описывает, как превращать экспериментальные модели Data Science в надежные, поддерживаемые и масштабируемые продакшен-решения. Ключевые концепции включают планирование и скоуп проекта, коммуникацию с бизнесом, модульность кода, тестирование, мониторинг дрифта и разработку production-инфраструктуры. Издание предназначено для специалистов по данным и инженеров машинного обучения, которые хотят систематизировать процесс разработки и избежать типичных ошибок, ведущих к провалу проектов.</t>
  </si>
  <si>
    <t>Machine Learning Engineering</t>
  </si>
  <si>
    <t>Machine Learning Engineering.pdf</t>
  </si>
  <si>
    <t>Эта книга посвящена практическому машинному обучению (Applied Machine Learning), в отличие от исследовательского, и фокусируется на создании решений для бизнеса, а не на разработке алгоритмов с нуля. Ключевые концепции включают сквозной процесс: от постановки целей и управления продуктом до инженерии данных, прототипирования, внедрения в производство и обеспечения надежности. Книга предназначена для специалистов, которые хотят применять ML на практике, и подчеркивает важность мониторинга, обработки ошибок и стратегий отката.</t>
  </si>
  <si>
    <t>Machine Learning With PyTorch and Scikit-Learn.pdf</t>
  </si>
  <si>
    <t>Книга «Machine Learning with PyTorch and Scikit-Learn» представляет собой практическое руководство по разработке моделей машинного и глубокого обучения на языке Python. Она охватывает ключевые концепции от базовых методов scikit-learn до современных архитектур глубокого обучения, включая трансформеры и графовые нейронные сети, с примерами кода для каждой темы. Издание предназначено как для новичков, желающих освоить теорию и практику, так и для специалистов, стремящихся углубить знания в области глубокого обучения с использованием PyTorch, PyTorch Lightning и Hugging Face.</t>
  </si>
  <si>
    <t>Machine Learning For Absolute Beginners: A Plain English Introduction (Second Edition)</t>
  </si>
  <si>
    <t>Oliver Theobald</t>
  </si>
  <si>
    <t>Machine_Learning_for_Absolute_Beginner.pdf</t>
  </si>
  <si>
    <t>Эта книга представляет собой введение в машинное обучение для абсолютных новичков, написанное простым языком. Она охватывает фундаментальные концепции, такие как регрессионный анализ, кластеризация, нейронные сети и деревья решений, а также практические аспекты подготовки данных и построения моделей. Издание предназначено для читателей без опыта программирования или глубоких знаний статистики, желающих понять основы и математические принципы работы алгоритмов машинного обучения.</t>
  </si>
  <si>
    <t>Machine Learning for Beginners: A Complete and Phased Beginner’s Guide to Learning and Understanding Machine Learning and Artificial Intelligence</t>
  </si>
  <si>
    <t>Ethem Mining</t>
  </si>
  <si>
    <t>Machine_Learning_for_Beginners_A_Complete_and_Phased_Beginner’s.pdf</t>
  </si>
  <si>
    <t>Эта книга представляет собой вводное руководство по машинному обучению и искусственному интеллекту для начинающих. В ней объясняются основные концепции, такие как виды обучения (с учителем, без учителя, с подкреплением), анализ больших данных и ключевые алгоритмы (K-средних, нейронные сети, деревья решений, наивный байесовский классификатор, случайный лес, априорный алгоритм, линейная и логистическая регрессия). Материал ориентирован на читателей без предварительной подготовки, желающих понять, как машинное обучение применяется в повседневной жизни и различных отраслях.</t>
  </si>
  <si>
    <t>Machine Learning with Python for Everyone</t>
  </si>
  <si>
    <t>Mark E. Fenner</t>
  </si>
  <si>
    <t>Pearson Addison-Wesley</t>
  </si>
  <si>
    <t>Machine_Learning_With_Python_For_Everyone_2020_Mark_E_Fenner.pdf</t>
  </si>
  <si>
    <t>Эта книга Марка Феннера представляет собой практическое введение в машинное обучение с использованием Python, входящее в серию Pearson Addison-Wesley по анализу данных. Она охватывает три ключевые области: инфраструктуру для работы с данными, алгоритмы для прогнозирования и извлечения инсайтов, а также визуализацию результатов. Среди первых разделов рассматриваются основы классификации, включая такие методы, как k-ближайших соседей и наивный Байес, а также математический и вероятностный аппарат, необходимый для их понимания. Издание ориентировано на читателей, начинающих свой путь в машинном обучении, и стремится научить их строить законченные системы для решения реальных задач, от фильтрации спама до выявления трендов.</t>
  </si>
  <si>
    <t>Mashinnoe_obuchenie_bez_lishnikh_slov.pdf</t>
  </si>
  <si>
    <t>Книга Андрея Буркова «Машинное обучение без лишних слов» представляет собой краткое и практичное введение в машинное обучение, где автор объясняет, что обучение машин сводится к поиску математической формулы для обработки данных. В работе рассматриваются фундаментальные алгоритмы (линейная и логистическая регрессия, деревья решений, метод опорных векторов), а также практические аспекты, такие как проектирование признаков и борьба с переобучением. Издание ориентировано на начинающих аналитиков и специалистов, желающих освоить ключевые методы машинного обучения без излишней академической теории.</t>
  </si>
  <si>
    <t>Machine Learning in Production</t>
  </si>
  <si>
    <t>Suhas Pote</t>
  </si>
  <si>
    <t>ML in production.pdf</t>
  </si>
  <si>
    <t>Книга Suhas Pote «Machine Learning in Production» посвящена практическому внедрению моделей машинного обучения в продакшн с использованием методологии MLOps. В ней рассматриваются ключевые концепции: жизненный цикл ML, CI/CD, Docker, Kubernetes, мониторинг, безопасность моделей и развертывание на облачных платформах (Azure, GCP, AWS). Издание предназначено для специалистов по данным, инженеров и менеджеров, как новичков в MLOps, так и опытных практиков, желающих углубить знания в области промышленной эксплуатации ML-решений.</t>
  </si>
  <si>
    <t>Machine Learning with Python Cookbook</t>
  </si>
  <si>
    <t>Chris Albon</t>
  </si>
  <si>
    <t>ML_with_python_cookbook.pdf</t>
  </si>
  <si>
    <t>Книга «Machine Learning with Python Cookbook» Криса Албона представляет собой практическое руководство по машинному обучению, содержащее около 200 готовых рецептов с кодом для решения повседневных задач специалиста по данным. Ключевые разделы охватывают предобработку данных, кодирование признаков, уменьшение размерности, настройку моделей и обучение ансамблей, таких как случайный лес. Издание предназначено для практикующих специалистов, уже знакомых с основами машинного обучения и Python, и не подходит для новичков, только начинающих изучение этой области.</t>
  </si>
  <si>
    <t>Машинное обучение. Погружение в технологию</t>
  </si>
  <si>
    <t>Артем Демиденко; Искусственный Интеллект</t>
  </si>
  <si>
    <t>ML__Погружение_в_технологию_vPlwmg.pdf</t>
  </si>
  <si>
    <t>Эта книга представляет собой практическое руководство по основам машинного обучения, начиная с определения этой области и процесса обучения моделей на данных. В первой главе рассматриваются ключевые концепции, такие как обучающая выборка, обобщение и регуляризация, а также приводится краткая история развития технологий от линейной регрессии до глубоких нейронных сетей. Издание предназначено для новичков, желающих освоить базовые принципы и алгоритмы машинного обучения.</t>
  </si>
  <si>
    <t>Machine Learning: A Probabilistic Perspective</t>
  </si>
  <si>
    <t>Murphy_ML_proglib 2012.pdf</t>
  </si>
  <si>
    <t>Это фрагмент вступительной части книги Кевина Мерфи «Machine Learning: A Probabilistic Perspective» (2012), которая представляет собой фундаментальный учебник по машинному обучению с акцентом на вероятностный подход. Ключевые концепции, затронутые в отрывке, включают supervised и unsupervised learning, классификацию, регрессию, а также базовые понятия, такие как параметрические и непараметрические модели, проклятие размерности и переобучение. Книга предназначена для специалистов и исследователей, имеющих серьезную математическую подготовку, и не подходит для новичков.</t>
  </si>
  <si>
    <t>The Shape of Data</t>
  </si>
  <si>
    <t>Colleen Farrelly; Yaé Ulrich Gaba</t>
  </si>
  <si>
    <t>no.starch.press.the.shape.of.data.pdf</t>
  </si>
  <si>
    <t>Книга «The Shape of Data» посвящена применению геометрии и топологии в машинном обучении и анализе данных, предлагая новый взгляд на сложные взаимосвязи в данных, которые не видны в традиционных двумерных таблицах. Ключевые концепции включают топологический анализ данных, геометрическое машинное обучение и работу с неструктурированными данными, а также практические примеры и советы по реализации на языке R. Издание предназначено как для новичков, желающих освоить предмет, так и для опытных специалистов по данным, стремящихся углубить понимание своей области через геометрические методы.</t>
  </si>
  <si>
    <t>Machine Learning in Microservices</t>
  </si>
  <si>
    <t>Mohamed Abouahmed; Omar Ahmed</t>
  </si>
  <si>
    <t>Packt.Machine.Learning.in.Microservices.pdf</t>
  </si>
  <si>
    <t>Книга «Machine Learning in Microservices» посвящена интеграции машинного обучения в архитектуру микросервисов для создания промышленных решений. Ключевые разделы охватывают рефакторинг монолитов, шаблоны Saga и CQRS, а также практические аспекты DevOps и изоляции сервисов. Издание предназначено для специалистов среднего и продвинутого уровня, уже знакомых с основами ML и микросервисной архитектуры.</t>
  </si>
  <si>
    <t>Patterns, Predictions, and Actions</t>
  </si>
  <si>
    <t>Moritz Hardt; Benjamin Recht</t>
  </si>
  <si>
    <t>PATTERNS, PREDICTIONS, AND ACTIONS.pdf</t>
  </si>
  <si>
    <t>Книга «Patterns, Predictions, and Actions» Морица Хардта и Бенджамина Рехта представляет собой фундаментальное введение в машинное обучение, охватывающее темы от основ прогнозирования и обучения с учителем до глубокого обучения, работы с данными, причинно-следственного анализа и последовательного принятия решений. Ключевые разделы включают supervised learning, оптимизацию, обобщение, глубокое обучение, датасеты, каузальность и динамическое программирование. Издание предназначено для читателей, уже имеющих базовую подготовку в области точных наук, и стремится соединить теоретические основы с практическими аспектами и социальными последствиями применения алгоритмов.</t>
  </si>
  <si>
    <t>Pattern Recognition and Machine Learning</t>
  </si>
  <si>
    <t>Christopher M. Bishop</t>
  </si>
  <si>
    <t>Pattern_Recognition_and_Machine_Learning_Christopher_M_Bishop.pdf</t>
  </si>
  <si>
    <t>Фрагмент представляет собой введение к книге Кристофера Бишопа «Pattern Recognition and Machine Learning», которая является всеобъемлющим учебником по распознаванию образов и машинному обучению. Ключевые концепции включают байесовские методы, графические модели и алгоритмы приближенного вывода, такие как вариационный байесовский вывод и распространение ожиданий. Книга предназначена для студентов старших курсов, аспирантов первого года обучения, а также исследователей и практиков, предполагая знание многомерного исчисления и линейной алгебры, но не требуя предварительного знакомства с предметом.</t>
  </si>
  <si>
    <t>Probabilistic Machine Learning: Advanced Topics</t>
  </si>
  <si>
    <t>Probabilistic Machine Learning.pdf</t>
  </si>
  <si>
    <t>Это фрагмент книги Кевина Мерфи «Probabilistic Machine Learning: Advanced Topics», посвященной углубленным методам вероятностного машинного обучения. Ключевые разделы охватывают фундаментальные основы (теория вероятностей, статистика, графические модели), методы вывода (вариационный вывод, MCMC), прогнозирование (байесовские нейронные сети, гауссовские процессы), генеративные модели (VAE, диффузионные модели) и принятие решений (обучение с подкреплением, причинность). Книга предназначена для специалистов и исследователей, уже имеющих серьезную математическую подготовку, и не подходит для новичков.</t>
  </si>
  <si>
    <t>Python Machine Learning Projects: Learn how to build Machine Learning projects from scratch</t>
  </si>
  <si>
    <t>Dr. Deepali R Vora; Dr. Gresha S Bhatia</t>
  </si>
  <si>
    <t>Python Machine Learning Projects.pdf</t>
  </si>
  <si>
    <t>Эта книга представляет собой практическое руководство по машинному обучению на Python, предназначенное для создания проектов с нуля. В ней рассматриваются различные типы алгоритмов машинного обучения, важность правильного объема данных и обучения для построения оптимизированных систем, а также даются практические задания. Издание состоит из пяти глав и уделяет внимание как пониманию кода на Python, так и его реализации в проектах. Книга ориентирована на читателей, уже имеющих базовые знания в области программирования и желающих применить машинное обучение к реальным задачам.</t>
  </si>
  <si>
    <t>Python Machine Learning</t>
  </si>
  <si>
    <t>Sebastian Raschka</t>
  </si>
  <si>
    <t>Python и машинное обучение.pdf</t>
  </si>
  <si>
    <t>Книга Себастьяна Рашки «Python и машинное обучение» представляет собой практическое руководство по прогнозной аналитике и машинному обучению с использованием языка Python. В издании рассматриваются ключевые концепции, включая три типа обучения (с учителем, без учителя и с подкреплением), задачи классификации и регрессии, а также методы предобработки данных, тренировки и оценки моделей. Особое внимание уделяется работе с библиотеками scikit-learn, Theano и Keras, а также таким темам, как анализ мнений и нейронные сети. Книга предназначена для специалистов по анализу данных, стремящихся к углублённому практическому пониманию принципов машинного обучения.</t>
  </si>
  <si>
    <t>Python.Machine.Learning.Projects (2).pdf</t>
  </si>
  <si>
    <t>Книга «Python Machine Learning Projects» докторов Дипали Р. Воры и Греши С. Бхатия посвящена практическому построению проектов машинного обучения с нуля на языке Python. В ней рассматриваются различные типы алгоритмов машинного обучения, важность правильного объема данных и обучения для создания оптимизированных систем, а также даются практические вопросы для закрепления материала. Издание разделено на пять глав и предназначено для читателей, желающих освоить реализацию кода и базовые концепции машинного обучения, начиная с начального уровня.</t>
  </si>
  <si>
    <t>Python Machine Learning By Example</t>
  </si>
  <si>
    <t>Yuxi (Hayden) Liu</t>
  </si>
  <si>
    <t>python_machine_learning_by_example.pdf</t>
  </si>
  <si>
    <t>Эта книга представляет собой практическое руководство по машинному обучению на Python, построенное на доступных примерах. В ней рассматриваются ключевые концепции, такие как переобучение, регуляризация, кросс-валидация, предобработка данных и ансамблевые методы (бэггинг, бустинг), а также практические задачи, включая анализ текстов и тематическое моделирование. Издание предназначено для начинающих специалистов и разработчиков, желающих освоить машинное обучение с нуля через выполнение реальных проектов.</t>
  </si>
  <si>
    <t>Recommender Systems: A Multi-Disciplinary Approach</t>
  </si>
  <si>
    <t>Monideepa Roy</t>
  </si>
  <si>
    <t>Recommender_Systems.pdf</t>
  </si>
  <si>
    <t>Книга «Recommender Systems: A Multi-Disciplinary Approach» под редакцией Монидипы Рой представляет собой междисциплинарное руководство по разработке рекомендательных систем, охватывающее алгоритмы, их сравнительный анализ и применение в различных областях. Ключевые разделы включают работу с большими данными, маркетинговые преимущества, построение систем поддержки принятия решений, роль машинного обучения и нейросетей, а также вопросы безопасности и защиты от атак. Издание предназначено для исследователей и аспирантов в области компьютерных наук, электроники, математики и науки о данных, то есть для читателей с продвинутым уровнем подготовки.</t>
  </si>
  <si>
    <t>The Hundred-Page Machine Learning Book (Andriy Burkov).pdf</t>
  </si>
  <si>
    <t>Эта книга представляет собой краткое и практическое введение в машинное обучение, объясняя, что на самом деле машины не «учатся», а находят математические формулы для обработки данных. Автор развенчивает мифы, описывает основные типы обучения (наблюдаемое, неконтролируемое и обучение с подкреплением) и подчеркивает, что все модели несовершенны, но некоторые полезны. Издание предназначено как для новичков, желающих получить базовое понимание, так и для опытных практиков, ищущих направления для дальнейшего развития. Книга распространяется по принципу «сначала прочитай, потом купи», а дополнительные материалы доступны через QR-коды на вики-сайте.</t>
  </si>
  <si>
    <t>Building Machine Learning Pipelines: Automating Model Life Cycles with TensorFlow</t>
  </si>
  <si>
    <t>Автоматизация жизненных циклов с помощью TensorFlow.pdf</t>
  </si>
  <si>
    <t>Книга «Разработка конвейеров машинного обучения» Ханнеса Хапке и Кэтрин Нельсон представляет собой практическое руководство по автоматизации жизненных циклов моделей с помощью TensorFlow Extended (TFX). В ней подробно описываются этапы построения конвейера: от загрузки и проверки данных, предварительной обработки и обучения модели до управления версиями, развертывания и организации обратной связи. Издание предназначено для специалистов в области машинного обучения и искусственного интеллекта, инженеров DevOps и разработчиков, уже знакомых с основными концепциями ML и одним из фреймворков (например, TensorFlow или PyTorch).</t>
  </si>
  <si>
    <t>Базовые алгоритмы машинного обучения на языке Python</t>
  </si>
  <si>
    <t>А. Ю. Долганов; М. В. Ронкин; А. В. Созыкин</t>
  </si>
  <si>
    <t>Базовые алгоритмы машинного обучения на языке Python.pdf</t>
  </si>
  <si>
    <t>Это учебно-методическое пособие посвящено основам анализа данных и реализации базовых алгоритмов машинного обучения на языке Python. Ключевые разделы охватывают исследовательский анализ данных, линейную и логистическую регрессию, методы уменьшения размерности и кластеризацию. Книга предназначена для студентов вузов, обучающихся по IT-направлениям, и рассчитана на начальный уровень подготовки, предполагающий базовое знание Python и высшей математики.</t>
  </si>
  <si>
    <t>Bayesian Models of Perception and Action</t>
  </si>
  <si>
    <t>Wei Ji Ma; Konrad Paul Kording; Daniel Goldreich</t>
  </si>
  <si>
    <t>Байесовские модели восприятия и действия.pdf</t>
  </si>
  <si>
    <t>Книга представляет собой введение в байесовское моделирование восприятия и действий, объясняя, как мозг использует вероятностный вывод для принятия решений в условиях неопределенности и зашумленных сенсорных данных. Ключевые концепции включают применение правила Байеса, работу с гипотезами и их вероятностями, а также этапы построения порождающих моделей и графовых моделей, как показано в первых главах. Издание предназначено для широкого круга читателей, интересующихся нейробиологией, когнитивными науками, машинным обучением, психологией и математикой, и подходит как для новичков, так и для специалистов.</t>
  </si>
  <si>
    <t>Automated Machine Learning</t>
  </si>
  <si>
    <t>Frank Hutter; Lars Kotthoff; Joaquin Vanschoren</t>
  </si>
  <si>
    <t>Введение в автоматизированное ML.pdf</t>
  </si>
  <si>
    <t>Книга представляет собой всеобъемлющий обзор методов автоматизированного машинного обучения (AutoML), направленных на автоматическую оптимизацию и настройку моделей ML без участия экспертов. В ней рассматриваются ключевые концепции, такие как оптимизация гиперпараметров и метаобучение, а также методы построения конвейеров. Издание предназначено как для новичков, желающих изучить эту область, так и для специалистов, использующих AutoML в качестве справочника.</t>
  </si>
  <si>
    <t>An Introduction to Statistical Learning with Applications in Python</t>
  </si>
  <si>
    <t>Gareth James; Daniela Witten; Trevor Hastie; Robert Tibshirani; Jonathan Taylor</t>
  </si>
  <si>
    <t>Введение в статистическое обучение с примерами на Python.pdf</t>
  </si>
  <si>
    <t>Эта книга представляет собой доступное введение в статистическое обучение, охватывающее широкий спектр методов, от линейной регрессии и классификации до деревьев решений, нейронных сетей и кластеризации. Ключевые концепции включают компромисс между смещением и дисперсией, оценку точности моделей и методы повторной выборки. Издание предназначено как для опытных специалистов в области статистики, так и для новичков, желающих применить продвинутые техники анализа данных, и дополнено практическими примерами на языке Python.</t>
  </si>
  <si>
    <t>Введение в машинное обучение с помощью Python: Руководство для специалистов</t>
  </si>
  <si>
    <t>Андреас Мюллер; Сара Гвидо</t>
  </si>
  <si>
    <t>2016-2017</t>
  </si>
  <si>
    <t>Введение_в_машинное_обучение_с_помощью_Python_Руководство_для_специалистов.pdf</t>
  </si>
  <si>
    <t>Эта книга представляет собой практическое руководство по машинному обучению с использованием языка Python, в котором основное внимание уделяется библиотеке scikit-learn. В ней рассматриваются ключевые концепции, такие как задачи классификации и регрессии, переобучение и недообучение, а также подробно разбираются основные алгоритмы обучения с учителем, включая метод k ближайших соседей, линейные модели, деревья решений и ансамбли. Издание предназначено для специалистов, начинающих изучать машинное обучение, и содержит примеры с реальными наборами данных, а также инструкции по установке необходимых инструментов, таких как Jupyter Notebook, NumPy и pandas.</t>
  </si>
  <si>
    <t>Probabilistic Machine Learning: An Introduction</t>
  </si>
  <si>
    <t>Вероятностное_машинное_обучение_2022_Кэвин_П_Мэрфи.pdf</t>
  </si>
  <si>
    <t>Книга Кевина Мэрфи «Вероятностное машинное обучение: введение» представляет собой фундаментальный труд, в котором машинное обучение рассматривается через призму вероятностного моделирования и байесовской теории принятия решений. В издании охвачены как базовые темы (линейная и логистическая регрессия, глубокие нейронные сети), так и продвинутые разделы (перенос обучения, обучение без учителя), а также включен необходимый математический аппарат. Книга предназначена для специалистов в области машинного обучения и студентов профильных специальностей, имеющих начальную подготовку.</t>
  </si>
  <si>
    <t>Верховный алгоритм. Как машинное обучение изменит наш мир</t>
  </si>
  <si>
    <t>Педро Домингос</t>
  </si>
  <si>
    <t>Верховный_алгоритм_Как_машинное_обучение_изменит_наш_мир.pdf</t>
  </si>
  <si>
    <t>Книга Педро Домингоса посвящена машинному обучению и поиску «Верховного алгоритма» — универсального обучающегося алгоритма, способного извлекать любые знания из данных. Автор доступно объясняет ключевые концепции и школы машинного обучения, включая символьную, байесовскую, эволюционную и нейросетевую, а также рассматривает обучение без учителя. Книга предназначена для широкой аудитории, не требующей специального технического образования, и будет интересна как новичкам, так и специалистам, желающим понять философию и будущее этой технологии.</t>
  </si>
  <si>
    <t>Математические методы обучения по прецедентам (теория обучения машин)</t>
  </si>
  <si>
    <t>К. В. Воронцов</t>
  </si>
  <si>
    <t>Воронцов Математические_методы_обучения_по_прецедентам.pdf</t>
  </si>
  <si>
    <t>Данный фрагмент представляет собой учебное пособие по математическим методам обучения по прецедентам (машинному обучению), в котором излагаются теоретические основы и алгоритмы анализа данных. Ключевые разделы охватывают байесовские, метрические и линейные методы классификации, а также методы восстановления регрессии, включая такие концепции, как функционал качества, проблема переобучения и регуляризация. Книга предназначена для специалистов и студентов, уже знакомых с основами математики, и находится в стадии разработки, что подразумевает возможное наличие неточностей.</t>
  </si>
  <si>
    <t>Машинное обучение, искусственный интеллект и экономика будущего</t>
  </si>
  <si>
    <t>Воронцов Константин Вячеславович</t>
  </si>
  <si>
    <t>Воронцов Машинное обучение.pdf</t>
  </si>
  <si>
    <t>Фрагмент книги Константина Воронцова посвящён роли машинного обучения и искусственного интеллекта как ключевых технологий шестого технологического уклада и четвёртой промышленной революции. В тексте рассматриваются основные понятия, история развития, примеры практических задач (от медицинской диагностики до беспилотных автомобилей), а также предпосылки современного бума ИИ. Материал ориентирован на широкую аудиторию, включая новичков, интересующихся технологиями, и специалистов, желающих систематизировать знания о месте машинного обучения в экономике будущего.</t>
  </si>
  <si>
    <t>Грокаем машинное обучение</t>
  </si>
  <si>
    <t>Серрано Луис</t>
  </si>
  <si>
    <t>Грокаем машинное обучение.pdf</t>
  </si>
  <si>
    <t>Книга «Грокаем машинное обучение» Луиса Серрано представляет собой вводное руководство по машинному обучению, объясняющее основные понятия и методы этой области на простых примерах и иллюстрациях. Ключевые концепции включают контролируемое и неконтролируемое обучение, обучение с подкреплением, а также практическое создание моделей для задач вроде идентификации спама. Издание предназначено для новичков, знакомых с основами Python, и не требует предварительных знаний в области машинного обучения или углубленной математики.</t>
  </si>
  <si>
    <t>A Course in Machine Learning</t>
  </si>
  <si>
    <t>Hal Daumé III</t>
  </si>
  <si>
    <t>Домэ Course_In_Machine_Learning_proglib-2010.pdf</t>
  </si>
  <si>
    <t>Эта книга представляет собой вводный курс по машинному обучению, написанный Хэлом Домэ III, который фокусируется на идеях и моделях, а не на сложной математике. Ключевые концепции включают деревья решений, перцептрон, нейронные сети, ансамблевые методы и теорию обучения, а также такие темы, как обобщение, индуктивное смещение и регуляризация. Материал предназначен для студентов старших курсов бакалавриата или первого года магистратуры, владеющих дифференциальным исчислением, дискретной математикой и основами программирования.</t>
  </si>
  <si>
    <t>Занимательное машинное обучение</t>
  </si>
  <si>
    <t>Араки Масахиро; Ватари Макана</t>
  </si>
  <si>
    <t>Занимательное_машинное_обучение_манга.pdf</t>
  </si>
  <si>
    <t>Книга «Занимательное машинное обучение» в формате манги знакомит читателя с основами машинного обучения и искусственного интеллекта через сюжет о сотруднике администрации, осваивающем эти технологии. Ключевые разделы охватывают линейную и логистическую регрессию, решающие деревья, нейронные сети, методы оценки моделей и кластерный анализ. Издание предназначено для новичков, начинающих изучение машинного обучения и владеющих математикой на уровне первых курсов университета.</t>
  </si>
  <si>
    <t>Understanding Machine Learning: From Theory to Algorithms</t>
  </si>
  <si>
    <t>Shai Shalev-Shwartz; Shai Ben-David</t>
  </si>
  <si>
    <t>Идеи машинного обучения.pdf</t>
  </si>
  <si>
    <t>Книга «Идеи машинного обучения» Шая Шалев-Шварца и Шая Бен-Давида посвящена фундаментальным принципам машинного обучения и их реализации в виде практических алгоритмов. В ней рассматриваются ключевые концепции, такие как PAC-обучение, минимизация эмпирического риска, компромисс между смещением и сложностью, а также современные темы вроде нейронных сетей и стохастического градиентного спуска. Издание ориентировано на студентов старших курсов и исследователей в области информатики, математики и статистики, предполагая знание основ теории вероятностей, линейной алгебры и математического анализа.</t>
  </si>
  <si>
    <t>Идеи машинного обучения: от теории к алгоритмам</t>
  </si>
  <si>
    <t>Идеи_машинного_обучения_от_теории_к_алгоритмам 2019.pdf</t>
  </si>
  <si>
    <t>Эта книга представляет собой фундаментальный учебник по машинному обучению, в котором авторы последовательно излагают теоретические основы дисциплины и связывают их с практическими алгоритмами. Ключевые разделы охватывают формальные модели обучения (включая PAC-обучение), минимизацию эмпирического риска, проблему переобучения, а также современные темы, такие как стохастический градиентный спуск и нейронные сети. Издание ориентировано на студентов старших курсов и исследователей, уже знакомых с основами теории вероятностей, линейной алгебры и математического анализа.</t>
  </si>
  <si>
    <t>Learning Ray</t>
  </si>
  <si>
    <t>Max Pumperla; Edward Oakes; Richard Liaw</t>
  </si>
  <si>
    <t>Изучаем Ray.pdf</t>
  </si>
  <si>
    <t>Эта книга посвящена фреймворку Ray с открытым исходным кодом, предназначенному для упрощения распределенных вычислений на Python в задачах машинного обучения. В ней рассматриваются ключевые компоненты, такие как ядро Ray Core для создания распределенных приложений, библиотеки Ray Train для распределенного обучения и Ray RLlib для обучения с подкреплением, а также инструментарий Ray AIR для организации полного цикла науки о данных. Издание ориентировано на программистов Python, инженеров и исследователей данных, имеющих базовый опыт работы с языком.</t>
  </si>
  <si>
    <t>Инженерия машинного обучения</t>
  </si>
  <si>
    <t>Андрей Бурков</t>
  </si>
  <si>
    <t>Инженерия_машинного_обучения_2022_Андрей_Бурков.pdf</t>
  </si>
  <si>
    <t>Книга Андрея Буркова «Инженерия машинного обучения» представляет собой практическое руководство по инженерным аспектам прикладного машинного обучения, включая сбор и предобработку данных, конструирование признаков, тестирование, отладку, развертывание и сопровождение моделей. В отличие от теоретических учебников, она фокусируется на реальных паттернах проектирования и жизненном цикле ML-проекта. Издание предназначено для специалистов, уже знакомых с основами машинного обучения и планирующих применять его в крупномасштабных проектах.</t>
  </si>
  <si>
    <t>Конформное прогнозирование в Python</t>
  </si>
  <si>
    <t>Валерий Манохин</t>
  </si>
  <si>
    <t>Конформное прогнозирование в Python.pdf</t>
  </si>
  <si>
    <t>Книга посвящена конформному прогнозированию — современному подходу для количественной оценки неопределенности в машинном обучении. В ней рассматриваются ключевые концепции, такие как меры конформности, p-значения, валидность и эффективность предикторов, а также практическое применение для задач классификации, регрессии и временных рядов. Издание предназначено для специалистов по data science и ML-инженеров, уже имеющих базовые знания в области машинного обучения и программирования на Python.</t>
  </si>
  <si>
    <t>Крупномасштабное машинное обучение</t>
  </si>
  <si>
    <t>Крупномасштабное_машинное_обучение.pdf</t>
  </si>
  <si>
    <t>Данный фрагмент книги посвящён крупномасштабному машинному обучению, рассматривая методы и алгоритмы, позволяющие эффективно обрабатывать и анализировать большие объёмы данных. Ключевые концепции включают распределённые вычисления, масштабируемые модели и оптимизацию производительности. Книга предназначена для специалистов в области Data Science и инженеров машинного обучения, уже имеющих базовые знания в этой сфере.</t>
  </si>
  <si>
    <t>Машинное обучение с использованием H2O</t>
  </si>
  <si>
    <t>Кук Д.</t>
  </si>
  <si>
    <t>Кук_Д_Машинное_обучение_с_использованием H2O.pdf</t>
  </si>
  <si>
    <t>Книга Даррена Кука посвящена практическому применению библиотеки H2O для задач машинного обучения и анализа данных. В ней рассматриваются ключевые алгоритмы, такие как градиентный бустинг, случайный лес и глубокое обучение, а также методы работы с большими данными и автоматизации моделей (AutoML). Издание ориентировано на специалистов по данным и разработчиков, уже имеющих базовые знания в области статистики и программирования, но желающих освоить инструмент H2O для построения масштабируемых моделей.</t>
  </si>
  <si>
    <t>Математика в машинном обучении</t>
  </si>
  <si>
    <t>Марк Питер Дайзенрот; А. Альдо Фейзал; Чен Сунь Он</t>
  </si>
  <si>
    <t>Математика в машинном обучении.pdf</t>
  </si>
  <si>
    <t>Эта книга представляет собой фундаментальное руководство по математическим основам машинного обучения, объединяющее линейную алгебру, аналитическую геометрию, векторный анализ, оптимизацию, теорию вероятностей и статистику в единую концепцию. Ключевые разделы охватывают матричные разложения, непрерывную оптимизацию и четыре основных метода МО: линейную регрессию, метод главных компонент, гауссово моделирование и метод опорных векторов. Издание предназначено как для начинающих, желающих развить интуицию и получить практический опыт, так и для специалистов с базовым математическим образованием, стремящихся углубить знания в области машинного обучения.</t>
  </si>
  <si>
    <t>Machine Learning with Python Cookbook: Practical Solutions from Preprocessing to Deep Learning</t>
  </si>
  <si>
    <t>Машинное оббучение с использованием_Python_Сборник рецептов_2019.pdf</t>
  </si>
  <si>
    <t>Книга представляет собой практическое руководство по машинному обучению на Python, содержащее около 200 рецептов для решения конкретных задач. Ключевые разделы охватывают обработку данных, работу с векторами и матрицами, отбор моделей, регрессию, классификацию, кластеризацию и нейронные сети. Каждый рецепт включает готовый программный код с подробными объяснениями, что делает книгу полезной для разработчиков систем машинного обучения, уже имеющих базовые знания.</t>
  </si>
  <si>
    <t>Машинное обучение для детей. Практическое введение в искусственный интеллект</t>
  </si>
  <si>
    <t>Дейл Лейн</t>
  </si>
  <si>
    <t>Машинное обучение для детей.pdf</t>
  </si>
  <si>
    <t>Книга представляет собой практическое введение в искусственный интеллект и машинное обучение для детей, основанное на выполнении 13 проектов в среде визуального программирования Scratch. Ключевые концепции включают обучение моделей, тестирование и создание проектов, таких как сортировка изображений и игра «Камень, ножницы, бумага». Издание предназначено для школьников и абсолютных новичков, не имеющих опыта в программировании.</t>
  </si>
  <si>
    <t>Машинное обучение доступным языком</t>
  </si>
  <si>
    <t>Елена Капаца</t>
  </si>
  <si>
    <t>Машинное обучение доступным языком.pdf</t>
  </si>
  <si>
    <t>Книга Елены Капацы «Машинное обучение доступным языком» представляет собой краткий гайд для новичков, объясняющий основы машинного и глубокого обучения простым языком, без сложных формул, но с разбором кода на Python. В ней рассматриваются ключевые этапы работы с данными (ETL, EDA, обработка пропусков и аномалий), типы данных, построение и валидация моделей, а также основы глубокого обучения, включая многослойный перцептрон. Издание предназначено для студентов технических специальностей и всех, кто хочет освоить базовый инструментарий Data Science, избавившись от страха перед технологией.</t>
  </si>
  <si>
    <t>Машинное обучение и Искусственный Интеллект</t>
  </si>
  <si>
    <t>Машинное обучение и ИИ.pdf</t>
  </si>
  <si>
    <t>Фрагмент книги Тимура Машнина посвящён введению в искусственный интеллект (ИИ) и машинное обучение. Автор объясняет, что ИИ — это не симуляция человеческого разума, а набор математических алгоритмов, позволяющих компьютерам самостоятельно находить закономерности в данных, а также рассматривает концепцию «дополненного интеллекта», расширяющего возможности человека. Ключевые темы включают рост интереса к ИИ из-за увеличения объёмов данных и вычислительных мощностей, а также отличие машинного обучения от традиционного программирования. Материал предназначен для новичков, желающих понять базовые принципы и терминологию в области ИИ.</t>
  </si>
  <si>
    <t>Low-Code AI</t>
  </si>
  <si>
    <t>Gwendolyn Stripling; Michael Abel</t>
  </si>
  <si>
    <t>Машинное обучение с малым объемом кодирования.pdf</t>
  </si>
  <si>
    <t>Книга «Машинное обучение с малым объемом кодирования» представляет собой практическое введение в машинное обучение, ориентированное на решение реальных бизнес-задач с минимальным написанием кода. В ней рассматриваются три подхода: полностью автоматизированное обучение (AutoML), обучение с малым объемом кодирования (BigQuery ML) и создание пользовательских моделей на Python с использованием библиотек scikit-learn и Keras. Ключевые разделы охватывают полный рабочий процесс корпоративного ML — от постановки бизнес-цели и сбора данных до развертывания и поддержки моделей. Книга предназначена для студентов, начинающих ML-инженеров и аналитиков данных, не требующих глубоких предварительных знаний в машинном обучении или программировании.</t>
  </si>
  <si>
    <t>Advances in Financial Machine Learning</t>
  </si>
  <si>
    <t>Marcos Lopez de Prado</t>
  </si>
  <si>
    <t>Машинное обучение- алгоритмы для бизнеса.pdf</t>
  </si>
  <si>
    <t>Машинное обучение без лишних слов</t>
  </si>
  <si>
    <t>Машинное_обучение_без_лишних_слов_2020_Андрей_Бурков.pdf</t>
  </si>
  <si>
    <t>Книга Андрея Буркова «Машинное обучение без лишних слов» представляет собой краткое и практическое введение в машинное обучение, где автор объясняет, что обучение машин сводится к поиску математических формул по данным. Ключевые разделы охватывают фундаментальные алгоритмы (линейная и логистическая регрессия, деревья решений, метод опорных векторов), анатомию алгоритмов обучения, градиентный спуск и практические аспекты, такие как проектирование признаков и борьба с переобучением. Книга предназначена для начинающих специалистов и аналитиков, желающих быстро освоить работающие методы без излишней академичности.</t>
  </si>
  <si>
    <t>Машинное обучение для алгоритмической торговли на финансовых рынках. Практикум</t>
  </si>
  <si>
    <t>Янсен Стефан</t>
  </si>
  <si>
    <t>Машинное_обучение_для_алгоритмической_торговли_на_финансовых_рынках.pdf</t>
  </si>
  <si>
    <t>Книга Стефана Янсена посвящена практическому применению машинного обучения для создания алгоритмических торговых стратегий на финансовых рынках. В ней рассматриваются работа с данными через Python, построение статистических моделей (ARIMA), байесовское обучение, обработка естественного языка для анализа новостей, а также создание нейронных сетей и использование подкрепляемого обучения. Издание предназначено для финансовых аналитиков и программистов на Python, имеющих базовый уровень подготовки и желающих углубиться в практическую реализацию алгоритмической торговли.</t>
  </si>
  <si>
    <t>Machine Learning Design Patterns</t>
  </si>
  <si>
    <t>Valliappa Lakshmanan; Sara Robinson; Michael Munn</t>
  </si>
  <si>
    <t>Машинное_обучение_Паттерны_проектирования_2022_Лакшманан,_Мунн,.pdf</t>
  </si>
  <si>
    <t>Книга «Машинное обучение. Паттерны проектирования» посвящена лучшим практическим подходам к решению типичных задач машинного обучения, включая подготовку данных, построение моделей и MLOps. В ней подробно разбираются 30 паттернов проектирования, охватывающих представление данных, тренировку моделей, обеспечение воспроизводимости и отказоустойчивости. Каждый паттерн содержит постановку задачи, варианты решений и рекомендации по выбору подходящего технического приема. Издание предназначено для программистов и специалистов в области машинного обучения, уже имеющих базовый опыт работы с моделями и фреймворками.</t>
  </si>
  <si>
    <t>Метаобучение</t>
  </si>
  <si>
    <t>Павел Браздил; Ян ван Рейн; Карлос Соарес; Хоакин Ваншорен</t>
  </si>
  <si>
    <t>Метаобучение..pdf</t>
  </si>
  <si>
    <t>Книга представляет собой всестороннее введение в метаобучение и автоматизированное машинное обучение (AutoML), охватывая такие ключевые концепции, как оптимизация гиперпараметров, ансамбли, рабочие процессы и выбор алгоритмов на основе метаданных. В ней рассматриваются архитектура систем, методы оценки, а также передовые технологии, включая настройку конвейеров и перенос метамоделей. Издание предназначено для исследователей и аспирантов в области машинного обучения, интеллектуального анализа данных и искусственного интеллекта.</t>
  </si>
  <si>
    <t>Machine Learning Pocket Reference</t>
  </si>
  <si>
    <t>Matt Harrison</t>
  </si>
  <si>
    <t>Мэтт_Харрисон_Машинное_обучение_карманный_справочник_Python.pdf</t>
  </si>
  <si>
    <t>Книга Мэтта Харрисона «Машинное обучение: карманный справочник» представляет собой краткое практическое руководство по работе со структурированными данными на Python. Ключевые разделы охватывают полный цикл машинного обучения: от очистки и предварительной обработки данных, выбора признаков и работы с несбалансированными классами до построения моделей классификации, регрессии, кластеризации и их оценки. Издание предназначено для специалистов, уже знакомых с основами Python, которые хотят получить компактный набор готовых рецептов и примеров кода для быстрого применения методов машинного обучения.</t>
  </si>
  <si>
    <t>Самообучающиеся системы</t>
  </si>
  <si>
    <t>Сергей Николенко;Александр Тулупьев</t>
  </si>
  <si>
    <t>Николенко Самообучающиеся системы 2009.pdf</t>
  </si>
  <si>
    <t>Книга «Самообучающиеся системы» Сергея Николенко и Александра Тулупьева посвящена машинному обучению — одной из наиболее практически применимых и быстроразвивающихся областей современной информатики. В ней рассматриваются ключевые методы и аппараты, такие как деревья принятия решений, искусственные нейронные сети, генетические алгоритмы, байесовские классификаторы, алгоритмы кластеризации и обучение с подкреплением. Издание сочетает математическую строгость с увлекательным и доступным языком, что делает его полезным как для старшеклассников и студентов, так и для профессиональных исследователей и аспирантов.</t>
  </si>
  <si>
    <t>Pragmatic AI: An Introduction to Cloud-Based Machine Learning</t>
  </si>
  <si>
    <t>Noah Gift</t>
  </si>
  <si>
    <t>Ной_Гифт_Прагматичный_ИИ 2019.pdf</t>
  </si>
  <si>
    <t>Книга Ноя Гифта «Прагматичный ИИ» посвящена практическому применению искусственного интеллекта и машинного обучения в облачных средах. Ключевые разделы охватывают введение в ИИ, работу с облачными платформами Google и Amazon AWS, а также создание реальных приложений, таких как прогнозирование популярности в соцсетях и оптимизация виртуальных узлов. Издание предназначено для профессиональных архитекторов, разработчиков и аналитиков, владеющих языком Python.</t>
  </si>
  <si>
    <t>Обучение с малым количеством данных</t>
  </si>
  <si>
    <t>Обучение с малым количеством данных.pdf</t>
  </si>
  <si>
    <t>Книга посвящена методам машинного обучения, эффективно работающим в условиях дефицита размеченных данных. В ней рассматриваются ключевые концепции, такие как few-shot и zero-shot обучение, мета-обучение, аугментация данных и трансферное обучение. Издание предназначено для специалистов в области Data Science и ML-инженеров, уже знакомых с основами машинного обучения и желающих освоить продвинутые техники работы с малыми выборками.</t>
  </si>
  <si>
    <t>Основы ИИ в примерах на Python..pdf</t>
  </si>
  <si>
    <t>Книга Анатолия Постолита представляет собой самоучитель по основам искусственного интеллекта с практической реализацией на языке Python. В ней рассматриваются базовые концепции ИИ, построение нейронных сетей, а также работа с популярными библиотеками, такими как TensorFlow, Keras и OpenCV, для решения задач распознавания изображений. Издание предназначено для программистов, желающих освоить инструменты ИИ с нуля, и содержит обновлённые примеры и коды для второго издания.</t>
  </si>
  <si>
    <t>Основы машинного обучения</t>
  </si>
  <si>
    <t>Поляков Кирилл Игоревич</t>
  </si>
  <si>
    <t>Основы машинного обучения (1).pdf</t>
  </si>
  <si>
    <t>Этот фрагмент книги Кирилла Полякова представляет собой введение в машинное обучение, написанное доступным языком без сложных формул. В нём объясняются базовые цели (например, регрессия для предсказания цен), ключевые элементы (данные и признаки) и основные разделы, такие как обучение с учителем, без учителя и с подкреплением. Книга предназначена для новичков, желающих получить практическое понимание темы на примерах реальных задач.</t>
  </si>
  <si>
    <t>Основы статистического обучения.pdf</t>
  </si>
  <si>
    <t>Фрагмент представляет собой выходные данные книги «Основы статистического обучения» Тревора Хасти, Роберта Тибширани и Джерома Фридмана, которая является фундаментальным учебником по статистическому обучению, интеллектуальному анализу данных и прогнозированию. Ключевые разделы книги охватывают линейные методы регрессии и классификации, разложение по базису, регуляризацию, ядерные методы, бустинг, нейронные сети, метод опорных векторов, случайные леса и обучение без учителя. Издание предназначено для специалистов и исследователей в области статистики, машинного обучения и анализа данных, имеющих серьезную математическую подготовку.</t>
  </si>
  <si>
    <t>Основы_искусственного_интеллекта_в_примерах_на_Python_2021_Постолит.pdf</t>
  </si>
  <si>
    <t>Книга представляет собой самоучитель по основам искусственного интеллекта с практической реализацией на языке Python. В ней рассматриваются базовые концепции ИИ, построение нейронных сетей, а также работа с библиотеками PyBrain, Scikit-learn, Keras, TensorFlow, ImageAI и OpenCV для распознавания изображений и обучения моделей. Издание включает введение в Python, установку инструментов и создание оконных приложений. Книга предназначена для программистов начального и среднего уровня, желающих освоить практические аспекты ИИ.</t>
  </si>
  <si>
    <t>PACKT Publishing</t>
  </si>
  <si>
    <t>Построение_систем_машинного_обучения_Python 2016.pdf</t>
  </si>
  <si>
    <t>Книга посвящена построению практических систем машинного обучения на языке Python. В ней рассматриваются ключевые концепции, такие как классификация, визуализация данных, предварительная обработка, а также работа с библиотеками NumPy, SciPy и scikit-learn. Издание предназначено для программистов и аналитиков, уже владеющих Python и желающих научиться извлекать ценную информацию из данных.</t>
  </si>
  <si>
    <t>Прагматичный ИИ.pdf</t>
  </si>
  <si>
    <t>Книга Ноя Гифта «Прагматичный ИИ» посвящена практическому применению искусственного интеллекта и машинного обучения в облачных средах. Ключевые разделы охватывают введение в ИИ и инструменты ML, разработку на платформах Google Cloud и Amazon Web Services, а также создание реальных приложений (от прогнозирования популярности в соцсетях до оптимизации виртуальных серверов). Издание предназначено для архитекторов, разработчиков и аналитиков, уже имеющих базовый опыт программирования, и предлагает решение реалистичных бизнес-задач на языке Python.</t>
  </si>
  <si>
    <t>Hands-On Unsupervised Learning Using Python</t>
  </si>
  <si>
    <t>Ankur A. Patel</t>
  </si>
  <si>
    <t>Прикладное машинное обуч без учителя -Python.pdf</t>
  </si>
  <si>
    <t>Книга Анкура Патела «Прикладное машинное обучение без учителя с использованием Python» посвящена практическому применению методов обучения без учителя для анализа неразмеченных данных. Ключевые разделы охватывают снижение размерности, кластеризацию, обнаружение аномалий, а также глубокое обучение с использованием библиотек Scikit-learn, TensorFlow и Keras, включая автокодировщики и генеративно-состязательные сети. Издание предназначено для специалистов по data science и инженеров машинного обучения, уже знакомых с основами программирования на Python и базовыми концепциями машинного обучения.</t>
  </si>
  <si>
    <t>Applied Machine Learning and AI for Engineers</t>
  </si>
  <si>
    <t>Jeff Prosise</t>
  </si>
  <si>
    <t>Прикладное машинное обучение и искусственный интеллект для инженеров.pdf</t>
  </si>
  <si>
    <t>Книга Джефа Просиза посвящена практическому применению машинного обучения и искусственного интеллекта для решения бизнес-задач, которые невозможно решить алгоритмически. В ней подробно разбираются ключевые концепции, включая регрессионные модели, деревья решений, случайные леса, метод опорных векторов, а также создание нейронных сетей с помощью библиотек Keras и TensorFlow. Издание предназначено для инженеров и разработчиков программного обеспечения, имеющих базовый уровень подготовки и желающих освоить прикладные аспекты ML и AI.</t>
  </si>
  <si>
    <t>Прикладной анализ текстовых данных на Python. Машинное обучение и создание приложений обработки естественного языка</t>
  </si>
  <si>
    <t>Бенджамин Бенгфорт; Ребекка Билбро; Тони Охеда</t>
  </si>
  <si>
    <t>Прикладной_анализ_текстовых_данных_на_Python 2019.pdf</t>
  </si>
  <si>
    <t>Книга «Прикладной анализ текстовых данных на Python» посвящена применению методов машинного обучения для обработки естественного языка (NLP) и создания языковых продуктов. Ключевые разделы охватывают создание корпусов, предварительную обработку текста, векторизацию, классификацию, кластеризацию, визуализацию, графовый анализ, разработку чат-ботов, масштабирование и глубокое обучение. Издание предназначено для специалистов, уже знакомых с Python и основами машинного обучения, которые хотят научиться решать практические задачи анализа текста.</t>
  </si>
  <si>
    <t>Foliant</t>
  </si>
  <si>
    <t>Проектирование систем машинного обучения.pdf</t>
  </si>
  <si>
    <t>Книга «Проектирование систем машинного обучения» Чипа Хьюена посвящена высокоуровневому подходу к разработке надёжных, масштабируемых и поддерживаемых ML-систем, выходящему за рамки конкретных библиотек. Ключевые разделы охватывают сравнение ML в исследованиях и производстве, отличие ML-систем от традиционного ПО, а также требования к надёжности, масштабируемости и обслуживаемости. Издание адресовано программистам и специалистам по data science, стремящимся создавать производственные решения, избегая переобучения и искажения результатов.</t>
  </si>
  <si>
    <t>Разработка конвейеров ML с использованием TensorFlow.pdf</t>
  </si>
  <si>
    <t>Книга Ханнеса Хапке и Кэтрин Нельсон посвящена автоматизации жизненных циклов моделей машинного обучения с помощью фреймворка TensorFlow Extended (TFX). В ней подробно рассматриваются этапы построения конвейеров: загрузка и версионирование данных, их проверка и предварительная обработка, обучение, настройка и анализ модели, а также управление версиями и развертывание. Издание предназначено для специалистов в области машинного обучения и инженеров, уже знакомых с основными концепциями ML и фреймворками вроде TensorFlow или PyTorch.</t>
  </si>
  <si>
    <t>Building Intelligent Systems: A Guide to Machine Learning Engineering</t>
  </si>
  <si>
    <t>Geoff Hulten</t>
  </si>
  <si>
    <t>Разработка_интеллектуальных_систем.pdf</t>
  </si>
  <si>
    <t>Эта книга представляет собой практическое руководство по созданию интеллектуальных систем с использованием машинного обучения, охватывающее полный цикл разработки — от анализа применимости и работы с данными до внедрения. Ключевые разделы включают основы интеллектуальных систем, анализ их применимости для различных типов задач и краткие основы работы с данными, включая концепции машинного обучения и распространенные ошибки. Издание предназначено для инженеров-программистов, специалистов по машинному обучению и руководителей проектов, имеющих базовые навыки разработки и желающих создавать эффективные интеллектуальные системы.</t>
  </si>
  <si>
    <t>Practical Recommender Systems</t>
  </si>
  <si>
    <t>Kim Falk</t>
  </si>
  <si>
    <t>Рекомендательные системы на практике.pdf</t>
  </si>
  <si>
    <t>Книга Кима Фалька посвящена рекомендательным системам, которые собирают данные о пользователях и формируют персонализированные предложения на основе их предпочтений. В ней рассматриваются ключевые алгоритмы, методы сбора данных о поведении пользователей, оценка эффективности систем и их интеграция, начиная с общего обзора и заканчивая практическими нюансами. Издание предназначено для широкого круга разработчиков и специалистов по анализу данных, включая как новичков, так и опытных практиков.</t>
  </si>
  <si>
    <t>Создание приложений машинного обучения: от идеи к продукту</t>
  </si>
  <si>
    <t>Эммануэль Амейзен</t>
  </si>
  <si>
    <t>Создание приложений ML.pdf</t>
  </si>
  <si>
    <t>Эта книга представляет собой практическое руководство по созданию приложений на основе машинного обучения (МО), охватывающее полный цикл от идеи до развертывания. Ключевые разделы включают оценку осуществимости модели, планирование проекта, измерение успеха с точки зрения бизнеса и производительности модели, а также стратегии развертывания и мониторинга. Издание предназначено для специалистов по обработке данных, разработчиков программного обеспечения и продакт-менеджеров, имеющих базовую подготовку и желающих освоить создание реальных МО-продуктов.</t>
  </si>
  <si>
    <t>Технологии машинного обучения</t>
  </si>
  <si>
    <t>П.Е. Гладилин; К.О. Боченина</t>
  </si>
  <si>
    <t>Технологии машинного обучения -учебное пособие ИТМО 2020.pdf</t>
  </si>
  <si>
    <t>Данное учебно-методическое пособие, разработанное в Университете ИТМО, посвящено практическому освоению технологий машинного обучения через выполнение лабораторных работ. Ключевые разделы охватывают метрики качества классификации, предобработку данных, функции ошибок, алгоритмы кластеризации, обработку естественного языка, методы оптимизации в глубоком обучении, сверточные сети для работы с изображениями и анализ временных рядов. Пособие предназначено для студентов магистратуры технических направлений, а также для аспирантов и научных работников, уже имеющих базовую подготовку и стремящихся получить практические навыки построения моделей.</t>
  </si>
  <si>
    <t>ChatGPT Prompts Mastering</t>
  </si>
  <si>
    <t>Brown, Christian</t>
  </si>
  <si>
    <t>Xtro Media</t>
  </si>
  <si>
    <t>ИИ/Промпт инжиниринг</t>
  </si>
  <si>
    <t>Промпт инжиниринг</t>
  </si>
  <si>
    <t>ChatGPT.Prompts.Mastering.pdf</t>
  </si>
  <si>
    <t>C:\Users\alexa\YandexDisk\Книги\ИИ\Промпт инжиниринг</t>
  </si>
  <si>
    <t>Эта книга представляет собой практическое руководство по освоению эффективных промтов для ChatGPT, предназначенное для пользователей любого уровня — от новичков до продвинутых. Автор объясняет принципы работы нейросети, роль промтов в диалоге и предлагает пошаговые инструкции по их созданию, включая технику «Act as...». Основной объём книги занимает каталог из более чем 100 готовых промтов для самых разных задач: от программирования и перевода до роли психолога, шеф-повара или игрового персонажа.</t>
  </si>
  <si>
    <t>GPT-4. Руководство по использованию API Open AI</t>
  </si>
  <si>
    <t>GPT-4. Руководство по использованию API Open AI.pdf</t>
  </si>
  <si>
    <t>Книга Аймена Эль Амри посвящена практическому использованию API OpenAI, в частности моделей GPT-3.5 и GPT-4, для создания приложений на Python. В ней рассматриваются ключевые концепции работы с моделями, такие как управление креативностью через параметры температуры, настройка ролей system/user/assistant, работа с токенами и потоковая передача данных. Среди практических примеров — создание интерактивного психотерапевта, голосового помощника и системы распознавания речи с использованием Whisper и векторных баз данных. Издание предназначено для разработчиков, владеющих основами Python и желающих применять GPT в реальных прикладных задачах.</t>
  </si>
  <si>
    <t>How to Create an Advanced Chatbot</t>
  </si>
  <si>
    <t>Hamilton, A.C.</t>
  </si>
  <si>
    <t>Digital Age Media</t>
  </si>
  <si>
    <t>How to Create an Advanced Chatbot.pdf</t>
  </si>
  <si>
    <t>Книга представляет собой практическое руководство по созданию продвинутых чат-ботов с использованием OpenAI ChatGPT, охватывающее установку, интеграцию, обучение модели и тестирование. Ключевые разделы включают настройку ChatGPT, построение сценариев и тренировочных данных, продвинутые методы NLP и машинного обучения, а также лучшие практики для проектирования диалогов. Издание предназначено для начинающих и специалистов, интересующихся разработкой чат-ботов, и написано самим автором с помощью ChatGPT, что подчеркивает практическую демонстрацию возможностей инструмента.</t>
  </si>
  <si>
    <t>Prompt Engineering for LLMs</t>
  </si>
  <si>
    <t>John Berryman;Albert Ziegler</t>
  </si>
  <si>
    <t>Prompt Engineering for LLMs_True.pdf</t>
  </si>
  <si>
    <t>Книга «Prompt Engineering for LLMs» Джона Берримана и Альберта Зиглера посвящена искусству и науке составления промптов для больших языковых моделей (LLM), что является ключом к созданию эффективных приложений на их основе. Авторы, стоявшие у истоков GitHub Copilot, обучают пониманию архитектуры LLM и практическим техникам, таким как few-shot learning, chain-of-thought и RAG, для построения стратегии взаимодействия с моделью. Издание предназначено как для новичков, желающих освоить философию промпт-инжиниринга, так и для специалистов, стремящихся создавать промышленные LLM-продукты.</t>
  </si>
  <si>
    <t>The Prompting Book</t>
  </si>
  <si>
    <t>Fatih Kadir Akın</t>
  </si>
  <si>
    <t>prompting-book-en-print.pdf</t>
  </si>
  <si>
    <t>Книга «The Prompting Book» Фатиха Кадира Акына представляет собой практическое руководство по составлению эффективных запросов для ИИ, основанное на опыте автора, создавшего популярный репозиторий «Awesome ChatGPT Prompts». В книге рассматриваются фундаментальные принципы работы с ИИ, ключевые техники (ролевой промптинг, цепочка рассуждений, структурированный вывод) и продвинутые стратегии, включая системные промпты и мультимодальное взаимодействие. Издание предназначено как для новичков, только начинающих знакомство с ИИ, так и для опытных пользователей, желающих углубить свои навыки и избежать типичных ошибок.</t>
  </si>
  <si>
    <t>Книга по Промптингу</t>
  </si>
  <si>
    <t>prompting-book-ru-print.pdf</t>
  </si>
  <si>
    <t>Эта книга представляет собой практическое руководство по промпт-инженерии, охватывающее все этапы — от основ взаимодействия с ИИ до продвинутых стратегий, таких как цепочки рассуждений, ролевой промптинг и мультимодальные запросы. Автор, создатель популярного репозитория Awesome ChatGPT Prompts, делится техниками структурированного вывода, итеративного улучшения и лучшими практиками для избегания типичных ошибок. Книга предназначена как для новичков, только начинающих работать с ИИ, так и для опытных пользователей, желающих углубить свои навыки.</t>
  </si>
  <si>
    <t>Метакогнитивная промпт-инженерия</t>
  </si>
  <si>
    <t>Метакогнитивная промпт-инженерия.pdf</t>
  </si>
  <si>
    <t>Эта книга посвящена метакогнитивной промпт-инженерии — новому подходу, который превращает большие языковые модели из простых исполнителей в интеллектуальных помощников, способных анализировать собственное мышление. В ней рассматриваются ключевые концепции, включая метакогницию человека, традиционные техники промптинга (Chain-of-Thought, Tree-of-Thoughts) и четырнадцать продвинутых метакогнитивных техник, таких как метакалибровка уверенности. Издание предназначено для разработчиков интеллектуальных систем, аналитиков, исследователей и руководителей технических отделов, то есть для специалистов, желающих освоить передовые методы взаимодействия с ИИ.</t>
  </si>
  <si>
    <t>Нейросети для аналитиков данных</t>
  </si>
  <si>
    <t>Нейросети для аналитиков 20%.pdf</t>
  </si>
  <si>
    <t>Эта книга посвящена интеграции нейросетей в работу аналитика данных для автоматизации рутинных задач и повышения эффективности. В ней рассматриваются ключевые концепции: какие задачи можно делегировать ИИ (сбор данных, очистка, построение отчетов, визуализация), обзор популярных нейросетей (ChatGPT, Gemini, YandexGPT и др.) и принципы написания идеального промпта. Издание предназначено для аналитиков любого уровня, от новичков до опытных специалистов, желающих освоить ИИ-инструменты для ускорения анализа и поиска инсайтов.</t>
  </si>
  <si>
    <t>Промт-инжиниринг для GenAI. Паттерны надежных запросов для качественных результатов</t>
  </si>
  <si>
    <t>Феникс Джеймс; Тейлор Майк</t>
  </si>
  <si>
    <t>Промт-инжиниринг для GenAI.pdf</t>
  </si>
  <si>
    <t>Книга посвящена промпт-инжинирингу — методам повышения надежности и точности генеративных моделей ИИ, таких как ChatGPT и DALL-E. Авторы объясняют, как качество входных данных (промптов) напрямую влияет на результаты, и предлагают системный подход к их созданию. В книге рассматриваются пять принципов промтинга, работа с большими языковыми моделями, векторные базы данных, автономные агенты, а также создание изображений с помощью Midjourney и Stable Diffusion. Издание предназначено для широкого круга специалистов, от новичков до опытных пользователей, которые хотят эффективно внедрять ИИ в свои рабочие процессы.</t>
  </si>
  <si>
    <t>Prompt Engineering for LLMs: The Art and Science of Building Large Language Model-Based Applications</t>
  </si>
  <si>
    <t>John Berryman; Albert Ziegler</t>
  </si>
  <si>
    <t>Промт-инжиниринг для LLM. Искусство построения приложений на основе больших языковых моделей.pdf</t>
  </si>
  <si>
    <t>Книга «Промт-инжиниринг для LLM» посвящена науке и искусству создания эффективных запросов (промтов) для больших языковых моделей, а также проектированию приложений на их основе. Ключевые разделы охватывают основы понимания LLM, основные техники составления промтов и продвинутые навыки, включая создание диалоговых агентов и оценку приложений. Издание предназначено для широкого круга читателей — от новичков до опытных специалистов, желающих освоить философские основы и практические приемы взаимодействия с ИИ.</t>
  </si>
  <si>
    <t>6G Key Technologies: A Comprehensive Guide</t>
  </si>
  <si>
    <t>Wei Jiang; Fa-Long Luo</t>
  </si>
  <si>
    <t>Инфраструктура/Глобальные сети</t>
  </si>
  <si>
    <t>Инфраструктура</t>
  </si>
  <si>
    <t>Глобальные сети</t>
  </si>
  <si>
    <t>6G Key Technologies_A Comprehensive Guide.pdf</t>
  </si>
  <si>
    <t>C:\Users\alexa\YandexDisk\Книги\Инфраструктура\Глобальные сети</t>
  </si>
  <si>
    <t>Книга «6G Key Technologies» автора Wei Jiang, опубликованная IEEE Press и John Wiley &amp; Sons в 2023 году, представляет собой техническое руководство, посвященное эволюции сотовых сетей от 0G до 5G и перспективам развития технологий 6G. В предоставленном фрагменте подробно рассматривается история стандартов (глава 1) и эволюция систем и ключевых технологий (глава 2), включая архитектуру и принципы работы поколений от AMPS до LTE. Издание предназначено для специалистов в области телекоммуникаций, инженеров и исследователей, обладающих технической подготовкой.</t>
  </si>
  <si>
    <t>6G and Onward to Next G: The Road to the Multiverse</t>
  </si>
  <si>
    <t>Maier, Martin</t>
  </si>
  <si>
    <t>6G_and_Onward_to_Next_G_The_Road_to_the_Multiverse.pdf</t>
  </si>
  <si>
    <t>Книга Мартина Майера «6G and Onward to Next G: The Road to the Multiverse» посвящена эволюции сетей связи шестого поколения (6G) и концепции «Next G», выходящей за рамки простого улучшения 5G. Ключевые темы включают конвергенцию цифрового и реального миров через Мультивселенную и Метавселенную, а также переход к человеко-центричным кибер-физико-социальным системам в рамках концепций Индустрии 5.0 и Общества 5.0. В книге рассматриваются ключевые технологии, такие как NFT, блокчейн и расширенная реальность (XR), а также их роль в построении устойчивых и умных обществ. Издание предназначено для специалистов в области телекоммуникаций, исследователей и инженеров, интересующихся будущим сетевых технологий и их социальным влиянием.</t>
  </si>
  <si>
    <t>Computer Networking: A Top-Down Approach, 7th Edition</t>
  </si>
  <si>
    <t>James F. Kurose; Keith W. Ross</t>
  </si>
  <si>
    <t>Computer Networking _ A Top Down Approach, 7th, converted.pdf</t>
  </si>
  <si>
    <t>Фрагмент представляет собой выходные данные и предисловие к седьмому изданию учебника «Computer Networking: A Top-Down Approach» (Компьютерные сети: подход «сверху вниз»). Книга посвящена изучению компьютерных сетей и Интернета, используя уникальный подход, при котором изучение начинается с прикладного уровня и спускается к физическому. Ключевые разделы охватывают протоколы и архитектуру сетей, измерение трафика, мультимедийную связь и моделирование производительности. Учебник предназначен для студентов и специалистов в области компьютерных наук, имеющих базовую подготовку, и широко используется в университетских курсах.</t>
  </si>
  <si>
    <t>Computer Networks</t>
  </si>
  <si>
    <t>Andrew S. Tanenbaum</t>
  </si>
  <si>
    <t>Computer Networks (Andrew S. Tanenbaum).pdf</t>
  </si>
  <si>
    <t>Этот фрагмент представляет собой оглавление классического учебника Эндрю Таненбаума «Компьютерные сети». Книга последовательно охватывает все уровни сетевой модели OSI и TCP/IP: от физического и канального уровня до транспортного, прикладного и вопросов сетевой безопасности. Ключевые разделы включают теорию передачи данных, протоколы маршрутизации, Ethernet, TCP/IP, DNS и криптографию. Учебник предназначен для студентов технических специальностей и специалистов, уже имеющих базовую подготовку в области информационных технологий.</t>
  </si>
  <si>
    <t>TCP/IP Network Administration</t>
  </si>
  <si>
    <t>Craig Hunt</t>
  </si>
  <si>
    <t>Khant_K_TCP_IP_Setevoe_administrirovanie_3-e_izdanie_1988.pdf</t>
  </si>
  <si>
    <t>Третье издание книги Крэйга Ханта «TCP/IP. Сетевое администрирование» представляет собой полноценное руководство по настройке и сопровождению сетей TCP/IP, начиная с основ работы протоколов, адресации и маршрутизации. Ключевые разделы охватывают современные протоколы маршрутизации (RIPv2, OSPF, BGP), настройку важных сетевых служб (DNS, Apache, sendmail, Samba, PPP, DHCP), а также вопросы безопасности и устранения неполадок. Книга предназначена как для системных администраторов, так и для пользователей домашних компьютеров, имеющих доступ к Интернету.</t>
  </si>
  <si>
    <t>TCP/IP. Учебный курс</t>
  </si>
  <si>
    <t>TCP_IP_Uchebnyi_kurs.djvu</t>
  </si>
  <si>
    <t>Книга представляет собой учебный курс по протоколам TCP/IP, подробно рассматривающий принципы работы стека протоколов, маршрутизацию и адресацию в сетях. Ключевые разделы включают описание модели OSI, структуру IP-пакетов, механизмы установки TCP-соединений и настройку сетевых интерфейсов. Материал ориентирован на начинающих специалистов и студентов, изучающих компьютерные сети, и изложен с акцентом на практическое применение.</t>
  </si>
  <si>
    <t>The Illustrated Network</t>
  </si>
  <si>
    <t>Walter Goralski</t>
  </si>
  <si>
    <t>The Illustrated Network.pdf</t>
  </si>
  <si>
    <t>Эта книга Уолтера Горальски представляет собой практическое руководство по работе стека протоколов TCP/IP в современных сетях. В ней подробно рассматриваются базовые концепции, такие как протоколы, уровни модели TCP/IP, инкапсуляция данных, а также работа сетевых устройств и приложений. Издание предназначено как для новичков, желающих понять основы сетевого взаимодействия, так и для практикующих специалистов, стремящихся углубить знания через анализ реального трафика с помощью Wireshark.</t>
  </si>
  <si>
    <t>Компьютерные сети. Принципы, технологии, протоколы</t>
  </si>
  <si>
    <t>В. Олифер; Н. Олифер</t>
  </si>
  <si>
    <t>V_Olifer_N_Olifer_Компьютерные сетиpdf.pdf</t>
  </si>
  <si>
    <t>Это пятое издание учебника по компьютерным сетям, охватывающее принципы построения, технологии и протоколы передачи данных. Ключевые разделы включают эволюцию сетей, локальные и глобальные сети, виртуализацию сетевых функций и облачные сервисы, а также вопросы безопасности. Книга предназначена для студентов, аспирантов и технических специалистов, желающих получить базовые и углубленные знания в области сетевых технологий.</t>
  </si>
  <si>
    <t>Wireshark Fundamentals: A Network Engineer’s Handbook to Analyzing Network Traffic</t>
  </si>
  <si>
    <t>Vinit Jain</t>
  </si>
  <si>
    <t>Wireshark_Fundamentals_A_Network_Engineer_s_Handbook_to_Analyzin 2021.pdf</t>
  </si>
  <si>
    <t>Книга «Wireshark Fundamentals» представляет собой практическое руководство для инженеров сетей по анализу сетевого трафика с помощью Wireshark. В ней рассматриваются основы анализа трафика, установка Wireshark на Windows и Mac, а также настройка портов зеркалирования (SPAN) на оборудовании Cisco, Arista и Juniper. Издание предназначено для специалистов среднего уровня, желающих освоить инструменты сниффинга и диагностики сетей.</t>
  </si>
  <si>
    <t>Компьютерные сети. Настольная книга</t>
  </si>
  <si>
    <t>dombrovskaya.is</t>
  </si>
  <si>
    <t>Кoмпьютерные_сeти_Настoльная_книга.pdf</t>
  </si>
  <si>
    <t>Этот фрагмент представляет собой выходные данные и оглавление шестого издания книги «Компьютерные сети» Джеймса Куроуза и Кита Росса. Книга посвящена устройству и принципам работы компьютерных сетей и Интернета, используя нисходящий подход (от прикладного уровня к физическому). Ключевые разделы охватывают архитектуру Интернета, протоколы, коммутацию пакетов и каналов, задержки и многоуровневые модели. Издание предназначено для студентов и специалистов, изучающих сетевые технологии, и содержит педагогические материалы для углубленного понимания.</t>
  </si>
  <si>
    <t>Как устроен Интернет</t>
  </si>
  <si>
    <t>Как устроен Интернет.pdf</t>
  </si>
  <si>
    <t>Книга «Как устроен Интернет» посвящена объяснению принципов работы глобальной сети, её инфраструктуры и протоколов. В ней рассматриваются ключевые концепции, такие как IP-адресация, маршрутизация, DNS и передача данных. Издание ориентировано на новичков и широкий круг читателей, желающих понять основы функционирования Интернета без углубления в технические детали.</t>
  </si>
  <si>
    <t>Communication Networks: A Concise Introduction</t>
  </si>
  <si>
    <t>Jean Walrand; Shyam Parekh</t>
  </si>
  <si>
    <t>Коммуникационные сети краткое введение.pdf</t>
  </si>
  <si>
    <t>Книга посвящена основным принципам проектирования и функционирования интернета, включая такие ключевые концепции, как коммутация пакетов, адресация, маршрутизация, управление перегрузками и потоком, а также метрики производительности сети. В ней рассматриваются фундаментальные идеи, лежащие в основе сетевой инфраструктуры, и даётся целостное описание работы интернета без излишних технических деталей. Издание предназначено для ИТ-специалистов, студентов, преподавателей, а также может быть полезно широкому кругу читателей, интересующихся устройством сетей.</t>
  </si>
  <si>
    <t>Andrew S. Tanenbaum; Nick Feamster; David Wetherall</t>
  </si>
  <si>
    <t>Компьютерные сети 6-е изд..pdf</t>
  </si>
  <si>
    <t>Это шестое издание классического учебника по компьютерным сетям, в котором последовательно рассматриваются все уровни организации сетей — от физического до прикладного. Книга охватывает современные технологии, включая 4G/5G, Ethernet на 100 Гбит/с, интернет вещей, протоколы CUBIC TCP и QUIC, а также сетевую безопасность. Издание предназначено как для студентов, изучающих сетевые технологии, так и для специалистов, желающих углубить знания о современных сетевых решениях и тенденциях их развития.</t>
  </si>
  <si>
    <t>Компьютерные сети</t>
  </si>
  <si>
    <t>Таненбаум Э.; Уэзэрол Д.</t>
  </si>
  <si>
    <t>Компьютерные сети. Таненбаум Э., Уэзэрол Д..djvu</t>
  </si>
  <si>
    <t>Этот фрагмент из книги «Компьютерные сети» Таненбаума и Уэзэрола представляет собой учебник по компьютерным сетям, охватывающий их архитектуру, протоколы и принципы работы. Ключевые концепции включают уровневую модель OSI и TCP/IP, методы передачи данных, маршрутизацию, а также вопросы безопасности и управления сетями. Книга предназначена для студентов технических специальностей и специалистов в области информационных технологий, имеющих базовые знания в программировании и компьютерных системах.</t>
  </si>
  <si>
    <t>COMPUTER NETWORKS</t>
  </si>
  <si>
    <t>Компьютерные_сети_6_е_изд_2023_Эндрю_С_Таненбаум,_Ник_Фимстер,_Дэвид.pdf</t>
  </si>
  <si>
    <t>Шестое издание книги Эндрю Таненбаума, Ника Фимстера и Дэвида Уэзеролла представляет собой фундаментальный труд по компьютерным сетям, в котором последовательно рассматриваются все уровни организации сетей — от физического до прикладного. Ключевые разделы охватывают физический, канальный, сетевой, транспортный и прикладной уровни, а также сетевую безопасность, с акцентом на современные технологии, такие как 4G/5G, интернет вещей и протоколы QUIC. Книга предназначена как для студентов, изучающих компьютерные сети, так и для специалистов, желающих углубить свои знания в этой области.</t>
  </si>
  <si>
    <t>Computer Networking: A Top-Down Approach</t>
  </si>
  <si>
    <t>Компьютерные_сети_Нисходящий_подход.pdf</t>
  </si>
  <si>
    <t>Фрагмент представляет собой выходные данные и оглавление шестого издания книги «Компьютерные сети. Нисходящий подход» Джеймса Куроуза и Кита Росса. Книга посвящена принципам построения и функционирования компьютерных сетей, с акцентом на архитектуру Интернета и многоуровневую модель протоколов. Ключевые разделы включают устройство периферии и ядра сети, коммутацию пакетов и каналов, задержки и пропускную способность, а также вопросы сетевой безопасности. Издание предназначено для студентов и специалистов, изучающих сети с нуля или углубляющих свои знания, и использует нисходящий подход — от прикладного уровня к физическому.</t>
  </si>
  <si>
    <t>Мобильная связь</t>
  </si>
  <si>
    <t>Мобильная связь.pdf</t>
  </si>
  <si>
    <t>Данный фрагмент книги посвящён основам построения и функционирования сетей мобильной связи. В нём рассматриваются ключевые концепции, такие как архитектура сотовой сети, принципы частотного планирования и механизмы передачи данных. Материал ориентирован на новичков и специалистов начального уровня, желающих понять базовые принципы работы мобильных коммуникаций.</t>
  </si>
  <si>
    <t>Олифер Kompyuternye_seti_Printsipy_tekhnologii_protokoly.pdf</t>
  </si>
  <si>
    <t>Этот фрагмент представляет собой введение к четвёртому изданию учебника «Компьютерные сети. Принципы, технологии, протоколы» авторов В. и Н. Олифер. Книга посвящена основам построения компьютерных сетей, их эволюции, традиционным и перспективным технологиям локальных и глобальных сетей, а также методам создания и управления составными сетями. Издание предназначено для студентов, аспирантов и технических специалистов, желающих получить базовые знания в этой области.</t>
  </si>
  <si>
    <t>Сети 6G. Путь от 5G к 6G глазами разработчиков. От подключенных людей и вещей к подключенному интеллекту</t>
  </si>
  <si>
    <t>Вэнь Тонг; Пейин Чжу</t>
  </si>
  <si>
    <t>Сети_6G_Путь_от_5G_к_6G_глазами_разработчиков_От_подключенных_людей.pdf</t>
  </si>
  <si>
    <t>Эта книга представляет собой всестороннее исследование будущего стандарта беспроводной связи 6G, описывая переход от подключения людей и вещей к «подключенному интеллекту». В ней рассматриваются новые сценарии использования, такие как тактильный интернет и голографические дисплеи, а также ключевые технологические тенденции, включая интеграцию ИИ и новые сетевые архитектуры. Издание адресовано исследователям, инженерам и разработчикам, работающим в области беспроводной связи, то есть специалистам высокого уровня.</t>
  </si>
  <si>
    <t>Волоконно-оптические сети и системы связи</t>
  </si>
  <si>
    <t>Скляров О. К.</t>
  </si>
  <si>
    <t>Скляров_О_К_Волоконно_оптические_сети_и_системы_связи_Издательство.pdf</t>
  </si>
  <si>
    <t>Данный фрагмент представляет собой титульную страницу и аннотацию учебного пособия О. К. Склярова «Волоконно-оптические сети и системы связи» (третье издание). Книга посвящена рассмотрению основных протоколов, методов передачи данных, аппаратуры цифровой иерархии, вопросов уплотнения и оптических сетей доступа, а также новых пассивных и активных элементов, включая рамановские усилители и электроабсорбционные модуляторы. Пособие предназначено для студентов технических вузов и будет полезно специалистам в области волоконно-оптической связи.</t>
  </si>
  <si>
    <t>Сети передачи данных</t>
  </si>
  <si>
    <t>Масич, Г.Ф.</t>
  </si>
  <si>
    <t>Издательство Пермского национального исследовательского политехнического университета</t>
  </si>
  <si>
    <t>Учебник - Seti_peredachi_dannykh.pdf</t>
  </si>
  <si>
    <t>Учебно-методическое пособие посвящено технологиям Ethernet и IP, включая принципы построения виртуальных локальных сетей (VLAN), протокол STP, классовую и бесклассовую IP-адресацию, а также протоколы маршрутизации RIP и BGP-4. Ключевые разделы охватывают теоретические основы и практические лабораторные работы по настройке оборудования Cisco для создания сетей передачи данных с заданными свойствами. Книга предназначена для студентов направления «Информатика и вычислительная техника», аспирантов и специалистов в области информационных технологий, то есть для читателей с базовой технической подготовкой.</t>
  </si>
  <si>
    <t>Infrastructure as Code, Patterns and Practices</t>
  </si>
  <si>
    <t>Rosemary Wang</t>
  </si>
  <si>
    <t>Инфраструктура/Инфраструктура как код</t>
  </si>
  <si>
    <t>Инфраструктура как код</t>
  </si>
  <si>
    <t>Infrastructure as Code Patterns and Practices.pdf</t>
  </si>
  <si>
    <t>C:\Users\alexa\YandexDisk\Книги\Инфраструктура\Инфраструктура как код</t>
  </si>
  <si>
    <t>Книга Розмари Ванг «Infrastructure as Code, Patterns and Practices» посвящена применению DevOps-практик, таких как версионирование и непрерывная интеграция, для автоматизации управления инфраструктурой с помощью кода. В ней рассматриваются ключевые принципы (воспроизводимость, идемпотентность, композиционность), шаблоны проектирования модулей и зависимостей, а также вопросы тестирования, непрерывной доставки и безопасности. Издание предназначено для специалистов среднего уровня, знакомых с основами программирования и облачных технологий, желающих систематизировать подходы к управлению инфраструктурой.</t>
  </si>
  <si>
    <t>Patterns and Practices for Infrastructure as Code MEAP V08</t>
  </si>
  <si>
    <t>Patterns and Practices for Infrastructure as Code V8  2022.pdf</t>
  </si>
  <si>
    <t>Эта книга посвящена практическим подходам к управлению инфраструктурой как кодом (IaC) с использованием примеров на Python и Terraform. Она разделена на три части: написание чистого кода инфраструктуры, масштабирование командной работы (включая тестирование, CI/CD и безопасность) и управление сложностью в продакшене (например, через feature flags и blue-green деплоймент). Издание рассчитано на инженеров (DevOps, системных, разработчиков), уже имеющих базовые знания облачных платформ и начальный опыт работы с IaC-инструментами.</t>
  </si>
  <si>
    <t>Terraform Cookbook</t>
  </si>
  <si>
    <t>Kerim Satirli; Taylor Dolezal</t>
  </si>
  <si>
    <t>Terraform Cookbook.pdf</t>
  </si>
  <si>
    <t>Книга «Terraform Cookbook» Керима Сатирли и Тейлора Долезала представляет собой практическое руководство по работе с Terraform — инструментом инфраструктуры как кода, позволяющим безопасно и предсказуемо управлять ресурсами через сотни провайдеров. В первом разделе рассматриваются встроенные функции Terraform, которые помогают проверять, комбинировать и преобразовывать данные для создания более сложной и менее подверженной ошибкам инфраструктуры. Издание предназначено для специалистов, уже знакомых с основами Terraform и HCL, которые хотят получить проверенные рецепты для ускорения работы и избежания типичных ошибок при развёртывании.</t>
  </si>
  <si>
    <t>Terraform.pdf</t>
  </si>
  <si>
    <t>Книга «Terraform. Сборник рецептов» представляет собой практическое руководство по автоматизации облачной инфраструктуры с помощью Terraform, построенное по принципу сборника рецептов с объяснением «как» и «почему». Ключевые разделы охватывают модули и провайдеры Terraform, управление контейнерами, централизованное управление через HCP Terraform, интеграцию с CI/CD и примеры развертывания на AWS и Kubernetes. Издание предназначено как для начинающих DevOps-инженеров, осваивающих концепции «инфраструктура как код», так и для опытных специалистов, интересующихся продвинутыми техниками работы с многооблачными средами.</t>
  </si>
  <si>
    <t>Terraform: инфраструктура на уровне кода</t>
  </si>
  <si>
    <t>Брикман Е.</t>
  </si>
  <si>
    <t>Terraform_инфраструктура_на_уровне_кода.pdf</t>
  </si>
  <si>
    <t>Книга Евгения Брикмана посвящена инструменту Terraform и концепции «инфраструктура как код» (IaC), позволяющей описывать, развертывать и управлять облачной инфраструктурой с помощью декларативного кода. В ней рассматриваются основы работы с Terraform, примеры кода для настройки серверов и полного стека технологий, а также интеграция с DevOps-практиками. Издание предназначено для широкого круга ИТ-специалистов — от системных администраторов и DevOps-инженеров до разработчиков и технических директоров, при этом для чтения достаточно базовых знаний программирования и командной строки.</t>
  </si>
  <si>
    <t>Розмари Ванг</t>
  </si>
  <si>
    <t>Инфраструктура как код.pdf</t>
  </si>
  <si>
    <t>Книга Розмари Ванг «Инфраструктура как код» посвящена методологии управления IT-инфраструктурой с помощью скриптов и конфигурационных файлов на примерах Python и Terraform. В издании рассматриваются ключевые принципы IaC (воспроизводимость, идемпотентность, компонуемость), паттерны построения модулей, тестирование, безопасность, а также стратегии развертывания обновлений и рефакторинга. Материал предназначен для специалистов по инфраструктуре и профессиональных разработчиков, уже знакомых с Python, инструментами конфигурирования и облачными сервисами.</t>
  </si>
  <si>
    <t>Администрирование сетей Cisco</t>
  </si>
  <si>
    <t>Бен Пайп</t>
  </si>
  <si>
    <t>Инфраструктура/Компьютерные сети</t>
  </si>
  <si>
    <t>Администрирование_сетей_Cisco 2018.pdf</t>
  </si>
  <si>
    <t>C:\Users\alexa\YandexDisk\Книги\Инфраструктура\Компьютерные сети</t>
  </si>
  <si>
    <t>Эта книга представляет собой практическое руководство по администрированию сетей на оборудовании Cisco, предназначенное для начинающих и штатных администраторов. Она охватывает ключевые концепции, такие как настройка коммутаторов и маршрутизаторов, создание VLAN и транков, обеспечение безопасности сети, а также основы динамической маршрутизации. Материал рассчитан на читателей без опыта работы с сетями Cisco и позволяет за 22 главы освоить навыки развертывания и поддержки сети.</t>
  </si>
  <si>
    <t>Practical Packet Analysis</t>
  </si>
  <si>
    <t>Chris Sanders</t>
  </si>
  <si>
    <t>Анализ_пакетов_Практическое_руководство.pdf</t>
  </si>
  <si>
    <t>Книга Криса Сандерса «Анализ пакетов» посвящена практическому использованию анализаторов трафика Wireshark и tcpdump для диагностики и решения реальных проблем в локальных сетях. В третьем издании рассматриваются основы организации сетей, методы подключения к сети для перехвата пакетов, работа с фильтрами, а также анализ протоколов различных уровней (сетевого, транспортного и прикладного). Отдельные главы посвящены решению проблем медленной работы сети, вопросам безопасности и анализу беспроводных сетей. Книга предназначена для специалистов по сетевым технологиям и системных администраторов, имеющих базовые знания в области сетей.</t>
  </si>
  <si>
    <t>Использование межсетевого экрана Netfilter для обеспечения сетевой безопасности в ОС Linux</t>
  </si>
  <si>
    <t>М.Б. Будько; М.Ю. Будько; А.В. Гирик</t>
  </si>
  <si>
    <t>Использование межсетевого экрана NetFilter.pdf</t>
  </si>
  <si>
    <t>Это учебное пособие посвящено применению системы Netfilter в ОС Linux для обеспечения сетевой безопасности. В книге рассматриваются архитектура Netfilter, методы фильтрации пакетов на сетевом и транспортном уровнях, механизм отслеживания состояний соединений (conntrack), а также требования государственных контролирующих органов к межсетевым экранам. Пособие предназначено для студентов бакалавриата по направлению «Информационная безопасность», уже имеющих базовые знания в области компьютерных сетей и операционных систем.</t>
  </si>
  <si>
    <t>Ковган Н. М.</t>
  </si>
  <si>
    <t>Компьютерные сети-2019.pdf</t>
  </si>
  <si>
    <t>Учебное пособие Н. М. Ковган «Компьютерные сети» посвящено основам построения и функционирования компьютерных сетей, включая сетевые архитектуры, аппаратные компоненты, протоколы, адресацию и методы эксплуатации. Ключевые разделы охватывают структуру сетей, способы коммутации и передачи данных, принципы работы протоколов разных уровней, а также вопросы администрирования и защиты информации. Книга предназначена для учащихся учреждений среднего специального образования по IT-специальностям, то есть для начинающих специалистов.</t>
  </si>
  <si>
    <t>Компьютерные сети. Нисходящий подход Куроуз Джеймс.pdf</t>
  </si>
  <si>
    <t>Книга «Компьютерные сети. Нисходящий подход» Джеймса Куроуза и Кита Росса посвящена принципам построения и функционирования компьютерных сетей, с особым акцентом на Интернет. Ключевые разделы включают архитектуру сети, уровни протоколов, коммутацию пакетов и каналов, задержки и пропускную способность, а также вопросы безопасности. Издание предназначено для студентов и специалистов, изучающих сетевые технологии, и отличается педагогическим подходом, начиная с прикладного уровня и спускаясь к физическому.</t>
  </si>
  <si>
    <t>Олифер Виктор; Олифер Наталья</t>
  </si>
  <si>
    <t>Компьютерные сети.pdf</t>
  </si>
  <si>
    <t>Это юбилейное, 20-е издание учебника Виктора и Натальи Олифер, посвященное принципам построения, технологиям и протоколам компьютерных сетей. Книга охватывает как фундаментальные основы (эволюция сетей, коммутация, стандартизация), так и современные технологии, включая Ethernet, беспроводные сети, а также первичные сети SDH, OTN и DWDM. Около трети материала было существенно переработано или добавлено заново по сравнению с предыдущими версиями. Издание предназначено для студентов, аспирантов и технических специалистов, желающих получить базовые и углубленные знания в области сетевых технологий.</t>
  </si>
  <si>
    <t>Основы компьютерных сетей</t>
  </si>
  <si>
    <t>Виктор Григорьевич Олифер; Наталья Алексеевна Олифер</t>
  </si>
  <si>
    <t>Олифер Osnovy_kompyuternykh_setey.pdf</t>
  </si>
  <si>
    <t>Данный фрагмент представляет собой введение к учебному пособию «Основы компьютерных сетей» авторов В. и Н. Олифер, которое посвящено архитектуре и технологиям современных компьютерных сетей. Ключевые разделы книги охватывают основы построения сетей, технологии локальных и глобальных сетей, работу стека TCP/IP, а также обзор популярных сетевых служб и сервисов. Издание предназначено для студентов, аспирантов и технических специалистов, желающих получить базовые знания о принципах построения и функционирования компьютерных сетей.</t>
  </si>
  <si>
    <t>Основы локальных компьютерных сетей</t>
  </si>
  <si>
    <t>А. Н. Сергеев</t>
  </si>
  <si>
    <t>Основы локальных сетей.pdf</t>
  </si>
  <si>
    <t>Это учебное пособие, посвящённое теоретическим основам и практическим технологиям построения локальных компьютерных сетей. В книге рассматриваются базовые понятия сетей, модель OSI, стек протоколов TCP/IP (включая IPv4 и IPv6), а также сетевые службы (DNS, электронная почта, веб) и физические аспекты построения кабельных и беспроводных сетей. Издание предназначено для студентов, изучающих компьютерные сети, и специалистов в сфере информационных технологий, занимающихся созданием и сопровождением сетей.</t>
  </si>
  <si>
    <t>Компьютерные сети. 5-е изд.</t>
  </si>
  <si>
    <t>Таненбаум Э.; Уэзеролл Д.</t>
  </si>
  <si>
    <t>Таненбаум Kompyuternye_seti.pdf</t>
  </si>
  <si>
    <t>Это пятое издание классического учебника Эндрю Таненбаума и Дэвида Уэзеролла, посвященное устройству и принципам работы компьютерных сетей. Книга последовательно охватывает все уровни сетевой архитектуры — от физического до прикладного, включая такие современные темы, как беспроводные сети, потоковое вещание и интернет-телефония. Издание предназначено для студентов технических вузов и специалистов, желающих углубить понимание сетевых технологий, и требует базовой технической подготовки.</t>
  </si>
  <si>
    <t>NGINX Книга рецептов</t>
  </si>
  <si>
    <t>Дерек де Йонге</t>
  </si>
  <si>
    <t>Инфраструктура/Общие вопросы</t>
  </si>
  <si>
    <t>NGINX Книга рецептов.pdf</t>
  </si>
  <si>
    <t>C:\Users\alexa\YandexDisk\Книги\Инфраструктура\Общие вопросы</t>
  </si>
  <si>
    <t>Книга Дерека де Йонге посвящена практическому использованию веб-сервера и балансировщика нагрузки NGINX, включая как открытую версию, так и коммерческую NGINX Plus. В ней рассматриваются установка, настройка основных функций (кеширование, балансировка HTTP/TCP/UDP) и продвинутые рецепты, такие как поддержка gRPC, HTTP/2 и алгоритм Random with Two Choices. Издание предназначено для администраторов и разработчиков сайтов, имеющих базовый опыт работы с серверным ПО.</t>
  </si>
  <si>
    <t>Самоучитель системного администратора</t>
  </si>
  <si>
    <t>Кенин А. М.; Колисниченко Д. Н.</t>
  </si>
  <si>
    <t>Кенин Самоучитель сис админа 2012.pdf</t>
  </si>
  <si>
    <t>Книга представляет собой практическое руководство по системному администрированию, охватывающее выбор оборудования, настройку базовых протоколов и ежедневные рутинные операции. Ключевые разделы включают управление информационными системами на базе Windows и Linux, методы централизованного управления, мониторинг сетей и обеспечение безопасности данных. Издание предназначено для начинающих системных администраторов и содержит обновлённые материалы, включая облачные технологии и практические инструкции.</t>
  </si>
  <si>
    <t>Quantum Computing for Everyone</t>
  </si>
  <si>
    <t>Chris Bernhardt</t>
  </si>
  <si>
    <t>Квантовые вычисления</t>
  </si>
  <si>
    <t>Quantum computing fo... by Bernhardt  Chris.pdf</t>
  </si>
  <si>
    <t>C:\Users\alexa\YandexDisk\Книги\Квантовые вычисления</t>
  </si>
  <si>
    <t>Книга Криса Бернхардта «Quantum Computing for Everyone» представляет собой введение в квантовые вычисления, рассчитанное на читателей, знакомых с математикой на уровне старшей школы. В ней подробно объясняются ключевые концепции, такие как кубиты, запутанность, квантовые гейты и алгоритмы (включая алгоритмы Шора и Гровера), а также их практическое применение. Издание предназначено для новичков, желающих не просто получить общее представление, а глубоко понять принципы работы квантовых технологий.</t>
  </si>
  <si>
    <t>Quantum Computing: From Concepts to Code</t>
  </si>
  <si>
    <t>Andrew Glassner</t>
  </si>
  <si>
    <t>Quantum Computing From Concepts to Code.pdf</t>
  </si>
  <si>
    <t>Книга «Quantum Computing: From Concepts to Code» Эндрю Гласснера представляет собой практическое введение в квантовые вычисления, охватывающее путь от базовых концепций до написания кода. Ключевые разделы включают изучение квантовых состояний, операторов, кубитов и систем (Часть I), а затем переход к конкретным квантовым алгоритмам, таким как телепортация и алгоритмы Дойча, Дойча — Джожи, Бернштейна — Вазирани и Саймона (Часть II). Издание рассчитано на читателей, уже имеющих базовые знания в программировании или компьютерных науках, и стремится объяснить сложные темы доступно, с упором на визуальный подход и практическую реализацию.</t>
  </si>
  <si>
    <t>Бернхард Квантовые вычисления для настоящих ИТ-ов 2020.pdf</t>
  </si>
  <si>
    <t>Книга Криса Бернхарда «Квантовые вычисления для настоящих айтишников» посвящена введению в квантовые вычисления, объясняя их физические и математические основы. Ключевые концепции включают спин, поляризацию фотонов, линейную алгебру (векторы, матрицы) и базовые квантовые явления, такие как случайность измерений. Издание предназначено для ИТ-специалистов и программистов, желающих понять суть квантовых алгоритмов, и требует лишь базовых школьных знаний математики.</t>
  </si>
  <si>
    <t>Learn Quantum Computing with Python and Q#</t>
  </si>
  <si>
    <t>Sarah Kaiser; Chris Granade</t>
  </si>
  <si>
    <t>Изучаем_квантовые_вычисления_на_Python_и_Q#.pdf</t>
  </si>
  <si>
    <t>Книга «Изучаем квантовые вычисления на Python и Q#» представляет собой практическое руководство по квантовым вычислениям, использующее инструменты Microsoft и язык Q#. В первой части читатель создает симулятор квантового устройства на Python, во второй — осваивает написание квантовых приложений на Q#, а в третьей — реализует алгоритмы, включая экспоненциально более быстрое умножение целых чисел. Издание предназначено для разработчиков программного обеспечения и не требует предварительного опыта в квантовых вычислениях или углубленных знаний математики и физики.</t>
  </si>
  <si>
    <t>Квантовые вычисления: прикладной подход</t>
  </si>
  <si>
    <t>Джек Д. Хидари</t>
  </si>
  <si>
    <t>Квантовые вычисления.pdf</t>
  </si>
  <si>
    <t>Книга Джека Д. Хидари посвящена основам квантовых вычислений и практическому подходу к программированию в этой области. Издание состоит из трех частей: в первой описываются фундаментальные принципы (суперпозиция, запутанность, кубиты и квантовые схемы), во второй разбираются алгоритмы с примерами кода на Python, а третья охватывает необходимый математический аппарат. Материал ориентирован на программистов, инженеров, студентов технических вузов и технологических лидеров, желающих освоить квантовые вычисления с практической стороны.</t>
  </si>
  <si>
    <t>Квантовые вычисления для настоящих айтишников</t>
  </si>
  <si>
    <t>Крис Бернхард</t>
  </si>
  <si>
    <t>Квантовые_вычисления_для_настоящих_айтишников.pdf</t>
  </si>
  <si>
    <t>Книга Криса Бернхарда «Квантовые вычисления для настоящих айтишников» посвящена основам квантовых вычислений, объединяющим квантовую физику и информатику. В ней разбираются ключевые концепции, такие как спин, кубиты и линейная алгебра, необходимые для понимания алгоритмов вроде Шора и Гровера. Издание рассчитано на читателей с базовой школьной математикой, которые хотят не поверхностно, а по-настоящему разобраться в теме, несмотря на её противоречие здравому смыслу.</t>
  </si>
  <si>
    <t>Programming Quantum Computers</t>
  </si>
  <si>
    <t>Eric R. Johnston; Nic Harrigan; Mercedes Gimeno-Segovia</t>
  </si>
  <si>
    <t>Программирование_квантовых_компьютеров.pdf</t>
  </si>
  <si>
    <t>Книга «Программирование квантовых компьютеров» посвящена практическому освоению квантовых вычислений и разработке алгоритмов для квантовых процессоров (QPU). Ключевые разделы охватывают работу с кубитами, квантовую телепортацию, арифметику, преобразование Фурье, алгоритмы поиска и квантовое машинное обучение. Издание предназначено для разработчиков, специалистов по компьютерной графике и начинающих IT-специалистов, желающих получить практические навыки без углублённого изучения теории и формул.</t>
  </si>
  <si>
    <t>Practical Quantum Computing for Developers</t>
  </si>
  <si>
    <t>Владимир Силва</t>
  </si>
  <si>
    <t>Разработка_с_использованием_квантовых_компьютеров.pdf</t>
  </si>
  <si>
    <t>Книга Владимира Силвы посвящена практическому введению в квантовые вычисления и программирование квантовых компьютеров в облаке. В ней рассматриваются ключевые концепции квантовой механики (кубиты, запутанность, принцип неопределенности), а также практические инструменты: платформа IBM Q Experience, SDK QISKit и язык QASM. Издание охватывает реализацию квантовых алгоритмов, таких как алгоритмы Гровера и Шора, генерация случайных чисел и телепортация. Книга предназначена для разработчиков и программистов, желающих освоить квантовое программирование на Python, и требует начального уровня подготовки в программировании.</t>
  </si>
  <si>
    <t>Введение в квантовые вычисления. Квантовые алгоритмы</t>
  </si>
  <si>
    <t>Сысоев С. С.</t>
  </si>
  <si>
    <t>Издательство Санкт-Петербургского университета</t>
  </si>
  <si>
    <t>Сысоев_Введение_в_квантовые_вычисления_Квантовые_алгоритмы_СПбГУ.pdf</t>
  </si>
  <si>
    <t>Это учебное пособие по квантовым вычислениям, в котором рассматриваются математические модели, квантовые алгоритмы (Дойча, Шора, Гровера) и их реализация на симуляторах. Ключевые разделы включают основы кубитов, квантовое преобразование Фурье и анализ границ применимости квантовых компьютеров. Книга предназначена для студентов, математиков и программистов, желающих освоить новую область, и требует начальных знаний теории сложности вычислений.</t>
  </si>
  <si>
    <t>Танец с кубитами. Как на самом деле работают квантовые вычисления</t>
  </si>
  <si>
    <t>Роберт С. Сатор</t>
  </si>
  <si>
    <t>Танец_с_кубитами_Как_на_самом_деле_работают_квантовые_вычисления.pdf</t>
  </si>
  <si>
    <t>Книга Роберта Сатора «Танец с кубитами» посвящена принципам работы квантовых вычислений, их отличиям от классических и физической реализации. Ключевые концепции включают суперпозицию, запутанность, интерференцию, а также переход от математических основ к алгоритмам и квантовому «железу». Издание предназначено для профессионалов и читателей, знакомых с матанализом, желающих глубоко разобраться в теме.</t>
  </si>
  <si>
    <t>A Beginner's Guide to 3D Modeling</t>
  </si>
  <si>
    <t>Cameron Coward</t>
  </si>
  <si>
    <t>Компьютерная графика</t>
  </si>
  <si>
    <t>Cameron_Coward_A_Beginner’s_Guide_to_3D_Modeling_A_Guide_to_Autodesk.epub</t>
  </si>
  <si>
    <t>C:\Users\alexa\YandexDisk\Книги\Компьютерная графика</t>
  </si>
  <si>
    <t>Книга Кэмерона Кауарда представляет собой практическое руководство по 3D-моделированию в программе Autodesk Fusion 360, ориентированное на начинающих пользователей без опыта. В ней последовательно рассматриваются основы параметрического моделирования, работа с эскизами, создание сборок, сложные кривые, пружины и резьба, а также черчение и рендеринг. Ключевые разделы включают историю CAD, интерфейс Fusion 360, пошаговые проекты (от простого куба до сборки роботизированной руки) и итоговый проект. Книга предназначена для абсолютных новичков, желающих освоить профессиональное CAD-моделирование и 3D-печать.</t>
  </si>
  <si>
    <t>Digital Image Processing with C++: Implementing Reference Algorithms with the CImg Library</t>
  </si>
  <si>
    <t>David Tschumperlé</t>
  </si>
  <si>
    <t>Digital.Image.Processing.with.C++.pdf</t>
  </si>
  <si>
    <t>Книга «Digital Image Processing with C++» посвящена теории и практической реализации алгоритмов цифровой обработки изображений с использованием библиотеки CImg. В ней рассматриваются такие ключевые темы, как фильтрация в пространственной и частотной областях, математическая морфология, выделение признаков, сегментация, оценка движения и 3D-визуализация. Издание предназначено для студентов, разработчиков, преподавателей и исследователей, желающих освоить или углубить знания в этой области.</t>
  </si>
  <si>
    <t>Mathematics for 3D Game Programming and Computer Graphics</t>
  </si>
  <si>
    <t>Eric Lengyel</t>
  </si>
  <si>
    <t>Course Technology PTR</t>
  </si>
  <si>
    <t>Eric_Lengyel_Mathematics_for_3D_Game_Programming_and_Computer_Graphics.pdf</t>
  </si>
  <si>
    <t>Это третье издание книги Эрика Ленгеля, посвящённое математическим основам, необходимым для программирования трёхмерных игр и компьютерной графики. Ключевые разделы охватывают работу с векторами, матрицами, трансформациями, геометрией для 3D-движков, трассировку лучей, а также освещение и затенение. Книга предназначена для специалистов и студентов, уже имеющих базовые знания в программировании и математике, и стремится дать практические инструменты для реализации графических алгоритмов.</t>
  </si>
  <si>
    <t>Introduction to Computer Graphics</t>
  </si>
  <si>
    <t>Karsten Lehn</t>
  </si>
  <si>
    <t>Introduction to Computer Graphics.pdf</t>
  </si>
  <si>
    <t>Это третье издание учебника по компьютерной графике, в котором рассматриваются основы дисциплины с практической реализацией на Java с использованием OpenGL. Ключевые концепции включают программирование графического конвейера для эффективного использования современных графических процессоров, а также применение в таких областях, как дополненная и виртуальная реальность. Книга предназначена для студентов бакалавриата и подходит как для самостоятельного изучения, так и для одно- или двухсеместрового курса, сочетая теорию с примерами и задачами.</t>
  </si>
  <si>
    <t>Mathematics for Computer Graphics, Second Edition</t>
  </si>
  <si>
    <t>John Vince</t>
  </si>
  <si>
    <t>Springer-Verlag London Limited</t>
  </si>
  <si>
    <t>Mathematics komputer grafis.pdf</t>
  </si>
  <si>
    <t>Это второе издание книги Джона Винса «Математика для компьютерной графики», которая представляет собой вводный курс по фундаментальным математическим концепциям, необходимым для понимания и работы в области компьютерной графики. Ключевые разделы охватывают числа, алгебру, тригонометрию, декартовы координаты и векторы, начиная с самых основ и постепенно переходя к более сложным темам. Книга предназначена для новичков и студентов, которые хотят освоить математическую базу, лежащую в основе визуализации и моделирования.</t>
  </si>
  <si>
    <t>OpenGL 4. Язык шейдеров. Книга рецептов</t>
  </si>
  <si>
    <t>Дэвид Вольф</t>
  </si>
  <si>
    <t>OpenGL_4_Язык_шейдеров_Книга_рецептов.pdf</t>
  </si>
  <si>
    <t>Книга посвящена программированию на языке шейдеров OpenGL (GLSL) версии 4.x, который позволяет использовать возможности графического процессора для создания реалистичной графики и вычислений. В ней рассматриваются все типы шейдеров — от базовых вершинных и фрагментных до геометрических, шейдеров тесселяции и вычислительных, а также практические примеры работы с текстурами, тенями и системами частиц. Издание предназначено для программистов трехмерной графики, желающих освоить современные аппаратные и программные средства.</t>
  </si>
  <si>
    <t>Real-Time Rendering Fourth Edition</t>
  </si>
  <si>
    <t>Tomas Akenine-Möller;Eric Haines;Naty Hoffman;Angelo Pesce;Michal Iwanicki;Sébastien Hillaire</t>
  </si>
  <si>
    <t>T_Akenine_Möller,_E_Haines,_N_Hoffman,_A_Pesce,_M_Iwanicki,_S_Hillaire.pdf</t>
  </si>
  <si>
    <t>Это четвёртое издание книги «Real-Time Rendering», посвящённое основам и современным методам рендеринга в реальном времени. В книге подробно рассматриваются такие ключевые концепции, как графический конвейер (включая вершинные, геометрические и пиксельные шейдеры), трансформации, основы затенения и текстурирования. Издание предназначено для специалистов в области компьютерной графики, разработчиков игр и студентов, уже имеющих базовые знания в этой области.</t>
  </si>
  <si>
    <t>ZBrush для начинающих</t>
  </si>
  <si>
    <t>Рубен Альба; Мохаммад Хоссейн Аттаран; Мэтт Ле Кесне; Глен Сазерн; Карстен Штубен; Рауль Таварес</t>
  </si>
  <si>
    <t>ZBrush для начинающих.pdf</t>
  </si>
  <si>
    <t>Книга «ZBrush для начинающих» представляет собой практическое руководство по цифровой лепке в программе ZBrush, предназначенное для создания 3D-моделей для игр, фильмов и анимации. Издание содержит пошаговые проекты, охватывающие лепку органических форм, объектов с комбинированной и твердой поверхностью, а также включает разделы по визуализации в KeyShot и основам 3D-печати. Книга адресована новичкам, делающим первые шаги в 3D-дизайне, и не требует предварительного опыта работы с другими 3D-пакетами.</t>
  </si>
  <si>
    <t>Введение в двумерную компьютерную графику с использованием библиотеки OpenGL</t>
  </si>
  <si>
    <t>Задорожный А.Г.; Вагин Д.В.; Кошкина Ю.И.</t>
  </si>
  <si>
    <t>Изд-во НГТУ</t>
  </si>
  <si>
    <t>Введение_в_двумерную_компьютерную_графику_с_использованием_OpenGL.pdf</t>
  </si>
  <si>
    <t>Это учебное пособие посвящено основам двумерной компьютерной графики с использованием библиотеки OpenGL. В нём рассматриваются базовые понятия, такие как виды компьютерной графики (растровая, векторная, фрактальная), устройство растровых изображений, пиксели, разрешение и глубина цвета. Книга содержит множество примеров на языке C++ и предназначена для студентов, изучающих курсы «Компьютерная графика» и «Вычислительная геометрия», а также для самостоятельного освоения материала новичками.</t>
  </si>
  <si>
    <t>Дизайн. Книга для недизайнеров</t>
  </si>
  <si>
    <t>Робин Уильямс</t>
  </si>
  <si>
    <t>Дизайн книга для недизайнеров 2016.pdf</t>
  </si>
  <si>
    <t>Это книга по основам графического дизайна, предназначенная для людей без профессионального образования в этой сфере. Автор, Робин Уильямс, знакомит читателя с четырьмя фундаментальными принципами: контраст, повторение, выравнивание и приближенность. В издании также рассматриваются работа с цветом, типографикой и создание макетов для брошюр, листовок и рекламы. Материал ориентирован на новичков и всех, кто хочет самостоятельно улучшить визуальное оформление своих материалов.</t>
  </si>
  <si>
    <t>Дизайн книга для недизайнеров.pdf</t>
  </si>
  <si>
    <t>Книга Робин Уильямс «Дизайн. Книга для недизайнеров» представляет собой практическое руководство по основам визуального оформления, в котором автор объясняет четыре фундаментальных принципа дизайна: контраст, повторение, выравнивание и приближенность. В издании также рассматриваются работа с цветом, типографика и создание макетов для брошюр, листовок и писем. Материал предназначен для новичков и всех, кто не имеет профессионального образования в сфере дизайна, но хочет создавать понятные и эстетичные макеты.</t>
  </si>
  <si>
    <t>Дизайн персонажей. Концепт-арт для комиксов, видеоигр и анимации</t>
  </si>
  <si>
    <t>3dtotal Publishing</t>
  </si>
  <si>
    <t>Дизайн_персонажей.pdf</t>
  </si>
  <si>
    <t>Книга представляет собой практическое руководство по созданию персонажей для видеоигр, комиксов и анимации. В ней рассматриваются основы дизайна, включая стилизацию фигур, жесты, мимику и теорию цвета, а также приводятся пошаговые примеры разработки шести разных персонажей от профессиональных художников. Издание предназначено для начинающих художников, желающих освоить профессию в индустрии CG, и содержит предисловия от российских экспертов.</t>
  </si>
  <si>
    <t>WebGL: программирование трехмерной графики</t>
  </si>
  <si>
    <t>Коичи Мацуда; Роджер Ли</t>
  </si>
  <si>
    <t>Коичи_Мацуда,_Роджер_Ли_WebGL_Программирование_трехмерной_графики.pdf</t>
  </si>
  <si>
    <t>Книга посвящена технологии WebGL, позволяющей создавать трёхмерную графику в браузере с аппаратным ускорением без установки дополнительного ПО. В ней рассматриваются основы программирования на JavaScript и OpenGL ES, а также базовые приёмы работы с 3D-графикой, каждая глава описывает один из ключевых аспектов и содержит практические примеры для экспериментов. Издание предназначено для программистов, желающих освоить 3D-графику в веб-проектах, при этом оно доступно как для начинающих, так и для опытных специалистов.</t>
  </si>
  <si>
    <t>Коммуникативный и мультимедийный дизайн. Графический пользовательский интерфейс</t>
  </si>
  <si>
    <t>Габриелян Т. О.</t>
  </si>
  <si>
    <t>ИП Бровко А. А.</t>
  </si>
  <si>
    <t>Коммуникативный_и_мультимедийный_дизайн_Графический_пользовател.pdf</t>
  </si>
  <si>
    <t>Это учебно-методическое пособие посвящено теории и практике создания графических пользовательских интерфейсов в рамках дисциплины «Коммуникативный и мультимедийный дизайн». Ключевые разделы охватывают историю возникновения коммуникативного дизайна, проектирование пользовательских интерфейсов, информационную архитектуру, юзабилити и его тестирование, а также этапы разработки от идеи до прототипа. Книга предназначена для студентов, обучающихся по направлению подготовки «Графика», и содержит материал как для новичков, так и для практикующих специалистов, осваивающих проектирование интерфейсов.</t>
  </si>
  <si>
    <t>Компьютерная геометрия</t>
  </si>
  <si>
    <t>Компьютерная геометрия.pdf</t>
  </si>
  <si>
    <t>Данный фрагмент книги «Компьютерная геометрия» посвящён математическим основам и алгоритмам, используемым для моделирования и анализа геометрических объектов в компьютерных системах. Ключевые концепции включают параметрические кривые и поверхности, сплайны, а также методы триангуляции и обработки полигональных сеток. Издание ориентировано на студентов технических специальностей и специалистов в области компьютерной графики, САПР и вычислительной геометрии, предполагая базовую математическую подготовку.</t>
  </si>
  <si>
    <t>Компьютерная графика. Рейтрейсинг и растеризация</t>
  </si>
  <si>
    <t>Гэбриел Гамбетта</t>
  </si>
  <si>
    <t>Компьютерная графика - Рейтресинг и растеризация.pdf</t>
  </si>
  <si>
    <t>Книга Гэбриела Гамбетты посвящена двум основным методам 3D-рендеринга: трассировке лучей (рейтрейсингу) и растеризации. В ней последовательно рассматриваются такие ключевые концепции, как симуляция света, построение теней и отражений, перспективная проекция, затенение и наложение текстур. Издание предназначено для программистов-новичков, желающих понять основы компьютерной графики без глубокого погружения в сложную математику, с использованием наглядных примеров и псевдокода.</t>
  </si>
  <si>
    <t>Компьютерная графика. Модели и алгоритмы</t>
  </si>
  <si>
    <t>Е. А. Никулин</t>
  </si>
  <si>
    <t>Компьютерная графика. Модели.pdf</t>
  </si>
  <si>
    <t>Это учебное пособие по компьютерной графике, посвящённое математическим и алгоритмическим основам моделирования и визуализации. Ключевые разделы охватывают модели графических объектов на плоскости и в пространстве, алгоритмы отсечения и удаления, аффинные и проективные преобразования, а также методы текстурирования и работы с полиномиальными и сплайновыми линиями. Книга предназначена для студентов направления «Информатика и вычислительная техника», а также будет полезна аспирантам, преподавателям и разработчикам графических приложений.</t>
  </si>
  <si>
    <t>Компьютерная графика.pdf</t>
  </si>
  <si>
    <t>Книга Гэбриела Гамбетты посвящена двум основным методам 3D-рендеринга: рейтрейсингу и растеризации. В ней последовательно разбираются такие ключевые концепции, как трассировка лучей, работа со светом, тенями и отражениями, а также построение прямых, закраска треугольников, перспективная проекция и текстурирование. Материал рассчитан на новичков, так как объясняет алгоритмы без сложных математических формул, используя псевдокод и наглядные примеры.</t>
  </si>
  <si>
    <t>Компьютерная геометрия и алгоритмы машинной графики</t>
  </si>
  <si>
    <t>Никулин</t>
  </si>
  <si>
    <t>Компьютерная_геометрия_и_алгоритмы_машинной_графики_2003_Никулин.djvu</t>
  </si>
  <si>
    <t>Книга посвящена основам компьютерной геометрии и алгоритмам машинной графики. В ней рассматриваются математические модели геометрических объектов, методы их визуализации и базовые алгоритмы растеризации. Ключевые разделы включают преобразования координат, построение кривых и поверхностей, а также удаление невидимых линий. Издание ориентировано на студентов и специалистов, уже знакомых с основами программирования и математики, то есть на уровень выше начального.</t>
  </si>
  <si>
    <t>Компьютерная_графика_Рейтрейсинг_и_растеризация.epub</t>
  </si>
  <si>
    <t>Данный фрагмент книги посвящён основам компьютерной графики, а именно двум основным методам рендеринга: трассировке лучей и растеризации. В тексте рассматриваются ключевые концепции, такие как модели освещения, работа с пикселями и построение изображения. Книга предназначена для новичков и студентов, желающих понять фундаментальные принципы создания цифровых изображений.</t>
  </si>
  <si>
    <t>Компьютерная_графика_Рейтрейсинг_и_растеризация.pdf</t>
  </si>
  <si>
    <t>Книга Гэбриела Гамбетты посвящена двум основным методам 3D-рендеринга: рейтрейсингу (трассировке лучей) и растеризации. В первой части рассматриваются симуляция света, построение теней и отражений, а во второй — рисование прямых, треугольников, работа с перспективой, отсечением и текстурами. Материал излагается без сложных математических формул, с использованием псевдокода и живых примеров на JavaScript. Издание предназначено для программистов-новичков, желающих с нуля создать собственные рабочие рендеры.</t>
  </si>
  <si>
    <t>Компьютерное моделирование в промышленном дизайне</t>
  </si>
  <si>
    <t>Аббасов И. Б.</t>
  </si>
  <si>
    <t>Компьютерное_моделирование_в_промышленном_дизайне_2023_Аббасов.pdf</t>
  </si>
  <si>
    <t>Книга И. Б. Аббасова посвящена применению трехмерного компьютерного моделирования в промышленном дизайне для проектирования изделий различного назначения. Основное содержание разделено на главы, охватывающие моделирование летательных аппаратов (от самолетов до беспилотников) и промышленных изделий (от предметов быта до скульптурных композиций). Издание предназначено для студентов-дизайнеров и машиностроителей, а также для специалистов в области промышленного дизайна, желающих освоить современные методы компьютерного моделирования.</t>
  </si>
  <si>
    <t>Математика для графики.pdf</t>
  </si>
  <si>
    <t>Это книга Джона Винса «Mathematics for Computer Graphics» (второе издание), которая представляет собой введение в математические основы, необходимые для компьютерной графики. Ключевые разделы охватывают числа, алгебру, тригонометрию, декартовы координаты и векторы, включая такие концепции, как теорема Пифагора, тригонометрические соотношения и операции с векторами. Книга предназначена для новичков и специалистов, желающих освоить или освежить математический аппарат, применяемый в графике.</t>
  </si>
  <si>
    <t>КОМПАС-3D: создание моделей и 3D-печать</t>
  </si>
  <si>
    <t>Никонов Вячеслав</t>
  </si>
  <si>
    <t>Никонов_Вячеслав_Вячеславович_КОМПАС_3D_создание_моделей_и_3D_печать.pdf</t>
  </si>
  <si>
    <t>Эта книга представляет собой учебное пособие по работе с САПР КОМПАС-3D, ориентированное на создание трехмерных моделей и их подготовку к 3D-печати. В ней рассматриваются основы технологии 3D-печати, настройки для сохранения моделей в формат STL и преобразование в G-код, а также восемь подробных уроков по моделированию конкретных объектов (кружка, колесо, мыльница, держатель для полотенец и другие). Издание предназначено для новичков и пользователей, желающих освоить процесс от проектирования до получения реального объекта на 3D-принтере.</t>
  </si>
  <si>
    <t>Практическое пособие. Blender 3.0 для любителей и профессионалов. Моделинг, анимация, VFX, видеомонтаж</t>
  </si>
  <si>
    <t>Фелиция Хэсс</t>
  </si>
  <si>
    <t>СОЛОН-Пресс</t>
  </si>
  <si>
    <t>Практическое пособие. Blender 3.0.pdf</t>
  </si>
  <si>
    <t>Книга представляет собой практическое руководство по работе с бесплатным пакетом трехмерной графики Blender 3.0, охватывающее моделинг, анимацию, VFX и видеомонтаж. Основные разделы включают полигональное моделирование, симуляцию физики (жидкости, ткани, частиц), работу с аддонами и нодами, а также создание спецэффектов и анимации. Издание предназначено для широкого круга пользователей — от новичков, впервые пробующих 3D-моделирование, до профессиональных моделлеров, дизайнеров и аниматоров, желающих быстро освоить новую версию программы.</t>
  </si>
  <si>
    <t>Программирование компьютерной графики. Современный OpenGL</t>
  </si>
  <si>
    <t>Алексей Боресков</t>
  </si>
  <si>
    <t>Программирование_компьютерной_графики_Современный_OpenGL.pdf</t>
  </si>
  <si>
    <t>Книга Алексея Борескова посвящена алгоритмическим основам современной компьютерной графики. В ней подробно рассматриваются математические понятия (матрицы и кватернионы), физика освещения, метод трассировки лучей и работа с современным OpenGL, включая реализацию спецэффектов через шейдеры на GLSL. Издание предназначено для всех, кто планирует профессионально работать с компьютерной графикой, от новичков до специалистов.</t>
  </si>
  <si>
    <t>Учебник-самоучитель по графическому редактору Blender 3D</t>
  </si>
  <si>
    <t>Учебник-самоучитель по графическому редактору Blender 3D.pdf</t>
  </si>
  <si>
    <t>Данный фрагмент книги представляет собой учебное пособие по работе с графическим редактором Blender 3D, предназначенное для начинающих пользователей. Ключевые разделы, вероятно, охватывают основы интерфейса, моделирования, текстурирования и рендеринга. Материал ориентирован на новичков, желающих освоить трёхмерную графику с нуля.</t>
  </si>
  <si>
    <t>Введение в профессию Том 3 Системы и сети</t>
  </si>
  <si>
    <t>Введение в профессию Том 3 Системы и сети.pdf</t>
  </si>
  <si>
    <t>C:\Users\alexa\YandexDisk\Книги\Компьютерные науки</t>
  </si>
  <si>
    <t>Reverse Engineering для начинающих</t>
  </si>
  <si>
    <t>Денис Юричев</t>
  </si>
  <si>
    <t>Понимание языка ассемблера.pdf</t>
  </si>
  <si>
    <t>Книга Дениса Юричева «Reverse Engineering для начинающих» представляет собой учебное пособие по пониманию языка ассемблера и основам обратной разработки. В ней рассматриваются ключевые концепции, такие как работа процессора, представление чисел, устройство стека, а также анализ кода на архитектурах x86, ARM и MIPS на примерах от пустых функций до работы с printf. Материал предназначен для начинающих, желающих освоить низкоуровневое программирование и реверс-инжиниринг.</t>
  </si>
  <si>
    <t>Цифровая обработка сигналов</t>
  </si>
  <si>
    <t>Цифровая обработка сигналов.pdf</t>
  </si>
  <si>
    <t>Данный фрагмент книги «Цифровая обработка сигналов» посвящён основам теории и практическим методам анализа и преобразования дискретных сигналов. Ключевые концепции включают дискретизацию, преобразование Фурье, фильтрацию и спектральный анализ. Издание ориентировано на студентов технических специальностей и начинающих специалистов, желающих освоить базовые принципы цифровой обработки сигналов.</t>
  </si>
  <si>
    <t>Цифровая схемотехника и архитектура компьютера</t>
  </si>
  <si>
    <t>Дэвид М. Харрис; Сара Л. Харрис</t>
  </si>
  <si>
    <t>Morgan Kaufman</t>
  </si>
  <si>
    <t>Цифровая схемотехника и архитектура компьютера Дэвид Харрис и Сара Харрис.pdf</t>
  </si>
  <si>
    <t>Книга Дэвида и Сары Харрис представляет собой учебник по цифровой схемотехнике и архитектуре компьютеров, в котором подробно объясняется, как спроектировать микропроцессор архитектуры MIPS с использованием языков описания аппаратуры SystemVerilog и VHDL. Ключевые разделы охватывают комбинационные схемы, микроархитектуру, системы памяти и конечные автоматы, при этом материал изложен ясно и наглядно, с акцентом на практическую разработку. Издание предназначено для студентов, изучающих проектирование цифровых систем, и будет полезно как новичкам, так и опытным инженерам, использующим его в качестве справочника.</t>
  </si>
  <si>
    <t>Абстрактная и компьютерная алгебра</t>
  </si>
  <si>
    <t>Математика/Абстрактная алгебра</t>
  </si>
  <si>
    <t>Математика</t>
  </si>
  <si>
    <t>Абстрактная алгебра</t>
  </si>
  <si>
    <t>Абстрактная_и_компьютерная_алгебра.pdf</t>
  </si>
  <si>
    <t>C:\Users\alexa\YandexDisk\Книги\Математика\Абстрактная алгебра</t>
  </si>
  <si>
    <t>Данный фрагмент книги посвящён абстрактной и компьютерной алгебре, объединяя теоретические основы алгебраических структур с их практической реализацией в вычислительных алгоритмах. Ключевые концепции включают группы, кольца, поля, модули, а также методы символьных вычислений и алгоритмы факторизации. Книга предназначена для студентов старших курсов, аспирантов и специалистов в области математики и компьютерных наук, уже знакомых с основами высшей алгебры.</t>
  </si>
  <si>
    <t>Алгебра и геометрия с примерами на Python</t>
  </si>
  <si>
    <t>С. В. Борзунов; С. Д. Кургалин</t>
  </si>
  <si>
    <t>Математика/Геометрия</t>
  </si>
  <si>
    <t>Геометрия</t>
  </si>
  <si>
    <t>Алгебра и геометрия на Python 2020.pdf</t>
  </si>
  <si>
    <t>C:\Users\alexa\YandexDisk\Книги\Математика\Геометрия</t>
  </si>
  <si>
    <t>Учебное пособие представляет собой введение в линейную алгебру и аналитическую геометрию для студентов естественнонаучных факультетов, где все базовые алгоритмы иллюстрируются примерами на языке Python. Книга охватывает такие ключевые разделы, как матрицы и матричные алгоритмы, системы линейных уравнений, комплексные числа, векторные пространства и векторы в трехмерном пространстве. Издание предназначено для студентов вузов, имеющих начальную подготовку в области математики и программирования.</t>
  </si>
  <si>
    <t>Колмогоров А.Н.</t>
  </si>
  <si>
    <t>1976</t>
  </si>
  <si>
    <t>Геометрия  [1976] для 8 класса Колмогоров.djvu</t>
  </si>
  <si>
    <t>Фрагмент представляет собой учебник по геометрии для 8 класса, написанный А.Н. Колмогоровым. Книга охватывает ключевые разделы школьной геометрии, такие как свойства треугольников, многоугольников, окружностей и основы векторного метода. Материал предназначен для учащихся средней школы (уровень новичка) и направлен на формирование базовых геометрических представлений и навыков решения задач.</t>
  </si>
  <si>
    <t>Геометрия [1976] Учебное пособие для 6-8 классов Колмогоров.djvu</t>
  </si>
  <si>
    <t>Данный фрагмент представляет собой учебное пособие по геометрии для 6-8 классов, написанное академиком А. Н. Колмогоровым. Книга охватывает базовые разделы школьной геометрии, включая планиметрию, свойства фигур и начальные сведения о векторах. Материал изложен доступно и предназначен для учащихся среднего школьного возраста, то есть для новичков в изучении систематического курса геометрии.</t>
  </si>
  <si>
    <t>Fundamentals of Discrete Math for Computer Science: A Problem-Solving Primer</t>
  </si>
  <si>
    <t>Tom Jenkyns; Ben Stephenson</t>
  </si>
  <si>
    <t>Springer International Publishing</t>
  </si>
  <si>
    <t>Математика/Дискретная математика</t>
  </si>
  <si>
    <t>Дискретная математика</t>
  </si>
  <si>
    <t>Fundamentals_of_discrete_math_for_computer_science_a_problem_solving.pdf</t>
  </si>
  <si>
    <t>C:\Users\alexa\YandexDisk\Книги\Математика\Дискретная математика</t>
  </si>
  <si>
    <t>Это фрагмент предисловия ко второму изданию учебника «Fundamentals of Discrete Math for Computer Science», предназначенного для студентов, изучающих информатику. Книга посвящена дискретной математике и её применению в программировании, в ней рассматриваются алгоритмы, их корректность и эффективность, а также такие темы, как работа с числами, множествами, графами и комбинаторика. Авторы стремятся подать материал в доступной, интерактивной форме, используя неформальный стиль и практические примеры, чтобы улучшить навыки решения задач у читателей. Издание рассчитано на студентов начального и среднего уровня, желающих освоить теоретические основы computer science.</t>
  </si>
  <si>
    <t>Лекции по дискретной математике</t>
  </si>
  <si>
    <t>Дехтярь Михаил Иосифович; Дудаков Сергей Михайлович; Карлов Борис Николаевич</t>
  </si>
  <si>
    <t>Тверской государственный университет</t>
  </si>
  <si>
    <t>Лекции_по_дискретной_математике_2021_Дехтярь,_Дудаков,_Карлов.pdf</t>
  </si>
  <si>
    <t>Учебник представляет собой лекционный курс по дискретной математике для студентов первого курса технических и математических специальностей. Книга охватывает фундаментальные разделы, включая теорию множеств, комбинаторику, булевы функции, математическую логику, теорию графов, конечные автоматы и формальные языки. Издание предназначено для начинающих изучать дисциплину и содержит как теоретический материал, так и примеры задач с решениями для самостоятельной работы.</t>
  </si>
  <si>
    <t>Ф. А. Новиков</t>
  </si>
  <si>
    <t>Новиков diskretnaya-matematika-2-e-izdanie.pdf</t>
  </si>
  <si>
    <t>Фрагмент представляет собой выходные данные и оглавление учебника «Дискретная математика» Ф. А. Новикова. Книга охватывает все основные разделы дискретной математики, включая множества и отношения, алгебраические структуры, булевы функции, логические исчисления, комбинаторику, кодирование, графы, связность, деревья, циклы и раскраски. Издание предназначено для студентов вузов, обучающихся по направлениям «Системный анализ и управление», «Прикладная математика и информатика», «Информатика и вычислительная техника», то есть для учащихся бакалавриата и магистратуры, а также для всех желающих изучить дискретную математику.</t>
  </si>
  <si>
    <t>По океану дискретной математики</t>
  </si>
  <si>
    <t>Admin</t>
  </si>
  <si>
    <t>По океану дискретной матиматики.pdf</t>
  </si>
  <si>
    <t>Дискретная математика для программистов</t>
  </si>
  <si>
    <t>Хаггарти, Р.</t>
  </si>
  <si>
    <t>Хаггарти  Discretnaya-matematika 2003.pdf</t>
  </si>
  <si>
    <t>Эта книга представляет собой элементарное введение в дискретную математику, ориентированное на программистов и специалистов в области информатики. В ней в доступной и увлекательной форме излагаются фундаментальные концепции: логика и доказательства, теория множеств, отношения, функции, комбинаторика, графы и булева алгебра. Каждая теоретическая глава сопровождается приложением, демонстрирующим применение описанных методов в информатике, например, для проверки корректности алгоритмов или проектирования баз данных. Издание рассчитано на студентов, изучающих дискретную математику, а также на практикующих программистов и всех желающих освоить основы написания корректных алгоритмов.</t>
  </si>
  <si>
    <t>Р. Хаггарти</t>
  </si>
  <si>
    <t>Хаггарти diskretnaya-matematika-dlya-programmistov-2-e-izdanie 2012.pdf</t>
  </si>
  <si>
    <t>Книга представляет собой введение в дискретную математику, необходимое для успешного изучения информатики и программирования. В ней рассматриваются фундаментальные понятия: логика и доказательства, теория множеств, отношения, графы и булевы функции, а также их приложения к информатике. Материал изложен кратко и доступно, с большим количеством простых примеров, что делает книгу понятной даже для начинающих, включая школьников и студентов. Издание также содержит дополнения по актуальным задачам теории графов, рекурсивным алгоритмам и целочисленному программированию.</t>
  </si>
  <si>
    <t>Линейная алгебра на Python</t>
  </si>
  <si>
    <t>Devpractice Team; Абдрахманов М.И.; Мамонов И.А.</t>
  </si>
  <si>
    <t>Математика/Линейная алгебра</t>
  </si>
  <si>
    <t>Линейная алгебра</t>
  </si>
  <si>
    <t>!!!Линейная алгебра на Python.pdf</t>
  </si>
  <si>
    <t>C:\Users\alexa\YandexDisk\Книги\Математика\Линейная алгебра</t>
  </si>
  <si>
    <t>Книга «Линейная алгебра на Python» объединяет изучение базовых разделов линейной алгебры с практическим применением языка программирования Python. Ключевые разделы охватывают матрицы и их свойства, решение систем линейных уравнений, векторы, разложение матриц и комплексные числа. Издание предназначено для новичков, желающих освоить математические основы и научиться решать задачи с помощью Python.</t>
  </si>
  <si>
    <t>Математика. Линейная алгебра и аналитическая геометрия</t>
  </si>
  <si>
    <t>Шевалдина О.Я.; Выходец Е.В.; Жильцова О.Ю.; Кузнецова О.Л.</t>
  </si>
  <si>
    <t>!!Математика_Линейная_алгебра_и_аналитическая_геометрия.pdf</t>
  </si>
  <si>
    <t>Данный фрагмент представляет собой учебное пособие по линейной алгебре и аналитической геометрии, предназначенное для студентов экономических и управленческих специальностей. Книга охватывает ключевые разделы: матричную алгебру, системы линейных уравнений, векторную и аналитическую геометрию, а также линейные операторы, с акцентом на экономические приложения (модели Леонтьева, Неймана и торговли). Материал рассчитан на начальный уровень освоения дисциплины и включает теоретическую часть, примеры, задачи для самостоятельного решения и тесты для контроля знаний.</t>
  </si>
  <si>
    <t>Practical Linear Algebra for Data Science</t>
  </si>
  <si>
    <t>Mike X Cohen</t>
  </si>
  <si>
    <t>!Прикладная_линейная_алгебра_для_исследователей_данных_2023_Майк.pdf</t>
  </si>
  <si>
    <t>Эта книга посвящена практическому применению линейной алгебры в науке о данных и машинном обучении с использованием Python. В ней рассматриваются ключевые концепции, такие как векторы, матрицы, матричная арифметика и важные разложения, а также их геометрические интерпретации. Издание адресовано специалистам по обработке данных, разработчикам ПО и студентам, желающим освоить современные методы анализа и алгоритмы.</t>
  </si>
  <si>
    <t>A Programmer’s Introduction to Mathematics</t>
  </si>
  <si>
    <t>Jeremy Kun</t>
  </si>
  <si>
    <t>A_Programmer’s_Introduction_to_Mathematics_Jeremy_Kun_A_Programmer’s.pdf</t>
  </si>
  <si>
    <t>Эта книга представляет собой введение в математику, ориентированное на программистов, и рассматривает такие темы, как многочлены, множества, графы, основы математического анализа и линейная алгебра. Ключевые концепции включают доказательства существования и единственности, биекции, раскраску графов, производные и ряды Тейлора, а также линейные отображения и векторные пространства. Издание предназначено для программистов, желающих углубить своё понимание математики, и подходит как для новичков, так и для специалистов, стремящихся освоить математическую культуру и её практическое применение в коде.</t>
  </si>
  <si>
    <t>Elementary Linear Algebra, 12th Edition</t>
  </si>
  <si>
    <t>Howard Anton; Anton Kaul</t>
  </si>
  <si>
    <t>Elementary.Linear.Algebra.pdf</t>
  </si>
  <si>
    <t>Фрагмент представляет собой оглавление и справочный аппарат учебника «Elementary Linear Algebra, 12th Edition» (авторы: Говард Антон и Антон Кауль). Книга охватывает фундаментальные концепции линейной алгебры, включая матрицы, векторные пространства, системы линейных уравнений, собственные значения и квадратичные формы, с акцентом на приложения в самых разных областях — от аэродинамики и криптографии до компьютерной графики и экономики. Издание содержит обширный перечень прикладных разделов, исторических справок и численных методов, что делает его подходящим как для студентов начальных курсов, так и для специалистов, желающих увидеть практическую пользу теории.</t>
  </si>
  <si>
    <t>A Gentle Introduction to Optimization</t>
  </si>
  <si>
    <t>B. Guenin; J. Könemann; L. Tunçel</t>
  </si>
  <si>
    <t>Gentle-Introduction-to-Optimization-2014.pdf</t>
  </si>
  <si>
    <t>Эта книга представляет собой вводный учебник по оптимизации, предназначенный для студентов младших курсов бакалавриата с базовыми знаниями линейной алгебры. В ней рассматриваются фундаментальные концепции, включая линейное, целочисленное и нелинейное программирование, а также задачи на графах, такие как поиск кратчайшего пути и задача о назначениях. Материал излагается с акцентом на практические примеры и содержит более 140 упражнений, что делает его подходящим как для аудиторных занятий, так и для самостоятельного изучения.</t>
  </si>
  <si>
    <t>Essential Mathematics for Games and Interactive Applications</t>
  </si>
  <si>
    <t>James M. Van Verth; Lars M. Bishop</t>
  </si>
  <si>
    <t>James_M_Van_Verth_Essential_Mathematics_for_Games_and_Interactive.pdf</t>
  </si>
  <si>
    <t>Этот фрагмент представляет собой введение к третьему изданию книги «Essential Mathematics for Games and Interactive Applications», посвящённой математическим основам разработки игр и интерактивных приложений. В нём рассматриваются способы представления вещественных чисел в компьютере, включая числа с фиксированной и плавающей запятой, а также подробно разбирается стандарт IEEE 754, его арифметические операции, специальные значения и проблемы точности. Книга предназначена для разработчиков игр и специалистов в области компьютерной графики, имеющих базовые знания в программировании и математике.</t>
  </si>
  <si>
    <t>Линейная алгебра и геометрия</t>
  </si>
  <si>
    <t>А.И.Кострикин; Ю.И.Манин</t>
  </si>
  <si>
    <t>Kostrikin_Manin Линейная алгебра и геометрия.pdf</t>
  </si>
  <si>
    <t>Книга представляет собой фундаментальный учебник по линейной алгебре и геометрии, охватывающий как классические разделы (линейные пространства, матрицы, жорданова форма), так и современные темы (язык категорий, кэлерова метрика, многочлены Гильберта). Особое внимание уделено приложениям, включая основы квантовой механики, геометрию пространства Минковского и линейное программирование. Издание предназначено для студентов механико-математических специальностей высших учебных заведений, то есть для читателей с начальным уровнем математической подготовки.</t>
  </si>
  <si>
    <t>Linear Algebra for Data Science</t>
  </si>
  <si>
    <t>Moshe Haviv</t>
  </si>
  <si>
    <t>Linear Algebra for Data Science.pdf</t>
  </si>
  <si>
    <t>Книга «Linear Algebra for Data Science» представляет собой учебное пособие, посвященное применению линейной алгебры в анализе данных. В ней рассматриваются ключевые концепции, такие как векторы, матрицы, линейная независимость, ортогональность, собственные значения и разложение матриц, включая QR- и Cholesky-факторизацию, а также их связь с регрессионным анализом. Издание предназначено для студентов и специалистов, уже знакомых с основами математики, и ориентировано на практическое использование методов линейной алгебры в задачах Data Science.</t>
  </si>
  <si>
    <t>Linear Algebra Tools for Data Mining</t>
  </si>
  <si>
    <t>Dan A. Simovici</t>
  </si>
  <si>
    <t>Linear Algebra Tools for Data Mining (1).pdf</t>
  </si>
  <si>
    <t>Книга Дэна Симовичи представляет собой углублённое руководство по применению методов линейной алгебры в анализе данных и распознавании образов. Во втором издании автор расширил материал, включив новые темы, такие как тензоры, внешняя алгебра и многомерные массивы, а также рассмотрел практические алгоритмы, включая k-средних, сингулярное разложение и неотрицательную матричную факторизацию. Издание предназначено для аспирантов и исследователей в области интеллектуального анализа данных, уже имеющих базовую математическую подготовку, и содержит более 600 упражнений для закрепления материала.</t>
  </si>
  <si>
    <t>Linear Programming Computation</t>
  </si>
  <si>
    <t>Ping-Qi PAN</t>
  </si>
  <si>
    <t>Linear Programming Computation, 2nd Edition.pdf</t>
  </si>
  <si>
    <t>Книга «Linear Programming Computation» Пин-Ци Паня представляет собой углублённое руководство по линейному программированию (ЛП), охватывающее как фундаментальные основы (геометрия допустимой области, симплекс-метод, принцип двойственности, анализ чувствительности), так и современные авторские разработки (новые правила выбора опорного элемента, дефицитно-базисные и лицевые методы, а также метод внутренних точек). Особое внимание уделяется вычислительным аспектам и решению крупномасштабных разреженных задач, что отражает практическую направленность издания. Книга предназначена для специалистов и исследователей в области оптимизации, исследования операций и управления, а также для студентов старших курсов, уже знакомых с основами ЛП.</t>
  </si>
  <si>
    <t>Mathematics for Machine Learning</t>
  </si>
  <si>
    <t>Marc Peter Deisenroth; A. Aldo Faisal; Cheng Soon Ong</t>
  </si>
  <si>
    <t>Mathematic_for_ML 2021.pdf</t>
  </si>
  <si>
    <t>Книга «Mathematics for Machine Learning» представляет собой учебное пособие, которое систематически излагает математические основы, необходимые для понимания алгоритмов машинного обучения. Ключевые разделы охватывают линейную алгебру, аналитическую геометрию, матричные разложения, векторное исчисление, теорию вероятностей и непрерывную оптимизацию, а затем применяют эти концепции к центральным задачам машинного обучения, таким как линейная регрессия, PCA, гауссовы смеси и SVM. Издание предназначено для энтузиастов и практиков, которые уже владеют программированием и работой с данными, но нуждаются в углублении математических знаний, чтобы выйти за рамки поверхностного использования готовых библиотек.</t>
  </si>
  <si>
    <t>Math for Programmers: 3D graphics, machine learning, and simulations with Python</t>
  </si>
  <si>
    <t>Paul Orland</t>
  </si>
  <si>
    <t>Math_for_Programmers_-_3D_graphics_machine_learning_and_simulations_with_Python_2020_Paul_Orland.pdf</t>
  </si>
  <si>
    <t>Книга «Math for Programmers» Пола Орланда посвящена применению математики в программировании, в частности в 3D-графике, машинном обучении и симуляциях с использованием Python. Ключевые разделы охватывают векторы и линейную алгебру для работы с графикой, дифференциальные уравнения и физическое моделирование, а также градиентные методы для обучения нейросетей и классификации данных. Издание рассчитано на разработчиков, желающих углубить математические знания для карьерного роста в data science, геймдизайне и оптимизации, и не требует продвинутой подготовки — достаточно базового владения Python.</t>
  </si>
  <si>
    <t>Math for Deep Learning</t>
  </si>
  <si>
    <t>Ronald_T_Kneusel_Math_for_Deep_Learning_What_You_Need_to_Know_to.epub</t>
  </si>
  <si>
    <t>Эта книга представляет собой практическое руководство по фундаментальной математике, необходимой для понимания нейронных сетей и глубокого обучения. Ключевые разделы охватывают теорию вероятностей, статистику, линейную алгебру и дифференциальное исчисление, включая матричное исчисление и обратное распространение ошибки. Издание предназначено для специалистов в области STEM, которые уже знакомы с программированием, но хотят углубить свои теоретические знания для эффективного применения библиотек машинного обучения.</t>
  </si>
  <si>
    <t>Методы оптимальных решений</t>
  </si>
  <si>
    <t>Шевалдина О.Я.; Зенков А.В.; Жильцова О.Ю.; Трофимова Е.А.</t>
  </si>
  <si>
    <t>Shevaldina_i_dr_-_Metody_optimalnykh_resheniy.pdf</t>
  </si>
  <si>
    <t>Учебное пособие посвящено экономико-математическим методам и моделям, используемым для поиска оптимальных решений в экономике и управлении. Ключевые разделы включают линейную алгебру, линейное программирование (симплекс-метод, графический метод), теорию двойственности, транспортную задачу и модель Леонтьева. Книга предназначена для студентов экономических и управленческих специальностей, а также для начинающих специалистов и предпринимателей, интересующихся прикладными аспектами оптимизации.</t>
  </si>
  <si>
    <t>Курс алгебры</t>
  </si>
  <si>
    <t>Э.Б. Винберг</t>
  </si>
  <si>
    <t>Факториал Пресс</t>
  </si>
  <si>
    <t>Винберг Курс алгебры 2-изд 2001.pdf</t>
  </si>
  <si>
    <t>Книга представляет собой расширенный университетский курс алгебры, охватывающий как классические разделы (линейная алгебра, теория групп, теория многочленов), так и дополнительные темы, включая элементы коммутативной алгебры, теорию Галуа, теорию конечномерных ассоциативных алгебр и групп Ли. Ключевые концепции излагаются через алгебраические структуры, векторные пространства, линейные операторы, тензорную алгебру и теорию представлений. Издание предназначено для математиков и физиков — студентов, аспирантов, преподавателей и научных работников, уже имеющих базовую математическую подготовку.</t>
  </si>
  <si>
    <t>Лекции по линейной алгебре</t>
  </si>
  <si>
    <t>Гельфанд И.М.</t>
  </si>
  <si>
    <t>Гельфанд. Лекции по линейной алгебре 1998.pdf</t>
  </si>
  <si>
    <t>Математика на Python. Часть I. Элементы линейной алгебры и аналитической геометрии</t>
  </si>
  <si>
    <t>Балджы Анна Сергеевна; Хрипунова Марина Борисовна; Александрова Ирина Александровна</t>
  </si>
  <si>
    <t>Прометей</t>
  </si>
  <si>
    <t>Книга Математика на Python.pdf</t>
  </si>
  <si>
    <t>Это учебно-методическое пособие посвящено изучению высшей математики с использованием языка программирования Python. Книга охватывает элементы линейной алгебры и аналитической геометрии, включая работу с матрицами, решение систем линейных уравнений, операции с векторами и кривые второго порядка. Пособие предназначено для студентов бакалавриата экономических и управленческих направлений, осваивающих дисциплину «Компьютерный практикум» на начальном уровне.</t>
  </si>
  <si>
    <t>Линейное пространство - Лекция</t>
  </si>
  <si>
    <t>Линейное пространство - Лекция.pdf</t>
  </si>
  <si>
    <t>Фрагмент представляет собой лекцию по линейной алгебре, посвященную определению и свойствам линейного (векторного) пространства. Вводятся аксиомы векторного пространства, понятия линейной оболочки, подпространства, а также линейной зависимости и независимости векторов. Материал рассчитан на студентов, изучающих высшую математику на начальном или среднем уровне.</t>
  </si>
  <si>
    <t>Математика для Data Science. Управляем данными с помощью линейной алгебры, теории вероятностей и статистики</t>
  </si>
  <si>
    <t>Томас Нилд</t>
  </si>
  <si>
    <t>Математика_для_Data_Science.pdf</t>
  </si>
  <si>
    <t>Книга Томаса Нилда «Математика для Data Science» представляет собой практическое руководство по освоению фундаментальных математических дисциплин, необходимых для работы с данными, машинного обучения и статистики. Ключевые разделы включают линейную алгебру, теорию вероятностей, математический анализ и статистику, которые автор объясняет через призму реальных методов, таких как линейная и логистическая регрессия, а также нейронные сети. Издание предназначено для начинающих специалистов в области data science, стремящихся заложить прочный математический фундамент для понимания и внедрения сложных алгоритмов.</t>
  </si>
  <si>
    <t>О.Я. Шевалдина; Е.В. Выходец; О.Ю. Жильцова; О.Л. Кузнецова</t>
  </si>
  <si>
    <t>Математика_Линейная_алгебра_и_аналитическая_геометрия.pdf</t>
  </si>
  <si>
    <t>Это учебное пособие по линейной алгебре и аналитической геометрии, предназначенное для студентов экономических и управленческих специальностей. Книга охватывает матричную алгебру, системы линейных уравнений, векторную алгебру, аналитическую геометрию и линейные операторы, включая экономические приложения (модели Леонтьева, Неймана и линейной торговли). Материал рассчитан на начальный уровень освоения дисциплины и содержит теоретическую часть, примеры, задачи для самостоятельного решения и тесты для контроля знаний.</t>
  </si>
  <si>
    <t>Математические алгоритмы для программистов. 3D-графика, машинное обучение и моделирование на Python</t>
  </si>
  <si>
    <t>Пол Орланд</t>
  </si>
  <si>
    <t>Математические_алгоритмы_для_программистов_3D_графика,_машинное.pdf</t>
  </si>
  <si>
    <t>Книга Пола Орланда «Математические алгоритмы для программистов» посвящена практическому применению математики в программировании, охватывая такие области, как 3D-графика, машинное обучение и физическое моделирование на языке Python. Ключевые разделы включают работу с векторами и матрицами для графики, математический анализ для моделирования движения и силовых полей, а также методы машинного обучения, включая нейронные сети. Издание содержит более 300 упражнений и мини-проектов, а также знакомит с базовыми библиотеками Python. Книга предназначена для программистов разного уровня, желающих освоить или освежить математические основы, необходимые для решения реальных задач в IT.</t>
  </si>
  <si>
    <t>Прикладная_линейная_алгебра_для_исследователей_данных_2023_Майк.pdf</t>
  </si>
  <si>
    <t>Книга Майка Икс Коэна посвящена прикладной линейной алгебре для специалистов по данным, с акцентом на реализацию концепций на Python. В ней рассматриваются ключевые темы, такие как векторы, матрицы, матричная арифметика и важные разложения, используемые в науке о данных и машинном обучении. Издание предназначено для специалистов по обработке данных, а также будет полезно студентам и разработчикам ПО, имеющим базовые математические знания и навыки программирования.</t>
  </si>
  <si>
    <t>Занимательная математика. Линейная алгебра</t>
  </si>
  <si>
    <t>Син Такахаси; Ироха Иноуэ</t>
  </si>
  <si>
    <t>Син_Такахаси_Ироха_Иноуэ_Занимательная_математика_Линейная_алгебра.pdf</t>
  </si>
  <si>
    <t>Эта книга в формате манги знакомит читателя с основами линейной алгебры через сюжет о студенте, помогающем девушке освоить предмет. Ключевые разделы охватывают матрицы, векторы, линейные преобразования, а также собственные числа и векторы. Издание предназначено для новичков — студентов, старшеклассников и всех, кто хочет понять абстрактные концепции с помощью юмора и наглядных примеров.</t>
  </si>
  <si>
    <t>Essential Calculus Skills Practice Workbook With Full Solutions</t>
  </si>
  <si>
    <t>Chris McMullen</t>
  </si>
  <si>
    <t>Математика/Мат. анализ</t>
  </si>
  <si>
    <t>Мат. анализ</t>
  </si>
  <si>
    <t>Calculus_Essential_calculus_skills_practice.epub</t>
  </si>
  <si>
    <t>C:\Users\alexa\YandexDisk\Книги\Математика\Мат. анализ</t>
  </si>
  <si>
    <t>Эта книга представляет собой практическое пособие по освоению ключевых навыков математического анализа (исчисления), включая нахождение производных и интегралов различных функций. Основные разделы охватывают производные полиномов, тригонометрических функций, экспонент и логарифмов, а также правила цепочки, произведения и частного, методы интегрирования и работу с пределами. Пособие предназначено для студентов, начинающих изучать математический анализ, и содержит краткие объяснения, примеры с пошаговыми решениями и множество упражнений для отработки навыков.</t>
  </si>
  <si>
    <t>Mathematical Modeling: Models, Analysis and Applications</t>
  </si>
  <si>
    <t>Sandip Banerjee</t>
  </si>
  <si>
    <t>Mathematical Modelin... by Sandip Banerj.pdf</t>
  </si>
  <si>
    <t>Книга Сэндипа Банерджи «Mathematical Modeling: Models, Analysis and Applications» посвящена теории и практике математического моделирования, охватывая как дискретные, так и непрерывные процессы. Ключевые разделы включают разностные уравнения, модели популяционной динамики, экономические модели, а также анализ устойчивости и бифуркаций с использованием обыкновенных дифференциальных уравнений. Издание предназначено для студентов и специалистов, уже знакомых с основами высшей математики, и содержит примеры применения MATLAB.</t>
  </si>
  <si>
    <t>Алгебра 10-11 классы</t>
  </si>
  <si>
    <t>Колмогоров; Абрамов; Дудницын</t>
  </si>
  <si>
    <t>Алгебра 10-11 классы [2018] Колмогоров, Абрамов, Дудницын.pdf</t>
  </si>
  <si>
    <t>Данный фрагмент представляет собой учебник по алгебре для 10-11 классов, входящий в серию книг по математике под редакцией Колмогорова. Ключевые разделы включают изучение тригонометрических функций, производной, интегралов, показательной и логарифмической функций, а также элементы теории вероятностей. Учебник предназначен для учащихся старших классов общеобразовательных школ, то есть для начального и среднего уровня изучения математики.</t>
  </si>
  <si>
    <t>Алгебра и начала анализа</t>
  </si>
  <si>
    <t>1988</t>
  </si>
  <si>
    <t>Алгебра и начала анализа [1988] Колмогоров.djvu</t>
  </si>
  <si>
    <t>Данный фрагмент является частью учебника «Алгебра и начала анализа» под редакцией Колмогорова, предназначенного для старших классов общеобразовательной школы. Книга охватывает ключевые разделы математики, включая тригонометрические функции, производную, интеграл, показательную и логарифмическую функции, а также элементы теории вероятностей. Учебник ориентирован на учащихся 9-10 классов (уровень новичок/средний) и содержит как теоретический материал, так и практические задачи для подготовки к выпускным экзаменам.</t>
  </si>
  <si>
    <t>Алгебра и начала математического анализа. Учебник для 10-11 классов</t>
  </si>
  <si>
    <t>Колмогоров</t>
  </si>
  <si>
    <t>Алгебра и начала математического анализа. Учебник для 10-11 классов [2018] Колмогоров .djvu</t>
  </si>
  <si>
    <t>Данный фрагмент представляет собой учебник по алгебре и началам математического анализа для 10-11 классов, написанный Колмогоровым. Книга охватывает ключевые разделы высшей математики, включая тригонометрические функции, производные, интегралы, показательную и логарифмическую функции, а также элементы теории вероятностей. Учебник предназначен для учащихся старших классов общеобразовательных школ, то есть для начального и среднего уровня изучения математики.</t>
  </si>
  <si>
    <t>Математика, её содержание, методы и значение. Т.1</t>
  </si>
  <si>
    <t>Александров А.Д. и др. (ред.)</t>
  </si>
  <si>
    <t>1956</t>
  </si>
  <si>
    <t>Александров А.Д. и др. (ред.) - Математика, её содержание, методы и значение. Т.1 - 1956.djvu</t>
  </si>
  <si>
    <t>Книга представляет собой фундаментальный труд по математике, охватывающий её содержание, методы и значение. В первом томе рассматриваются ключевые разделы, такие как математический анализ, теория множеств, алгебра и геометрия, с акцентом на логическую структуру и прикладную роль. Издание предназначено для широкого круга читателей — от студентов и преподавателей до специалистов, интересующихся философией и историей математики.</t>
  </si>
  <si>
    <t>Математика, её содержание, методы и значение. Т.2</t>
  </si>
  <si>
    <t>Александров А.Д. и др. (ред.) - Математика, её содержание, методы и значение. Т.2 - 1956.djvu</t>
  </si>
  <si>
    <t>Книга представляет собой второй том фундаментального труда под редакцией Александрова, Колмогорова и Лаврентьева, посвящённого содержанию, методам и значению математики. В данном фрагменте рассматриваются ключевые разделы математического анализа, включая теорию функций действительного переменного, функциональный анализ и дифференциальные уравнения. Основное внимание уделяется строгому изложению фундаментальных понятий, таких как мера, интеграл Лебега и функциональные пространства. Издание предназначено для студентов старших курсов, аспирантов и специалистов в области математики и смежных наук, имеющих базовую подготовку.</t>
  </si>
  <si>
    <t>Математика, её содержание, методы и значение. Т.3</t>
  </si>
  <si>
    <t>Александров А.Д. и др. (ред.) - Математика, её содержание, методы и значение. Т.3 - 1956.djvu</t>
  </si>
  <si>
    <t>Этот том завершает фундаментальный труд по математике, охватывая её прикладные аспекты и философские обобщения. Ключевые разделы посвящены теории вероятностей, математической статистике, вычислительной математике и теории функций действительного переменного. Книга предназначена для широкого круга читателей — от студентов старших курсов и преподавателей до научных работников и инженеров, желающих понять структуру и методы современной математики.</t>
  </si>
  <si>
    <t>Бесконечная сила. Как математический анализ раскрывает тайны Вселенной</t>
  </si>
  <si>
    <t>Стивен Строгац</t>
  </si>
  <si>
    <t>Houghton Mifflin Harcourt</t>
  </si>
  <si>
    <t>Бесконечная_сила_Как_математический_анализ_раскрывает_тайны_Вселенной.pdf</t>
  </si>
  <si>
    <t>Книга Стивена Строгаца «Бесконечная сила» посвящена истории и ключевым идеям математического анализа (исчисления бесконечно малых), показывая, как этот раздел математики лежит в основе современных технологий и научных открытий. Автор объясняет фундаментальные концепции, такие как дифференциальное и интегральное исчисление, а также их роль в описании законов движения, волн и логической структуры Вселенной. Книга написана доступным языком, без сложных формул, с упором на графики и примеры из реальной жизни, и предназначена для широкого круга читателей, включая новичков, желающих понять, зачем нужна математика.</t>
  </si>
  <si>
    <t>Введение в анализ</t>
  </si>
  <si>
    <t>Введение в анализ [2009] Колмогоров.djvu</t>
  </si>
  <si>
    <t>Данный фрагмент книги «Введение в анализ» А.Н. Колмогорова представляет собой классический учебник по математическому анализу для студентов первых курсов физико-математических специальностей. Ключевые концепции, рассматриваемые в книге, включают теорию действительных чисел, пределы последовательностей и функций, непрерывность, дифференциальное и интегральное исчисление. Издание предназначено для студентов университетов и технических вузов, уже имеющих базовую математическую подготовку, то есть для уровня «продвинутый новичок» или начинающий специалист.</t>
  </si>
  <si>
    <t>Введение в теорию функций действительного переменного</t>
  </si>
  <si>
    <t>Александров; Колмогоров</t>
  </si>
  <si>
    <t>1933</t>
  </si>
  <si>
    <t>Введение в теорию функций действительного переменного [1933] Александров, Колмогоров.djvu</t>
  </si>
  <si>
    <t>Данный фрагмент представляет собой классический учебник по теории функций действительного переменного, охватывающий фундаментальные разделы математического анализа, такие как теория множеств, метрические пространства, мера и интеграл Лебега. Ключевые концепции включают понятия мощности множества, сходимости, непрерывности и измеримых функций. Книга предназначена для студентов старших курсов и специалистов в области математики, требующих глубокого понимания теоретических основ анализа.</t>
  </si>
  <si>
    <t>Геометрия. Теория аналитических функций</t>
  </si>
  <si>
    <t>Колмогоров; Юшкевич</t>
  </si>
  <si>
    <t>Геометрия. Теория аналитических функций [1981] Колмогоров, Юшкевич.djvu</t>
  </si>
  <si>
    <t>Данный фрагмент книги посвящён взаимосвязи геометрии и теории аналитических функций, рассматривая математические методы, объединяющие эти области. Ключевые концепции включают геометрическую интерпретацию комплексных чисел, конформные отображения и свойства аналитических функций. Книга предназначена для специалистов и студентов старших курсов математических специальностей, имеющих базовую подготовку в анализе и геометрии.</t>
  </si>
  <si>
    <t>Динамическое программирование в экономических задачах: учебное пособие</t>
  </si>
  <si>
    <t>А. В. Лежнёв</t>
  </si>
  <si>
    <t>Динамическое_программирование_в_экономических_задачах.pdf</t>
  </si>
  <si>
    <t>Это учебное пособие посвящено методу динамического программирования для решения задач управления многошаговыми процессами в экономике. В книге излагается принцип оптимальности Беллмана, разбираются примеры типовых экономических задач и рассматриваются обобщения метода на задачи теории графов. Пособие предназначено для студентов экономических и технических специальностей, предполагая начальный уровень математической подготовки.</t>
  </si>
  <si>
    <t>Учебник по математике</t>
  </si>
  <si>
    <t>Роман Добровенский</t>
  </si>
  <si>
    <t>2012–2014</t>
  </si>
  <si>
    <t>Добровенский Учебник по математике.pdf</t>
  </si>
  <si>
    <t>Этот фрагмент представляет собой введение и оглавление учебника по математике, охватывающего такие фундаментальные разделы, как логика (включая базовые понятия, предикаты, парадоксы и формализм), теория множеств, натуральные числа и основы алгебры. Ключевые концепции включают высказывания, истинность, логические операции, а также комбинаторику и принципы доказательств. Книга предназначена для новичков, но автор признаёт, что материал может оказаться сложным, и рекомендует читать его поверхностно или обращаться к отдельным главам по мере необходимости.</t>
  </si>
  <si>
    <t>Curves for the Mathematically Curious: An Anthology of the Unpredictable, Historical, Beautiful and Romantic</t>
  </si>
  <si>
    <t>Julian Havil</t>
  </si>
  <si>
    <t>замечательные математические кривые.pdf</t>
  </si>
  <si>
    <t>Книга представляет собой антологию десяти математических кривых, отобранных за их красоту, историческую значимость и неожиданные математические свойства. В каждой главе рассматривается история, определение и математическая основа конкретной кривой, включая такие разделы, как спираль Эйлера, кривая Вейерштрасса, кривые Безье и равнобочная гипербола. Издание адресовано широкому кругу любителей математики, включая преподавателей и руководителей кружков, и не требует глубоких специальных знаний.</t>
  </si>
  <si>
    <t>Занимательная математика. Анализ Фурье</t>
  </si>
  <si>
    <t>Занимательная_математика_Анализ_Фурье.pdf</t>
  </si>
  <si>
    <t>Книга посвящена занимательному введению в анализ Фурье, объясняя его математические основы и практическое применение. Ключевые концепции включают разложение сигналов на синусоидальные составляющие, преобразование Фурье и его роль в обработке данных. Издание ориентировано на новичков и любителей математики, желающих понять тему без углубления в строгие доказательства.</t>
  </si>
  <si>
    <t>Избранные труды в 6 томах. Том 4. Математика и математики. Книга 1</t>
  </si>
  <si>
    <t>Колмогоров А.Н. - Избранные труды в 6 томах. Том 4. Математика и математики. Книга 1 - 2007.djvu</t>
  </si>
  <si>
    <t>Книга представляет собой сборник избранных трудов академика А.Н. Колмогорова, посвящённый истории математики и роли математиков в науке. В ней рассматриваются ключевые концепции развития математического знания, анализируются биографии и научные достижения выдающихся учёных, а также обсуждаются методологические вопросы преподавания. Издание предназначено для специалистов в области математики и истории науки, а также для студентов старших курсов, интересующихся фундаментальными основами дисциплины.</t>
  </si>
  <si>
    <t>Избранные труды в 6 томах. Том 4. Математика и математики. Книга 2</t>
  </si>
  <si>
    <t>Колмогоров А.Н. - Избранные труды в 6 томах. Том 4. Математика и математики. Книга 2 - 2007.djvu</t>
  </si>
  <si>
    <t>Фрагмент книги представляет собой сборник избранных трудов академика А.Н. Колмогорова, посвящённый истории математики и роли математиков в науке. Ключевые разделы включают анализ развития математических идей, биографические очерки и методологические размышления о природе математического творчества. Издание предназначено для специалистов в области математики, историков науки и студентов старших курсов, интересующихся глубокими теоретическими и историческими аспектами дисциплины.</t>
  </si>
  <si>
    <t>Что такое математика?</t>
  </si>
  <si>
    <t>Рихард Курант; Герберт Роббинс</t>
  </si>
  <si>
    <t>Курант Что такое математика.pdf</t>
  </si>
  <si>
    <t>Книга «Что такое математика?» Рихарда Куранта и Герберта Роббинса представляет собой классический популярный очерк, который знакомит читателя с фундаментальными идеями и методами математики, начиная от натуральных чисел и арифметики и заканчивая геометрическими построениями и теорией чисел. Ключевые разделы охватывают математическую индукцию, иррациональные и комплексные числа, алгебру множеств, а также доказательства невозможности классических задач (например, квадратуры круга). Издание предназначено для широкой аудитории — школьников, студентов, преподавателей и всех, кто интересуется структурой и развитием математической науки.</t>
  </si>
  <si>
    <t>Введение в функциональный анализ : учебное пособие</t>
  </si>
  <si>
    <t>Кутузов, А. С.</t>
  </si>
  <si>
    <t>Кутузов_А_С_Введение_в_функциональный_анализ_учебное_пособие_2020.pdf</t>
  </si>
  <si>
    <t>Учебное пособие А. С. Кутузова посвящено основам функционального анализа и предназначено для студентов направления «Прикладная математика и информатика». Книга разделена на две части: первая рассматривает метрические, линейные нормированные и гильбертовы пространства, вторая — теорию операторов, включая спектральную теорию. Материал ориентирован на старшекурсников, владеющих математическим анализом, алгеброй и дифференциальными уравнениями, и сочетает теоретические сведения с примерами решения задач. Пособие может использоваться для практических занятий и самостоятельной работы.</t>
  </si>
  <si>
    <t>Математика и механика [Том 1]</t>
  </si>
  <si>
    <t>1985</t>
  </si>
  <si>
    <t>Математика и механика [Том 1] [1985] Колмогоров.djvu</t>
  </si>
  <si>
    <t>Фрагмент книги представляет собой сборник трудов Андрея Николаевича Колмогорова, посвящённый фундаментальным вопросам математики и механики. Ключевые разделы включают теорию вероятностей, топологию, функциональный анализ и гидродинамику, а также работы по математической логике и теории турбулентности. Издание предназначено для специалистов в области математики и физики, а также для аспирантов и студентов старших курсов, глубоко изучающих эти дисциплины.</t>
  </si>
  <si>
    <t>Математика на Python</t>
  </si>
  <si>
    <t>С.Я. Криволапов; М.Б. Хрипунова</t>
  </si>
  <si>
    <t>Математика_на_Python_2022_Криволапов_С_Я_,_Хрипунова_М_Б_.pdf</t>
  </si>
  <si>
    <t>Это учебник по применению языка Python для решения задач высшей математики, предназначенный для студентов бакалавриата и магистратуры экономических и IT-направлений. Книга охватывает два основных раздела: математический анализ (пределы, производные, интегралы, ряды) и линейную алгебру с аналитической геометрией. Издание включает инструкцию по установке Python, обзор ключевых библиотек (NumPy, SymPy, Matplotlib, SciPy) и большое количество практических примеров с задачами для самостоятельного решения. Учебник ориентирован на читателей, уже изучающих математику и желающих освоить современные вычислительные технологии на базовом уровне.</t>
  </si>
  <si>
    <t>Математика: Ряды. Функции нескольких переменных</t>
  </si>
  <si>
    <t>Шевалдина О.Я.; Выходец Е.В.; Трофимова Е.А.</t>
  </si>
  <si>
    <t>Математика_Ряды_Функции_нескольких_переменных.pdf</t>
  </si>
  <si>
    <t>Это учебное пособие, посвященное двум разделам высшей математики: числовым и степенным рядам, а также функциям нескольких переменных. Ключевые концепции включают сходимость рядов, признаки сходимости, дифференцирование и оптимизацию функций нескольких переменных. Книга предназначена для студентов вузов, изучающих математику в рамках экономических и управленческих специальностей, то есть для начального и среднего уровня подготовки.</t>
  </si>
  <si>
    <t>Математическая логика (3-е изд.)</t>
  </si>
  <si>
    <t>Колмогоров; Драгалин</t>
  </si>
  <si>
    <t>Математическая логика (3-е изд.) [2006] Колмогоров, Драгалин.djvu</t>
  </si>
  <si>
    <t>Данный фрагмент книги «Математическая логика» (3-е издание) Колмогорова и Драгалина посвящён основам математической логики, включая такие ключевые разделы, как исчисление высказываний, исчисление предикатов и теория доказательств. Книга предназначена для студентов математических и компьютерных специальностей, а также для специалистов, желающих углубить понимание формальных логических систем. Материал излагается на высоком теоретическом уровне, предполагающем знакомство с основами математики.</t>
  </si>
  <si>
    <t>Математический анализ в 4 ч</t>
  </si>
  <si>
    <t>Математический анализ в 4 ч.zip</t>
  </si>
  <si>
    <t>Данный фрагмент книги посвящён математическому анализу, а именно теме пределов последовательностей и функций. Ключевые концепции включают определение предела, свойства сходящихся последовательностей и методы вычисления пределов. Издание предназначено для студентов и специалистов, уже имеющих базовую математическую подготовку, и может использоваться как учебное пособие для углублённого изучения раздела.</t>
  </si>
  <si>
    <t>Математическое программирование</t>
  </si>
  <si>
    <t>Н. А. Рубанова</t>
  </si>
  <si>
    <t>Математическое программирование.pdf</t>
  </si>
  <si>
    <t>Данное учебное пособие посвящено основам математического программирования, а именно методам решения оптимизационных задач. Ключевые разделы книги включают линейное и целочисленное программирование, транспортную задачу, сетевое планирование и теорию игр. Издание предназначено для студентов экономических специальностей высших учебных заведений, то есть для начального и среднего уровня подготовки.</t>
  </si>
  <si>
    <t>К. В. Балдин; Н. А. Брызгалов; А. В. Рукосуев</t>
  </si>
  <si>
    <t>Издательско-торговая корпорация «Дашков и К°»</t>
  </si>
  <si>
    <t>Математическое_программирование.pdf</t>
  </si>
  <si>
    <t>Данный учебник посвящен теоретическим основам и практическим методам математического программирования, рассматриваемого с позиций системного анализа. Ключевые разделы охватывают задачи линейного программирования (включая симплекс-метод, двойственные задачи и метод Гомори), специальные транспортные задачи, а также нелинейное и динамическое программирование. Издание предназначено для студентов высших учебных заведений, обучающихся по экономическим и управленческим специальностям, то есть для уровня новичков и специалистов, осваивающих прикладную математику в экономике.</t>
  </si>
  <si>
    <t>Некоторые вопросы математики и механики</t>
  </si>
  <si>
    <t>Некоторые вопросы математики и механики [1981] Колмогоров.djvu</t>
  </si>
  <si>
    <t>Книга представляет собой сборник статей и исследований по различным разделам математики и механики, охватывающий фундаментальные и прикладные вопросы. Ключевые концепции включают теорию функций, дифференциальные уравнения, механику сплошных сред и математические методы моделирования физических процессов. Издание предназначено для специалистов — математиков, механиков, аспирантов и научных работников, имеющих профессиональную подготовку в этих областях.</t>
  </si>
  <si>
    <t>Основы математического моделирования и оптимизации на языке Python</t>
  </si>
  <si>
    <t>Основы математического моделирования и оптимизации на языке Python.pdf</t>
  </si>
  <si>
    <t>Данный фрагмент книги посвящён основам математического моделирования и оптимизации с использованием языка программирования Python. Ключевые концепции включают построение математических моделей, методы оптимизации и их программную реализацию. Книга предназначена для читателей, имеющих начальный уровень подготовки в программировании и математике, стремящихся применить Python для решения прикладных задач.</t>
  </si>
  <si>
    <t>Практическое введение в решение дифференциальных уравнений в Python</t>
  </si>
  <si>
    <t>Н. М. Ершов</t>
  </si>
  <si>
    <t>Практическое_введение_в_решение_дифференциальных_уравнений_в_Python.pdf</t>
  </si>
  <si>
    <t>Книга Николая Ершова посвящена практическому применению библиотеки символьных вычислений SymPy на языке Python для решения дифференциальных уравнений и их систем. В ней рассматриваются прикладные задачи из различных областей, такие как вращение жидкости, водяные часы, химические реакции, модели роста и колебания маятника, каждая из которых сопровождается построением математической модели и её реализацией. Издание ориентировано на школьников старших классов, студентов и всех интересующихся математическим моделированием, служа дополнением к классическим учебникам по дифференциальным уравнениям.</t>
  </si>
  <si>
    <t>Руководство к решению тестовых задач по математике</t>
  </si>
  <si>
    <t>Руководство к решению тестовых задач по математике.pdf</t>
  </si>
  <si>
    <t>Данный фрагмент книги представляет собой руководство по решению тестовых задач по математическому анализу, ориентированное на студентов, готовящихся к экзаменам или контрольным работам. Ключевые разделы, вероятно, включают разбор типовых задач по пределам, производным, интегралам и другим темам стандартного курса матанализа. Материал предназначен для учащихся начального и среднего уровня (новички и студенты младших курсов), которым требуется практическая отработка навыков решения задач в формате тестов.</t>
  </si>
  <si>
    <t>Введение в настоящую математику: пособие для учителей математики по мотивам «100 уроков математики» Алексея Савватеева</t>
  </si>
  <si>
    <t>Казимиров Н. И.; Савватеев А. В.</t>
  </si>
  <si>
    <t>Русский фонд содействия образованию и науке. Университет Дмитрия Пожарского</t>
  </si>
  <si>
    <t>Саватеев-Введение в настоящую математику.pdf</t>
  </si>
  <si>
    <t>Книга представляет собой развернутый конспект видеокурса «100 уроков математики» Алексея Савватеева, посвященный концепции числа и фундаментальным разделам математики. Ключевые темы включают визуальную арифметику, движения прямой и плоскости, теорию групп, арифметику остатков, комплексные числа, многочлены, перестановки и элементы математического анализа. Издание предназначено для учителей математики, школьников, студентов и всех, кто интересуется математикой и хочет расширить свой кругозор, начиная с базового уровня.</t>
  </si>
  <si>
    <t>Tasks for 250 Lecons from Savvateev</t>
  </si>
  <si>
    <t>Dr.(rus) Nikolai Kazimirov</t>
  </si>
  <si>
    <t>Саватеев-Сборник задач.pdf</t>
  </si>
  <si>
    <t>Этот сборник задач является приложением к конспекту «Введение в математику» Алексея Савватеева и предназначен для закрепления базовых математических понятий через практику. Ключевые концепции первых уроков включают визуализацию арифметических операций (сложение и вычитание как движение по прямой, умножение как площадь прямоугольника), а также соизмеримость отрезков и алгоритм Евклида. Материал рассчитан на начинающих, включая школьников и всех, кто изучает основы математики с нуля.</t>
  </si>
  <si>
    <t>Занимательная математика. Дифференциальные уравнения. Манга</t>
  </si>
  <si>
    <t>Сато Минору; Адзума Секо</t>
  </si>
  <si>
    <t>Сато_Минору_Занимательная_математика_Дифференциальные_уравнения.pdf</t>
  </si>
  <si>
    <t>Книга «Занимательная математика. Дифференциальные уравнения» в формате образовательной манги знакомит читателя с основами дифференциальных уравнений через увлекательный сюжет с участием школьницы Мидзуки, студента Ноямы и Богини чисел. В ней объясняется, как с помощью этих уравнений моделировать реальные процессы: от запуска планера и предсказания погоды до охлаждения кофе и колебаний мостов. Ключевые концепции включают различные методы решения уравнений, уравнение Бернулли и применение дифференциальных моделей к биологическим и физическим явлениям. Книга предназначена для новичков — школьников старших классов, студентов младших курсов и всех, кто хочет понять суть дифференциальных уравнений без строгих академических формул.</t>
  </si>
  <si>
    <t>Занимательная математика. Производные и интегралы</t>
  </si>
  <si>
    <t>Син Тогами</t>
  </si>
  <si>
    <t>Син_Тогами_Занимательная_математика_Производные_и_интегралы_Образовательная.pdf</t>
  </si>
  <si>
    <t>Книга «Занимательная математика. Производные и интегралы» посвящена основам математического анализа, а именно понятиям производной и интеграла. Ключевые разделы включают объяснение того, как производная описывает скорость изменения функции, а интеграл — накопление величин, а также их взаимосвязь через основную теорему анализа. Издание предназначено для новичков и любителей математики, желающих понять эти темы без углубления в строгие доказательства.</t>
  </si>
  <si>
    <t>Учебник по математике.pdf</t>
  </si>
  <si>
    <t>Этот фрагмент представляет собой введение и оглавление учебника по математике, охватывающего такие фундаментальные разделы, как логика, теория множеств, натуральные числа и основы алгебры. Ключевые концепции включают базовые понятия логики, парадоксы, формализм, множества, функции, комбинаторику и группы. Книга предназначена для новичков, но автор признаёт, что материал может оказаться сложным для понимания и рекомендует читать его поверхностно или обращаться к отдельным главам.</t>
  </si>
  <si>
    <t>Что такое математика 2015.pdf</t>
  </si>
  <si>
    <t>Книга «Что такое математика?» Рихарда Куранта и Герберта Роббинса представляет собой классический научно-популярный очерк, который знакомит читателя с фундаментальными идеями и методами математики, начиная от натуральных чисел и заканчивая геометрическими построениями. Ключевые разделы охватывают теорию чисел, математическую числовую систему (включая иррациональные и комплексные числа), а также алгебру числовых полей и доказательства невозможности. Издание предназначено для широкой аудитории — от школьников и студентов до преподавателей и всех, кто интересуется структурой и развитием математической науки.</t>
  </si>
  <si>
    <t>Элементы теории функций и функционального анализа</t>
  </si>
  <si>
    <t>Колмогоров, А.Н.; Фомин, С.В.</t>
  </si>
  <si>
    <t>Элементы теории функций и функционального анализа [2004] Колмогоров, Фомин.djvu</t>
  </si>
  <si>
    <t>Данный фрагмент книги «Элементы теории функций и функционального анализа» Колмогорова и Фомина представляет собой классический учебник по математике, посвященный основам функционального анализа и теории функций действительного переменного. Ключевые разделы включают метрические и топологические пространства, меру и интеграл Лебега, а также линейные нормированные пространства и операторы. Книга предназначена для студентов старших курсов, аспирантов и специалистов в области математики и физики, имеющих базовую подготовку в математическом анализе.</t>
  </si>
  <si>
    <t>Математическая логика и теория алгоритмов</t>
  </si>
  <si>
    <t>Ю. В. Вайнштейн; Т. Г. Пенькова; В. И. Вайнштейн</t>
  </si>
  <si>
    <t>Ю_В_Вайнштейн,_Т_Г_Пенькова,_В_И_Вайнштейн_Математическая_логика.pdf</t>
  </si>
  <si>
    <t>Это учебное пособие по математической логике и теории алгоритмов, предназначенное для студентов направления «Программная инженерия». Книга охватывает такие ключевые разделы, как алгебра логики и исчисление высказываний, формальные теории, исчисление предикатов, а также основы теории алгоритмов и вычислительной сложности. Материал ориентирован на начальный и средний уровень подготовки, формируя у студентов математическую и информационную культуру для решения профессиональных задач.</t>
  </si>
  <si>
    <t>Mathematics: An Illustrated History of Numbers</t>
  </si>
  <si>
    <t>Tom Jackson</t>
  </si>
  <si>
    <t>Worth Press</t>
  </si>
  <si>
    <t>Математика/Общие вопросы</t>
  </si>
  <si>
    <t>Джексон_Т_Математика_Иллюстрированная.pdf</t>
  </si>
  <si>
    <t>C:\Users\alexa\YandexDisk\Книги\Математика\Общие вопросы</t>
  </si>
  <si>
    <t>Эта книга представляет собой иллюстрированную историю математики, охватывающую сто ключевых открытий — от доисторического счета до современных теорий хаоса и струн. Основные разделы организованы хронологически: от доисторической эпохи и Средневековья через Ренессанс к современной математике, включая такие концепции, как теорема Пифагора, ноль, логарифмы, теория относительности и фракталы. Издание предназначено для широкого круга читателей-новичков, интересующихся наукой, и подаёт материал как увлекательное повествование о том, как математические истины накапливаются, а не заменяют друг друга.</t>
  </si>
  <si>
    <t>Как не ошибаться. Сила математического мышления</t>
  </si>
  <si>
    <t>Джордан Элленберг</t>
  </si>
  <si>
    <t>Как_не_ошибаться_Сила_математического_мышления_2018_Джордан_Элленберг.pdf</t>
  </si>
  <si>
    <t>Книга Джордана Элленберга посвящена тому, как математическое мышление помогает принимать верные решения и избегать ошибок в повседневной жизни. Автор рассматривает ключевые концепции, такие как линейность, умозаключение, ожидание, регрессия и существование, иллюстрируя их примерами из реальных ситуаций. Издание предназначено для широкой аудитории, включая как новичков, так и тех, кто считает математику бесполезной, и написано доступным языком с минимальным использованием формул.</t>
  </si>
  <si>
    <t>Математика для дебилов</t>
  </si>
  <si>
    <t>Андрей Пифагоров</t>
  </si>
  <si>
    <t>Математика для Дебилов.pdf</t>
  </si>
  <si>
    <t>Книга представляет собой неформальное введение в математику для новичков, написанное в разговорном и провокационном стиле. Автор обещает научить читателя практическим вещам, таким как расчет процентов и решение задач на собеседованиях, а также делится занимательными фактами из истории математики. В первых главах рассматриваются истоки счета у древних народов и вклад древнегреческих и египетских математиков, включая понятие аксиом и дедуктивного метода. Книга предназначена для абсолютных новичков, которые хотят освоить базовые математические навыки без скучной академической подачи.</t>
  </si>
  <si>
    <t>Математика в огне. Нескучный неучебник</t>
  </si>
  <si>
    <t>Джейсон Уилкс</t>
  </si>
  <si>
    <t>Математика_в_огне_Нескучный_неучебник_2020_Джейсон_Уилкс.pdf</t>
  </si>
  <si>
    <t>Эта книга предлагает переосмыслить математику, превратив её из скучной и абстрактной дисциплины в увлекательный творческий процесс, где читатель может самостоятельно «изобрести» свою математическую вселенную. Автор, Джейсон Уилкс, отказывается от традиционных занудных доказательств и вычислений, делая акцент на концепциях, которые становятся частью окружающего мира. Ключевые разделы включают три акта с главами, посвящёнными созданию математики «из ничего», бесконечности, кругам и эстетике, а также интерлюдии, углубляющие понимание. Книга предназначена для новичков и всех, кто считает математику сложной или скучной, предлагая нестандартный и увлекательный подход к её изучению.</t>
  </si>
  <si>
    <t>О профессии математика</t>
  </si>
  <si>
    <t>1960</t>
  </si>
  <si>
    <t>О профессии математика [1960] Колмогоров.djvu</t>
  </si>
  <si>
    <t>Книга Сергея Колмогорова «О профессии математика» посвящена размышлениям о сути математического труда, его роли в науке и обществе. Автор обсуждает ключевые аспекты профессии: природу математического творчества, связь чистой и прикладной математики, а также этику и методологию исследовательской работы. Издание адресовано широкому кругу читателей, включая студентов, начинающих учёных и всех, кто интересуется философией математики, и не требует глубоких специальных знаний.</t>
  </si>
  <si>
    <t>Байесовская статистика: Star Wars®, LEGO®, резиновые уточки и многое другое</t>
  </si>
  <si>
    <t>Уилл Курт</t>
  </si>
  <si>
    <t>Математика/Статистика</t>
  </si>
  <si>
    <t>Статистика</t>
  </si>
  <si>
    <t>!_Библиотека_программиста_Уилл_Курт_Байесовская_статистика_Star_Wars®.pdf</t>
  </si>
  <si>
    <t>C:\Users\alexa\YandexDisk\Книги\Математика\Статистика</t>
  </si>
  <si>
    <t>Книга Уилла Курта «Байесовская статистика» посвящена практическому освоению байесовского подхода к анализу данных и принятию решений в условиях неопределенности. Ключевые концепции, рассматриваемые в книге, включают теорию вероятностей, теорему Байеса, априорные и апостериорные вероятности, оценку параметров и проверку гипотез, причем все это объясняется на ярких и запоминающихся примерах из мира «Звездных войн», LEGO и повседневной жизни. Издание предназначено для новичков и программистов, желающих понять статистику без сложных математических выкладок, используя интуицию и простую математику.</t>
  </si>
  <si>
    <t>Applied Statistics: Theory and Problem Solutions with R</t>
  </si>
  <si>
    <t>Dieter Rasch; Rob Verdooren; Jürgen Pilz</t>
  </si>
  <si>
    <t>John Wiley &amp; Sons Ltd</t>
  </si>
  <si>
    <t>Applied statistic with R.pdf</t>
  </si>
  <si>
    <t>Это учебное пособие по прикладной статистике, в котором теория сопровождается практическими решениями задач с использованием языка программирования R. Книга охватывает такие ключевые разделы, как точечное оценивание, проверка гипотез, доверительные интервалы и дисперсионный анализ для одно- и двухвыборочных задач. Издание предназначено для студентов, исследователей и специалистов, уже имеющих базовую математическую подготовку и желающих применить статистические методы на практике с помощью R.</t>
  </si>
  <si>
    <t>Essential Math for Data Science</t>
  </si>
  <si>
    <t>Thomas Nield</t>
  </si>
  <si>
    <t>Essential Math for Data Science.pdf</t>
  </si>
  <si>
    <t>Эта книга представляет собой практическое руководство по математике для специалистов по данным, охватывающее такие ключевые разделы, как вероятность, статистика, проверка гипотез, линейная алгебра, машинное обучение и математический анализ. Автор делает акцент на понимании математических концепций «под капотом» алгоритмов и объясняет их простым языком с примерами на Python. Издание предназначено для новичков и практикующих специалистов, которые хотят разобраться в математических основах data science, а не просто использовать готовые «черные ящики».</t>
  </si>
  <si>
    <t>Statistika i kotiki</t>
  </si>
  <si>
    <t>Statistika_i_kotiki.docx</t>
  </si>
  <si>
    <t>Книга «Статистика и котики» знакомит читателя с основами статистики через забавные примеры с участием кошек. Ключевые концепции включают описательную статистику, вероятности и проверку гипотез, которые объясняются простым и увлекательным языком. Издание предназначено для новичков, желающих освоить статистику без скучных формул и сложной математики.</t>
  </si>
  <si>
    <t>Статистика и котики</t>
  </si>
  <si>
    <t>Владимир Савельев</t>
  </si>
  <si>
    <t>Statistika_i_kotiki.pdf</t>
  </si>
  <si>
    <t>Эта книга представляет собой введение в статистику, объясняющее её базовые понятия на простых и забавных примерах из жизни котиков. В первой главе рассматриваются основы описательной статистики: меры центральной тенденции (мода, медиана, среднее значение) и меры изменчивости (размах, межквартильный размах, дисперсия и стандартное отклонение), а также проблема выбросов. Книга предназначена для новичков, которые хотят преодолеть страх перед статистикой и понять её внутреннюю красоту и практическую пользу.</t>
  </si>
  <si>
    <t>Анализ временных рядов и прогнозирование</t>
  </si>
  <si>
    <t>Афанасьев В. Н.</t>
  </si>
  <si>
    <t>Ай Пи Эр Медиа; Оренбургский гос. ун-т</t>
  </si>
  <si>
    <t>Анализ_временных_рядов_и_прогнозирование.pdf</t>
  </si>
  <si>
    <t>Это учебник по анализу временных рядов и прогнозированию, охватывающий классификацию рядов, их составляющие (тренд, колеблемость), показатели динамики и методы оценки параметров различных типов трендов (линейного, параболического, экспоненциального и других). Книга разделена на две части: базовую для бакалавров и дополнительные главы с современными методами прогнозирования для магистров и аспирантов. Издание предназначено для студентов направлений «Статистика», «Экономика» и «Социология», а также для широкого круга читателей, интересующихся статистическими закономерностями.</t>
  </si>
  <si>
    <t>Байесовские модели (Python)</t>
  </si>
  <si>
    <t>Аллен Б. Дауни</t>
  </si>
  <si>
    <t>Байесовские модели (Python).pdf</t>
  </si>
  <si>
    <t>Эта книга посвящена изучению байесовской статистики с использованием языка программирования Python вместо сложных математических формул. Ключевые концепции включают теорему Байеса, дискретные вероятностные распределения и вычислительные методы для решения задач оценки, прогнозирования и проверки гипотез. Издание предназначено для начинающих специалистов по анализу данных, которые уже знакомы с основами Python и теории вероятностей.</t>
  </si>
  <si>
    <t>Курт Уилл</t>
  </si>
  <si>
    <t>Библиотека_программиста_Уилл_Курт_Байесовская_статистика_Star_Wars®.pdf</t>
  </si>
  <si>
    <t>Книга Уилла Курта «Байесовская статистика» посвящена практическому освоению байесовского подхода к анализу данных и принятию решений в условиях неопределенности. Ключевые концепции включают теорию вероятностей, бета-распределение, теорему Байеса, априорные и апостериорные вероятности, оценку параметров и проверку гипотез (включая А/В-тесты и коэффициент Байеса). Материал излагается на доступных и увлекательных примерах из «Звёздных войн», LEGO и повседневной жизни, что делает книгу идеальной для новичков и программистов, желающих понять статистику без заумных лекций.</t>
  </si>
  <si>
    <t>Голая статистика. Самая интересная книга о самой скучной науке</t>
  </si>
  <si>
    <t>Чарльз Уилан</t>
  </si>
  <si>
    <t>Голая_статистика_Самая_интересная_книга_о_самой_скучной_науке_2016.pdf</t>
  </si>
  <si>
    <t>Книга «Голая статистика» Чарльза Уилана посвящена разоблачению мифов о сложности статистики и демонстрации её практической ценности в повседневной жизни. Автор доступно объясняет ключевые концепции, такие как корреляция и причинно-следственная связь, регрессия к среднему, центральная предельная теорема и ошибки выборки, используя яркие примеры из реального мира. Издание предназначено для новичков и широкой аудитории, не имеющей специальной математической подготовки, желающей понять, как статистика помогает принимать решения и распознавать манипуляции данными.</t>
  </si>
  <si>
    <t>Искусство статистики. Как находить ответы в данных</t>
  </si>
  <si>
    <t>Дэвид Шпигельхалтер</t>
  </si>
  <si>
    <t>Искусство_статистики_Как_находить_ответы_в_данных_2021_Дэвид_Шпигельхалтер.pdf</t>
  </si>
  <si>
    <t>Книга Дэвида Шпигельхалтера посвящена основам статистики и её применению для поиска ответов в данных, начиная от расчёта долей и регрессионного анализа до байесовского подхода и работы с ошибками. Автор на примере реальных историй, таких как разоблачение серийного убийцы Гарольда Шипмана, показывает, как статистические методы помогают извлекать смысл из цифр. Издание ориентировано на новичков и широкую аудиторию, не требует углублённых технических знаний, но будет полезно и опытным аналитикам благодаря интересным примерам.</t>
  </si>
  <si>
    <t>Understanding Statistics and Experimental Design: How to Not Lie with Statistics</t>
  </si>
  <si>
    <t>Michael H. Herzog; Gregory Francis; Aaron Clarke</t>
  </si>
  <si>
    <t>Как отучить статистику лгать.pdf</t>
  </si>
  <si>
    <t>Эта книга посвящена основам статистики и планирования эксперимента, с акцентом на правильную интерпретацию данных и выявление распространённых ошибок. Ключевые разделы охватывают теорию вероятностей, теорию обнаружения сигналов, t-критерий и множественную проверку гипотез. Издание предназначено для новичков, желающих понять принципы статистики без углубления в сложные математические вычисления.</t>
  </si>
  <si>
    <t>Математические методы принятия решений</t>
  </si>
  <si>
    <t>А.А. Грешилов</t>
  </si>
  <si>
    <t>Изд-во МГТУ им. Н.Э. Баумана</t>
  </si>
  <si>
    <t>Математические_методы_принятия_решений_2_е_издание_2014_Грешилов.pdf</t>
  </si>
  <si>
    <t>Книга А.А. Грешилова посвящена математическим методам принятия решений, объединяя задачи математического программирования и статистические методы. Ключевые концепции включают оптимизацию в детерминированных и стохастических условиях, проверку гипотез с учетом функции потерь, а также конфлюэнтный анализ для учета погрешностей случайных величин. Пособие предназначено для студентов технических вузов и специалистов, владеющих математикой в объеме программы технического университета, то есть для продвинутого уровня.</t>
  </si>
  <si>
    <t>Математические_методы_принятия_решений_МВТУ_2_е_издание_2014.pdf</t>
  </si>
  <si>
    <t>Это учебное пособие, посвященное математическим методам принятия решений, объединяющее задачи математического программирования и статистические методы, включая конфлюэнтный анализ для учета погрешностей случайных величин. Ключевые разделы охватывают оптимизационные задачи, проверку гипотез с учетом функции риска и реальные примеры, такие как идентификация землетрясений. Книга предназначена для студентов технических вузов и специалистов, владеющих математикой в объеме программы технического университета, то есть для подготовленных читателей, а не новичков.</t>
  </si>
  <si>
    <t>Основы статистического обучения 2021.pdf</t>
  </si>
  <si>
    <t>Книга «Основы статистического обучения» Тревора Хасти, Роберта Тибширани и Джерома Фридмана представляет собой фундаментальный труд по интеллектуальному анализу данных, статистическому выводу и прогнозированию. Она охватывает ключевые концепции машинного обучения, включая линейные методы регрессии и классификации, деревья решений, бустинг, нейронные сети, метод опорных векторов и ансамблевые методы. Издание предназначено для специалистов в области статистики, анализа данных и машинного обучения, имеющих серьезную математическую подготовку, и не подходит для новичков.</t>
  </si>
  <si>
    <t>П. Брюс; Э. Брюс</t>
  </si>
  <si>
    <t>Практическая статистика для специалистов Data Science.pdf</t>
  </si>
  <si>
    <t>Эта книга представляет собой практическое руководство по статистике для специалистов в области Data Science, обладающих базовым знанием языка R и математической статистики. В ней разбираются ключевые статистические концепции, наиболее релевантные для анализа данных, включая разведочный анализ, распределения, проверку значимости, регрессию, классификацию и методы машинного обучения. Авторы подробно объясняют, какие статистические понятия важны и полезны в науке о данных, а какие — менее значимы. Издание предназначено для аналитиков данных, желающих углубить понимание статистических методов, применяемых на практике.</t>
  </si>
  <si>
    <t>Practical Time Series Analysis</t>
  </si>
  <si>
    <t>Практический_анализ_временных_рядов 2021.pdf</t>
  </si>
  <si>
    <t>Книга Эйлин Нильсен «Практический анализ временных рядов» посвящена методам прогнозирования временных рядов с использованием как классических статистических подходов, так и машинного обучения. Ключевые разделы охватывают обработку и очистку данных, исследование стационарности и автокорреляции, моделирование (включая модели пространства состояний и глубокое обучение), а также практические аспекты хранения и оценки ошибок. Издание предназначено для специалистов и практиков, уже имеющих базовую подготовку в области анализа данных и программирования.</t>
  </si>
  <si>
    <t>Regression and Other Stories</t>
  </si>
  <si>
    <t>Andrew Gelman;Jennifer Hill;Aki Vehtari</t>
  </si>
  <si>
    <t>Регрессия- теория и практика 2022.pdf</t>
  </si>
  <si>
    <t>Книга «Регрессия: теория и практика» посвящена практическому применению регрессионного анализа для решения реальных задач сравнения, оценки, прогнозирования и причинно-следственного вывода, а не сухой теории. Ключевые разделы охватывают основы регрессии, работу с данными, статистический вывод, а также переход к логистической регрессии и обобщенным линейным моделям с акцентом на вычисления в средах R и Stan. Издание предназначено для широкого круга специалистов по анализу данных и может служить учебником для студентов технических вузов.</t>
  </si>
  <si>
    <t>Занимательная статистика. Манга</t>
  </si>
  <si>
    <t>Син Такахаси</t>
  </si>
  <si>
    <t>Додэка-XXI</t>
  </si>
  <si>
    <t>Син_Такахаси_Занимательная_статистика_Образовательная_манга_2010.pdf</t>
  </si>
  <si>
    <t>Книга «Занимательная статистика» в формате манги знакомит читателя с основами статистики через практические примеры из жизни, такие как расчёт среднего значения, медианы и стандартного отклонения. Ключевые разделы охватывают типы данных, построение гистограмм, нормированное отклонение и рейтинг успеваемости. Издание предназначено для новичков, включая учащихся старших классов, студентов и всех, кто хочет легко и увлекательно освоить статистику без глубоких математических знаний.</t>
  </si>
  <si>
    <t>Занимательная статистика. Регрессионный анализ. Манга.</t>
  </si>
  <si>
    <t>Син_Такахаси_Занимательная_статистика_Регрессионный_анализ.pdf</t>
  </si>
  <si>
    <t>Книга «Занимательная статистика. Регрессионный анализ» в формате манги знакомит читателя с методами регрессионного анализа, множественной и логистической регрессии для прогнозирования числовых значений и вероятностей. Основные разделы включают базовые знания (производные, матрицы), регрессионный анализ, множественную регрессию и логистическую регрессию. Издание предназначено для читателей, уже имеющих начальные знания в статистике, но может быть полезно и новичкам, готовым приложить усилия для понимания математических основ.</t>
  </si>
  <si>
    <t>Занимательная статистика. Факторный анализ</t>
  </si>
  <si>
    <t>Додэка, ДМК Пресс</t>
  </si>
  <si>
    <t>Син_Такахаси_Занимательная_статистика_Факторный_анализ.pdf</t>
  </si>
  <si>
    <t>Книга «Занимательная статистика. Факторный анализ» в формате манги знакомит читателя с методами факторного анализа и методом главных компонент, используемыми для выявления скрытых причин, влияющих на ответы в анкетах. Сюжет построен вокруг девушки Руи, которая осваивает эти методы, чтобы помочь коллеге в командировке. Структура книги включает главы, посвящённые основам анкетирования, математической базе, методу главных компонент и собственно факторному анализу. Издание предназначено для новичков, желающих понять сложные статистические концепции через доступное повествование, но требует базового знакомства со статистикой или готовности разбираться в непростых вычислениях.</t>
  </si>
  <si>
    <t>Статистика и котики.pdf</t>
  </si>
  <si>
    <t>Эта книга представляет собой введение в статистику, где сложные понятия объясняются на забавных примерах с котиками. В ней рассматриваются основы описательной статистики: меры центральной тенденции (мода, медиана, среднее значение) и меры изменчивости (размах, дисперсия, стандартное отклонение), а также проблема выбросов. Материал предназначен для новичков, которые хотят преодолеть страх перед статистикой и понять её базовые принципы в лёгкой и увлекательной форме.</t>
  </si>
  <si>
    <t>Статистика для тех, кто (думает, что) ненавидит статистику</t>
  </si>
  <si>
    <t>Нил Салкинд</t>
  </si>
  <si>
    <t>Статистика_для_тех,_кто_ненавидит_статистику.pdf</t>
  </si>
  <si>
    <t>Книга Нила Салкинда «Статистика для тех, кто (думает, что) ненавидит статистику» представляет собой простое и доступное введение в базовую статистику, предназначенное для новичков, которые считают эту науку сложной и запутанной. В издании рассматриваются ключевые концепции, такие как описательная и инференциальная статистика, средние значения, дисперсия, корреляция, нормальное распределение, t-критерии, дисперсионный и регрессионный анализ, а также работа с программой SPSS. Книга содержит минимум теории и доказательств, фокусируясь на практическом понимании и интерпретации результатов, и будет полезна студентам и всем, кто хочет освоить статистику без страха.</t>
  </si>
  <si>
    <t>Статистический анализ экспериментальных данных в пакетах MathCAD и Excel</t>
  </si>
  <si>
    <t>Ю. Е. Воскобойников</t>
  </si>
  <si>
    <t>Статистический_анализ_экспериментальных_данных.pdf</t>
  </si>
  <si>
    <t>Учебное пособие Ю. Е. Воскобойникова посвящено методам математической статистики для обработки экспериментальных данных с использованием пакетов MathCAD и Excel. Ключевые разделы охватывают теорию вероятностей, точечное и интервальное оценивание параметров, проверку статистических гипотез, а также фильтрацию, аппроксимацию и спектральный анализ сигналов. Книга предназначена для бакалавров, магистрантов и аспирантов строительных специальностей, а также для всех, кто изучает дисциплины, связанные с анализом данных.</t>
  </si>
  <si>
    <t>Математика/Теория вероятностей</t>
  </si>
  <si>
    <t>Теория вероятностей</t>
  </si>
  <si>
    <t>Apress_Bayesian_Optimization_Theory_and_Practice_Using_Python.pdf</t>
  </si>
  <si>
    <t>C:\Users\alexa\YandexDisk\Книги\Математика\Теория вероятностей</t>
  </si>
  <si>
    <t>Книга «Bayesian Optimization: Theory and Practice Using Python» (2023) Пэна Лю посвящена байесовской оптимизации — методу глобальной оптимизации «черных ящиков». В ней рассматриваются ключевые концепции: байесовская статистика, априорные и апостериорные распределения, гауссовские процессы и функции приобретения, а также полный рабочий процесс байесовской оптимизации. Издание предназначено для специалистов, уже знакомых с основами машинного обучения и Python, желающих углубиться в теорию и практическое применение метода.</t>
  </si>
  <si>
    <t>Задачи и упражнения по теории вероятностей</t>
  </si>
  <si>
    <t>Вентцель Е. С.; Овчаров Л. А.</t>
  </si>
  <si>
    <t>E_S_Venttsel_L_A_Ovcharov_Zadachi_i_uprazhnenia_po_teorii_veroyatnostey.pdf</t>
  </si>
  <si>
    <t>Это учебное пособие по теории вероятностей, представляющее собой систематизированный сборник задач и упражнений. Ключевые концепции включают основные понятия теории вероятностей, такие как события, вероятность, полная группа событий, а также непосредственный подсчет вероятностей по схеме случаев. Книга предназначена для студентов высших технических учебных заведений, а также может быть полезна преподавателям, инженерам и научным работникам.</t>
  </si>
  <si>
    <t>Mathematicians Playing Games</t>
  </si>
  <si>
    <t>Jon-Lark Kim</t>
  </si>
  <si>
    <t>Mathematicians Playing Games.pdf</t>
  </si>
  <si>
    <t>Эта книга посвящена исследованию широкого спектра популярных математических игр, их истории и математическим теориям, лежащим в их основе. В ней рассматриваются такие концепции, как перестановки и их свойства, на примере таких игр, как «Пятнашки» и «Пасьянс с колышками». Издание предназначено для учащихся старших классов и студентов, а также для всех, кто интересуется занимательной математикой, и включает упражнения для самостоятельного решения.</t>
  </si>
  <si>
    <t>Probability For Dummies</t>
  </si>
  <si>
    <t>Deborah J. Rumsey</t>
  </si>
  <si>
    <t>Probability For Dummies (Deborah J. Rumsey).pdf</t>
  </si>
  <si>
    <t>Теория вероятностей и математическая статистика</t>
  </si>
  <si>
    <t>Семенов Виктор Александрович</t>
  </si>
  <si>
    <t>teoriya-veroyatnostey-i-matematicheskaya-statistika.pdf</t>
  </si>
  <si>
    <t>Это учебное пособие по теории вероятностей и математической статистике, соответствующее образовательным стандартам третьего поколения. Книга охватывает алгебру событий, различные определения вероятности, случайные величины, а также выборочный метод, оценку параметров и критерии согласия. Издание предназначено для студентов всех специальностей, изучающих математику и высшую математику, и может быть полезно преподавателям.</t>
  </si>
  <si>
    <t>Вероятностный метод</t>
  </si>
  <si>
    <t>Алон, Нога; Спенсер, Джоэл</t>
  </si>
  <si>
    <t>Алон Спенсер Veroyatnostny_metod_-_2013.pdf</t>
  </si>
  <si>
    <t>Книга «Вероятностный метод» Алона и Спенсера посвящена мощному инструменту комбинаторики и теории графов — вероятностному методу, который позволяет доказывать существование объектов со сложными свойствами без их явного построения. Ключевые концепции включают линейность математического ожидания, локальную лемму Ловаса, метод условных вероятностей и случайные графы. Издание предназначено для студентов старших курсов, аспирантов и исследователей в области дискретной математики и теоретической информатики, то есть для специалистов, уже знакомых с основами теории вероятностей.</t>
  </si>
  <si>
    <t>Байесовские_модели_восприятия_и_действия_2024_Вэй_Цзи_Ма,_Конрад.pdf</t>
  </si>
  <si>
    <t>Книга «Байесовские модели восприятия и действия» представляет собой введение в методологию вероятностного (байесовского) моделирования перцептивного принятия решений и действий, объясняя, как мозг обрабатывает неопределенные и зашумленные сенсорные данные. Ключевые концепции включают байесовский вывод, применение правила Байеса, работу с априорными распределениями и моделирование в условиях зашумленных измерений, а также исторический обзор восприятия как бессознательного умозаключения. Издание адресовано широкому кругу читателей, интересующихся нейробиологией, когнитивными науками, машинным обучением, психологией, лингвистикой и математикой, и подходит как для новичков, так и для специалистов.</t>
  </si>
  <si>
    <t>Вероятностное программирование</t>
  </si>
  <si>
    <t>В. В. Колбин</t>
  </si>
  <si>
    <t>Вероятностное программирование.pdf</t>
  </si>
  <si>
    <t>Учебное пособие В. В. Колбина посвящено методам и моделям математического программирования в условиях дефицита информации, то есть при наличии риска и неопределенности. Ключевые разделы охватывают одноэтапные, двухэтапные и многоэтапные стохастические модели с вероятностными ограничениями и функционалами, а также игровые постановки задач и вопросы устойчивости решений. Книга предназначена для студентов вузов, обучающихся по направлениям «Прикладная информатика», «Прикладная математика», «Менеджмент» и смежным специальностям, то есть для уровня от начинающего до продвинутого.</t>
  </si>
  <si>
    <t>Вероятностные графовые модели. Принципы и приложения</t>
  </si>
  <si>
    <t>Вероятностные_графовые_модели_Принципы_и_приложения.pdf</t>
  </si>
  <si>
    <t>Книга Луиса Энрике Сукара представляет собой введение в вероятностные графовые модели (ВГМ) с инженерной точки зрения, охватывая теорию представления, логического вывода и обучения для всех основных классов моделей, включая байесовские сети, марковские случайные поля и скрытые марковские модели. Особое внимание уделяется практическому применению методик в различных областях, а также новейшим разработкам, таким как многомерные классификаторы и причинно-следственные модели. Издание предназначено для студентов старших курсов, аспирантов, исследователей и инженеров-практиков, интересующихся применением вероятностных моделей в условиях неопределенности.</t>
  </si>
  <si>
    <t>Математическая логика. Алгебра. Теория чисел. Теория вероятностей</t>
  </si>
  <si>
    <t>Колмогоров А.Н.; Юшкевич</t>
  </si>
  <si>
    <t>1978</t>
  </si>
  <si>
    <t>Математическая логика. Алгебра. Теория чисел. Теория вероятностей [1978] Колмогоров А.Н., Юшкевич.pdf</t>
  </si>
  <si>
    <t>Книга представляет собой сборник работ выдающегося математика А.Н. Колмогорова, охватывающий такие фундаментальные разделы, как математическая логика, алгебра, теория чисел и теория вероятностей. Ключевые концепции включают аксиоматическое построение теории вероятностей, логические основания математики и алгебраические структуры. Издание предназначено для специалистов в области математики, студентов старших курсов и аспирантов, глубоко интересующихся теоретическими основами дисциплин.</t>
  </si>
  <si>
    <t>Моделирование задач принятия решений при нечетких исходных данных</t>
  </si>
  <si>
    <t>А. В. Флегонтов; В. Б. Вилков; А. К. Черных</t>
  </si>
  <si>
    <t>Моделирование_задач_принятия_решений.pdf</t>
  </si>
  <si>
    <t>Монография посвящена применению теории нечетких множеств и нечеткой логики для моделирования задач принятия решений в условиях неопределенности исходных данных. Ключевые разделы охватывают нечеткие версии методов исследования операций, теории графов и теории игр, а также примеры нечетких организационных и технических систем управления. Книга предназначена для научных работников, специалистов в области управления, аспирантов и студентов, уже знакомых с основами теории управления.</t>
  </si>
  <si>
    <t>A First Course in Network Science</t>
  </si>
  <si>
    <t>Filippo Menczer; Santo Fortunato; Clayton A. Davis</t>
  </si>
  <si>
    <t>Наука о сетях вводный курс.pdf</t>
  </si>
  <si>
    <t>Книга представляет собой вводный курс по науке о сетях, охватывающий общие принципы построения и функционирования сетей в различных областях. Ключевые разделы включают концепцию малых миров, кластеризацию в социальных сетях, роль хабов, устойчивость сетей, а также направленные и взвешенные сети на примере Википедии и Twitter. Издание предназначено для широкого круга читателей, знакомых с основами программирования и желающих изучить основы и приложения анализа сетей.</t>
  </si>
  <si>
    <t>Нечеткое моделирование и управление</t>
  </si>
  <si>
    <t>А. Пегат</t>
  </si>
  <si>
    <t>Нечеткое_моделирование_и_управление.pdf</t>
  </si>
  <si>
    <t>Книга Анджея Пегата «Нечеткое моделирование и управление» представляет собой расширенное введение в теорию нечетких множеств, нечеткую логику и методы нечеткого моделирования, применяемые для управления динамическими системами. Особое внимание уделяется гибридным подходам, объединяющим нечеткие системы с искусственными нейронными сетями и генетическими алгоритмами. Издание предназначено для научных работников, инженеров, аспирантов и студентов старших курсов, интересующихся мягкими вычислениями и системами управления.</t>
  </si>
  <si>
    <t>Предельные распределения для сумм независимых случайных величин</t>
  </si>
  <si>
    <t>Гнеденко, Б.В.; Колмогоров, А.Н.</t>
  </si>
  <si>
    <t>1949</t>
  </si>
  <si>
    <t>Предельные распределения для сумм независимых случайных величин [1949] Гнеденко, Колмогоров.djvu</t>
  </si>
  <si>
    <t>Данная книга является классическим трудом в области теории вероятностей, посвящённым предельным законам для сумм независимых случайных величин. В ней подробно рассматриваются ключевые концепции, такие как закон больших чисел, центральная предельная теорема и теория безгранично делимых распределений, включая их строгое математическое обоснование. Работа предназначена для специалистов — математиков, статистиков и исследователей, уже имеющих серьёзную подготовку в теории вероятностей и математическом анализе.</t>
  </si>
  <si>
    <t>Теория вероятностей и математическая статистика [Том 2]</t>
  </si>
  <si>
    <t>1987</t>
  </si>
  <si>
    <t>Теория вероятностей и математическая статистика [Том 2] [1987] Колмогоров.djvu</t>
  </si>
  <si>
    <t>Данный фрагмент книги представляет собой классический труд А.Н. Колмогорова по теории вероятностей и математической статистике, охватывающий фундаментальные разделы, такие как аксиоматика вероятностей, случайные величины, предельные теоремы и методы статистического оценивания. Ключевые концепции включают строгое математическое обоснование вероятностных моделей, законы больших чисел и центральную предельную теорему. Книга предназначена для специалистов и студентов старших курсов физико-математических специальностей, имеющих серьёзную подготовку в области математического анализа.</t>
  </si>
  <si>
    <t>Теория вероятностей, математическая статистика и анализ данных. Основы теории и практика на компьютере. Statistica. Excel. Более 150 примеров решения задач</t>
  </si>
  <si>
    <t>Халафян А.А.; Боровиков В.П.; Калайдина Г.В.</t>
  </si>
  <si>
    <t>Теория вероятностей, математическая статистика и анализ данных.pdf</t>
  </si>
  <si>
    <t>Это учебное пособие по теории вероятностей, математической статистике и анализу данных, ориентированное на прикладное применение с использованием компьютерных программ STATISTICA и Excel. Книга охватывает такие ключевые разделы, как комбинаторика, классическое и статистическое определение вероятности, правила сложения и умножения вероятностей, а также формулы полной вероятности и Байеса. Издание предназначено для студентов и бакалавров нематематических специальностей (экономических, технических, гуманитарных), то есть для новичков в данной дисциплине, и содержит более 150 примеров решения задач.</t>
  </si>
  <si>
    <t>Теория вероятностей и математическая статистика в среде MATLAB</t>
  </si>
  <si>
    <t>И. Ю. Алибеков</t>
  </si>
  <si>
    <t>Теория вероятностей.pdf</t>
  </si>
  <si>
    <t>Данное учебное пособие посвящено теории вероятностей и математической статистике с практической реализацией в среде MATLAB. Ключевые разделы охватывают классическое, геометрическое и статистическое определение вероятности, алгебру событий, формулы полной вероятности и Байеса, а также дискретные и непрерывные случайные величины. Книга предназначена для студентов инженерных и экономических специальностей, то есть для начального и среднего уровня освоения дисциплины.</t>
  </si>
  <si>
    <t>Теория информации и теория алгоритмов</t>
  </si>
  <si>
    <t>Колмогоров, А.Н.</t>
  </si>
  <si>
    <t>Теория информации и теория алгоритмов [Том 3] [1987] Колмогоров.djvu</t>
  </si>
  <si>
    <t>Теория вероятностей, математическая статистика, математическое программирование</t>
  </si>
  <si>
    <t>И.В. Белько; И.М. Морозова; Е.А. Криштапович</t>
  </si>
  <si>
    <t>Новое знание; ИНФРА-М</t>
  </si>
  <si>
    <t>Теория_вероятностей,_математическая_статистика,_математическ.pdf</t>
  </si>
  <si>
    <t>Это учебное пособие по теории вероятностей, математической статистике и математическому программированию, предназначенное для студентов экономических специальностей. Книга охватывает такие ключевые разделы, как комбинаторика, теория событий и вероятностей, схема испытаний Бернулли, случайные величины и законы их распределения. Каждая глава содержит теоретический материал с примерами, задачи с решениями и задания для самостоятельной работы с ответами, причём большинство примеров имеют экономическую направленность. Пособие рассчитано на студентов и преподавателей высших учебных заведений, то есть на уровень от начального до продвинутого в рамках вузовского курса.</t>
  </si>
  <si>
    <t>Теория вероятностей и математическая статистика. Руководство по решению задач: учебник. 2-е изд.</t>
  </si>
  <si>
    <t>В. В. Григорьев-Голубев; Н. В. Васильева; Е. А. Кротов</t>
  </si>
  <si>
    <t>Теория_вероятностей_и_математическая_статистика_Руководство_по_решению.pdf</t>
  </si>
  <si>
    <t>Это учебное пособие по теории вероятностей и математической статистике, предназначенное для студентов технических и экономических вузов. Книга содержит описание лабораторных работ, примеры их выполнения, а также краткие теоретические сведения по каждому разделу, включая комбинаторику, случайные события, случайные величины и случайные процессы. Особое внимание уделяется практическому решению задач и работе в среде Mathcad. Издание рассчитано на учащихся начального и среднего уровня подготовки, а также может использоваться преподавателями для составления контрольных и индивидуальных заданий.</t>
  </si>
  <si>
    <t>Теория вероятностей и математическая статистика с элементами дополненной реальности</t>
  </si>
  <si>
    <t>А. Л. Крохин</t>
  </si>
  <si>
    <t>Теория_вероятностей_и_математическая_статистика_с_элементами_дополненной.pdf</t>
  </si>
  <si>
    <t>Это учебное пособие по теории вероятностей и математической статистике, охватывающее такие разделы, как случайные события, различные подходы к определению вероятности, случайные величины и основные формулы (включая схемы Бернулли и формулы Лапласа). Ключевой особенностью книги является интеграция элементов дополненной реальности через QR-интерфейс для доступа к дополнительным ресурсам. Пособие предназначено для студентов инженерных и IT-направлений подготовки, то есть для уровня высшего образования (новички и продолжающие).</t>
  </si>
  <si>
    <t>В. Я. Дерр</t>
  </si>
  <si>
    <t>Теория_вероятностей_и_математическая_статистика_Учебное_пособие.pdf</t>
  </si>
  <si>
    <t>Данный фрагмент представляет собой выходные данные и оглавление учебного пособия В. Я. Дерра по теории вероятностей и математической статистике. Книга охватывает фундаментальные разделы: от случайных событий и классической вероятности до случайных величин, предельных теорем и марковских цепей. Пособие предназначено в первую очередь для студентов математических факультетов, но может использоваться и для других направлений, включая экономику и биологию, при этом предполагается знание теории меры или наличие специального дополнения для её освоения.</t>
  </si>
  <si>
    <t>Graphs, Networks and Algorithms</t>
  </si>
  <si>
    <t>Dieter Jungnickel</t>
  </si>
  <si>
    <t>Математика/Теория графов</t>
  </si>
  <si>
    <t>Теория графов</t>
  </si>
  <si>
    <t>Graphs, Networks and Algorithms (Dieter Jungnickel).pdf</t>
  </si>
  <si>
    <t>C:\Users\alexa\YandexDisk\Книги\Математика\Теория графов</t>
  </si>
  <si>
    <t>Это второе издание учебника Дитера Юнгикеля, посвящённого комбинаторной оптимизации и теории графов с акцентом на алгоритмический подход. Книга охватывает такие ключевые темы, как поиск кратчайших путей, максимальные потоки в сетях, задача коммивояжёра и алгоритм сетевого симплекса, а также включает раздел о теореме о пяти красках. Издание предназначено для студентов и специалистов в области дискретной математики, оптимизации и теоретической информатики, имеющих базовую математическую подготовку.</t>
  </si>
  <si>
    <t>Introduction to Graph Theory</t>
  </si>
  <si>
    <t>Robin J. Wilson</t>
  </si>
  <si>
    <t>Введение_в_теорию_графов_2019_Робин_Уилсон.pdf</t>
  </si>
  <si>
    <t>Фрагмент представляет собой выходные данные и оглавление книги «Введение в теорию графов» Робина Уилсона (пятое издание). Книга является учебным пособием, посвященным основам теории графов — разделу дискретной математики, изучающему структуры, состоящие из вершин и ребер. Ключевые разделы охватывают определения и примеры графов, пути и циклы, деревья, планарность, раскраску графов, паросочетания, теорему Менгера и матроиды. Издание предназначено для студентов и начинающих специалистов, желающих освоить базовые концепции и алгоритмы теории графов.</t>
  </si>
  <si>
    <t>Графы-Алгоритмы на языке С.pdf</t>
  </si>
  <si>
    <t>Учебное пособие В. В. Прута посвящено теории графов — одному из ключевых разделов дискретной математики и информатики. В книге рассматриваются базовые алгоритмы работы с графами, сопровождаемые реализациями на языке C, а также исторические аспекты и основные определения (вершины, ребра, инцидентность). Издание предназначено для студентов первого курса и служит методическим обеспечением курса по информатике и алгоритмическим языкам.</t>
  </si>
  <si>
    <t>Основы теории и алгоритмы на графах</t>
  </si>
  <si>
    <t>Основы теории и алгоритмы на графах.pdf</t>
  </si>
  <si>
    <t>Данный фрагмент книги посвящён основам теории графов и алгоритмам их обработки, являясь частью учебного пособия по линейной алгебре. Ключевые концепции включают базовые определения графов, их типы и, вероятно, связь с матричными представлениями. Книга предназначена для студентов и специалистов, изучающих математику или информатику, и требует начального уровня подготовки в области дискретной математики.</t>
  </si>
  <si>
    <t>Д. В. Карпов</t>
  </si>
  <si>
    <t>Теория графов.pdf</t>
  </si>
  <si>
    <t>Это предисловие к книге по теории графов, написанной автором на основе собственного курса лекций. Книга охватывает как классические, так и современные, в том числе сложные, результаты, с акцентом на комбинаторные доказательства. Материал начинается с простых разделов и постепенно переходит к весьма непростым теоремам, включая планарные графы. Книга предназначена для широкого круга читателей — от сильных школьников и студентов до специалистов, при этом не требует предварительных знаний по теории графов, хотя в некоторых разделах предполагается знакомство с основами теории чисел и алгебры.</t>
  </si>
  <si>
    <t>Games of Strategy</t>
  </si>
  <si>
    <t>Avinash K. Dixit; Susan Skeath; David H. Reiley Jr.</t>
  </si>
  <si>
    <t>Математика/Теория игр</t>
  </si>
  <si>
    <t>Теория игр</t>
  </si>
  <si>
    <t>Авинаш_К_Диксит,_Сьюзан_Скит,_Дэвид_Т_Рейли_Стратегические_игры.pdf</t>
  </si>
  <si>
    <t>C:\Users\alexa\YandexDisk\Книги\Математика\Теория игр</t>
  </si>
  <si>
    <t>Это доступный учебник по теории игр, который на наглядных примерах и упражнениях объясняет основы стратегического мышления и принятия решений. Книга охватывает ключевые концепции, такие как игры с последовательными и одновременными ходами, смешанные стратегии, дилемма заключенных и повторяющиеся игры, а также их применение в бизнесе, политике и повседневной жизни. Издание предназначено для широкой аудитории, включая новичков, так как не требует серьезной математической подготовки, и будет полезно всем, кто хочет развить стратегическое мышление.</t>
  </si>
  <si>
    <t>Математическая теория игр и приложения</t>
  </si>
  <si>
    <t>В. В. Мазалов</t>
  </si>
  <si>
    <t>Математическая_теория_игр_и_приложения.pdf</t>
  </si>
  <si>
    <t>Данное учебное пособие посвящено математической теории игр и её приложениям, охватывая как классические разделы (конечные и бесконечные антагонистические игры, бескоалиционные и кооперативные игры), так и новые направления (модели переговоров, потенциальные, салонные, сетевые игры и игры наилучшего выбора). Книга предназначена для студентов направлений «Прикладная математика и информатика» и «Экономическая кибернетика», а также для математиков и специалистов в области экономики и управления, при этом от читателя требуется знание основ матанализа, алгебры и теории вероятностей.</t>
  </si>
  <si>
    <t>Сетевые игры</t>
  </si>
  <si>
    <t>В. В. Мазалов; Ю. В. Чиркова</t>
  </si>
  <si>
    <t>Сетевые игры.pdf</t>
  </si>
  <si>
    <t>Книга посвящена теоретико-игровому анализу игр, определённых на информационных и коммуникационных сетях. В ней рассматриваются модели маршрутизации, распределения ресурсов, социальные сети, конкуренция и кооперация в транспортных сетях, а также задачи ценообразования. Ключевые разделы включают игры формирования сетей и игры на уже установленной сети, а также парадокс Браесса. Пособие предназначено для математиков, специалистов в области экономики и управления, а также для студентов и аспирантов, владеющих основами матанализа, алгебры и теории вероятностей.</t>
  </si>
  <si>
    <t>Теория игр.pdf</t>
  </si>
  <si>
    <t>На основе предоставленного фрагмента не удалось определить содержимое книги, так как текст отсутствует или нечитаем.</t>
  </si>
  <si>
    <t>Математика/Численные методы</t>
  </si>
  <si>
    <t>Численные методы</t>
  </si>
  <si>
    <t>!!!Динамическое программирование.pdf</t>
  </si>
  <si>
    <t>C:\Users\alexa\YandexDisk\Книги\Математика\Численные методы</t>
  </si>
  <si>
    <t>Учебное пособие А. В. Лежнёва посвящено методу динамического программирования для решения задач управления многошаговыми процессами в экономике. В книге излагается принцип оптимальности Беллмана, разбираются примеры типовых экономических задач и рассматриваются обобщения метода на задачи теории графов. Пособие содержит контрольные вопросы и задачи для самостоятельного решения, что позволяет закрепить теорию и получить практические навыки. Книга предназначена для студентов экономических и технических специальностей вузов, изучающих математическое программирование, и рассчитана на начальный уровень подготовки в объеме первого курса.</t>
  </si>
  <si>
    <t>Advanced Mathematical Techniques in Computational and Intelligent Systems</t>
  </si>
  <si>
    <t>Sandeep Singh; Aliakbar Montazer Haghighi</t>
  </si>
  <si>
    <t>Advanced_Mathematical_Techniques_in_Computational_and_Intelligen.pdf</t>
  </si>
  <si>
    <t>Эта книга посвящена продвинутым математическим методам и инновационным оптимизационным техникам, применяемым для моделирования реальных промышленных задач. В ней рассматриваются такие концепции, как эвристики, методы исследования операций, интеллектуальные алгоритмы, а также специфические подходы, включая метод ключевых ячеек и преобразование Лапласа, с акцентом на приложения в сфере умного сельского хозяйства, здравоохранения и управления катастрофами. Издание предназначено для студентов старших курсов, аспирантов и академических исследователей в области электротехники, компьютерных наук и математики.</t>
  </si>
  <si>
    <t>Applied Numerical Methods with Python for Engineers and Scientists</t>
  </si>
  <si>
    <t>Chapra, Steven C.; Clough, David E.</t>
  </si>
  <si>
    <t>McGraw Hill LLC</t>
  </si>
  <si>
    <t>Applied_Numerical_Methods_with_Python_for_Engineers_and_Scientis.pdf</t>
  </si>
  <si>
    <t>Этот фрагмент представляет собой введение к учебнику «Applied Numerical Methods with Python for Engineers and Scientists» (Прикладные численные методы с Python для инженеров и ученых) авторов Стивена Чапры и Дэвида Клафа. Книга посвящена применению численных методов для решения инженерных и научных задач с использованием языка программирования Python, охватывая такие темы, как математическое моделирование, основы Python, программирование и анализ ошибок округления и усечения. Издание предназначено для студентов инженерных и научных специальностей, а также для практикующих специалистов, имеющих базовый уровень подготовки.</t>
  </si>
  <si>
    <t>Numerical Methods Using Kotlin</t>
  </si>
  <si>
    <t>Haksun Li</t>
  </si>
  <si>
    <t>Numerical.Methods.Using.Kotlin.pdf</t>
  </si>
  <si>
    <t>Книга «Numerical Methods Using Kotlin» посвящена применению численных методов в науке о данных, анализе и инженерии с использованием языка Kotlin. Ключевые концепции включают проектирование библиотек, сравнение производительности Java и C++, а также использование Kotlin в качестве замены для R и Python, с разделами по линейной алгебре и работе с векторами. Издание предназначено для специалистов и разработчиков, уже знакомых с программированием, которые хотят применять Kotlin для решения вычислительных задач.</t>
  </si>
  <si>
    <t>Численные методы : учебное пособие</t>
  </si>
  <si>
    <t>Зенков А. В.</t>
  </si>
  <si>
    <t>Zenkov_-_Chislennye_metody.pdf</t>
  </si>
  <si>
    <t>Это учебное пособие по численным методам, предназначенное для студентов IT-специальностей. В книге рассматриваются приближенные способы решения математических задач, которые трудно или невозможно решить аналитически, с акцентом на практическое применение. Ключевые разделы включают классификацию погрешностей (модели, исходных данных), а также, судя по структуре, методы решения уравнений, интерполяцию и интегрирование. Материал рассчитан на студентов бакалавриата и магистратуры, уже имеющих базовую математическую подготовку.</t>
  </si>
  <si>
    <t>Вычислительная математика для IT</t>
  </si>
  <si>
    <t>Вычислительная математика для IT.pdf</t>
  </si>
  <si>
    <t>Данный фрагмент книги «Вычислительная математика для IT» посвящён основам вычислительной математики, применяемым в информационных технологиях. Ключевые концепции включают численные методы решения математических задач, такие как аппроксимация, интерполяция и решение уравнений. Книга ориентирована на специалистов в области IT и студентов технических специальностей, имеющих базовую математическую подготовку.</t>
  </si>
  <si>
    <t>Математические методы анализа алгоритмов</t>
  </si>
  <si>
    <t>Д. Грин; Д. Кнут</t>
  </si>
  <si>
    <t>Д. Грин, Д. Кнут Математические методы анализа алгоритмов.djvu</t>
  </si>
  <si>
    <t>Фрагмент книги Д. Грина и Д. Кнута посвящён математическим методам анализа алгоритмов, в частности, асимптотическому анализу и решению рекуррентных соотношений. Ключевые концепции включают О-символику, методы оценки трудоёмкости алгоритмов и формальные подходы к вычислению среднего времени выполнения. Книга предназначена для специалистов и студентов старших курсов, уже знакомых с основами программирования и дискретной математики.</t>
  </si>
  <si>
    <t>Мат. алгоритмы для программистов.pdf</t>
  </si>
  <si>
    <t>Книга Пола Орланда «Математические алгоритмы для программистов» посвящена применению математики в программировании на Python, охватывая такие области, как 3D-графика, машинное обучение и физическое моделирование. Ключевые разделы включают работу с векторами и матрицами для графики, математический анализ для моделирования движения и силовых полей, а также методы машинного обучения, включая нейронные сети. Издание содержит более 300 упражнений и мини-проектов, используя базовые библиотеки Python. Книга предназначена для программистов любого уровня, желающих освоить практические математические алгоритмы для решения реальных задач.</t>
  </si>
  <si>
    <t>Математическое программирование в примерах и задачах</t>
  </si>
  <si>
    <t>И. Л. Акулич</t>
  </si>
  <si>
    <t>Математическое_программирование_в_примерах_и_задачах.pdf</t>
  </si>
  <si>
    <t>Это учебное пособие по математическому программированию, в котором рассматриваются задачи линейного, нелинейного и динамического программирования. Книга содержит определения, формулы, методические указания, решения типовых задач с примерами использования пакетов прикладных программ, а также задачи для самостоятельного решения. Издание предназначено для студентов, аспирантов и преподавателей вузов, изучающих экономико-математические методы и модели.</t>
  </si>
  <si>
    <t>Стили менеджмента — эффективные и неэффективные</t>
  </si>
  <si>
    <t>ООО «Альпина Паблишер»</t>
  </si>
  <si>
    <t>Adizes_I._Stili_Menedjmenta.epub</t>
  </si>
  <si>
    <t>C:\Users\alexa\YandexDisk\Книги\Менеджмент</t>
  </si>
  <si>
    <t>Книга Ицхака Адизеса посвящена теории четырех ролей эффективного менеджмента: производство результатов (P), администрирование (A), предпринимательство (E) и интеграция (I). Ключевая концепция заключается в том, что идеального руководителя не существует, а успешное управление требует взаимодополняющей команды, где каждый владеет одной ролью в совершенстве, а остальными — на приемлемом уровне. Издание подробно описывает различные стили менеджмента, их сильные стороны и негативные последствия дисбаланса функций. Книга предназначена для практикующих руководителей, менеджеров и специалистов, стремящихся повысить личную и командную эффективность.</t>
  </si>
  <si>
    <t>Развитие лидеров: Как понять свой стиль управления и эффективно общаться с носителями иных стилей</t>
  </si>
  <si>
    <t>Adizes_Razvitie-liderov-Kak-ponyat-svoy-stil-upravleniya-i-effektivno-obshchatsya-s-nositelyami-inyh-stiley.358416.fb2.epub</t>
  </si>
  <si>
    <t>Книга Ицхака Адизеса посвящена анализу индивидуальных стилей управления, которые определяются чертами характера руководителя, и методам эффективного взаимодействия с носителями других стилей. Ключевая концепция заключается в том, что идеального руководителя не существует, а успешное управление требует создания взаимодополняющей команды, способной преодолевать разногласия и конструктивно использовать конфликты. В книге рассматриваются подходы к диагностике собственного стиля, разрешению конфликтов и развитию доверия в коллективе. Издание предназначено для руководителей и менеджеров любого уровня, стремящихся повысить свою эффективность и улучшить коммуникацию в команде.</t>
  </si>
  <si>
    <t>Адизес, Ицхак Калдерон</t>
  </si>
  <si>
    <t>MOBI</t>
  </si>
  <si>
    <t>Adizes_Razvitie-liderov-Kak-ponyat-svoy-stil-upravleniya-i-effektivno-obshchatsya-s-nositelyami-inyh-stiley.358416.fb2.mobi</t>
  </si>
  <si>
    <t>Книга Ицхака Адизеса посвящена развитию лидерских качеств через понимание собственного стиля управления и эффективного взаимодействия с носителями других стилей. Ключевая концепция — модель PAEI, описывающая четыре роли менеджера: Производитель, Администратор, Предприниматель и Интегратор, а также их сочетания, определяющие сильные и слабые стороны руководителя. Особое внимание уделяется тому, как разные стили могут дополнять друг друга в команде и как избежать конфликтов, вызванных непониманием. Книга предназначена для руководителей и менеджеров любого уровня, от новичков до опытных специалистов, стремящихся повысить свою эффективность и улучшить коммуникацию в коллективе.</t>
  </si>
  <si>
    <t>Управление жизненным циклом корпорации</t>
  </si>
  <si>
    <t>Adizes_Upravlenie-zhiznennym-ciklom-korporacii.220642.fb2.epub</t>
  </si>
  <si>
    <t>Книга Ицхака Адизеса посвящена методологии управления организациями на основе их жизненного цикла, который, как и у живых организмов, проходит предсказуемые стадии роста и старения. В представленном фрагменте подробно описывается стадия «Давай–Давай», для которой характерны хаотичная структура, распределение обязанностей «по случаю» (например, в лифте), реактивное поведение и полная зависимость от личности основателя. Автор объясняет, что на этом этапе компания организуется вокруг людей, а не задач, что приводит к путанице, перегрузке лидера и необходимости профессионального «спасателя» для перехода на следующий этап. Книга предназначена для руководителей, менеджеров и специалистов, желающих понять закономерности развития бизнеса и способы преодоления типичных кризисов.</t>
  </si>
  <si>
    <t>Adizes_Upravlenie-zhiznennym-ciklom-korporacii</t>
  </si>
  <si>
    <t>Adizes_Upravlenie-zhiznennym-ciklom-korporacii.220642.fb2.mobi</t>
  </si>
  <si>
    <t>Книга Ицхака Адизеса посвящена управлению организацией через призму её жизненного цикла, где ключевой концепцией является идея о том, что компании, как и живые организмы, проходят стадии роста, расцвета и старения. Автор вводит методологию PAEI (Producing, Administering, Entrepreneur, Integrating), описывающую четыре необходимые управленческие роли, и утверждает, что проблемы возникают из-за их дисбаланса. Книга предназначена для руководителей, менеджеров и предпринимателей, стремящихся понять причины организационных кризисов и научиться продлевать период расцвета компании.</t>
  </si>
  <si>
    <t>BPM CBOK 4.0: Guide to the Business Process Management Common Body Of Knowledge</t>
  </si>
  <si>
    <t>Тони Бенедикт; Матиас Кирхмер; Марк Шарсиг; Питер Франц; Раджу Саксена; Дэн Моррис; Джек Хилти</t>
  </si>
  <si>
    <t>BPM CBOK 4 - a4.pdf</t>
  </si>
  <si>
    <t>Этот фрагмент представляет собой введение к «Своду знаний по управлению бизнес-процессами BPM CBOK 4.0» — авторитетному справочнику, систематизирующему лучшие практики и методы дисциплины управления бизнес-процессами (BPM). Ключевые концепции включают жизненный цикл BPM (от стратегического согласования до проектирования изменений), а также новые темы версии 4.0, такие как Agile, RPA, блокчейн и искусственный интеллект. Книга предназначена для широкого круга специалистов — от руководителей и бизнес-аналитиков до IT-специалистов и преподавателей, а также служит основой для профессиональной сертификации.</t>
  </si>
  <si>
    <t>Champfrogs Checklist</t>
  </si>
  <si>
    <t>Jurgen Appelo</t>
  </si>
  <si>
    <t>Champfrogs Checklist.pdf</t>
  </si>
  <si>
    <t>Этот фрагмент книги Юргена Аппело посвящён концепции бизнес-трансформации и влиянию в условиях сложных и изменчивых систем. Ключевая идея заключается в том, что для процветания организации необходимо перейти от простой адаптации к трансформации, а для этого каждый профессионал должен научиться влиять на других, смещая фокус с фактов на чувства и внутреннюю мотивацию. В тексте вводится метафора «слона и всадника», где слон символизирует эмоциональную часть мозга, а всадник — рациональную, что объясняет сложность рациональных изменений в поведении людей. Материал предназначен для руководителей и специалистов, стремящихся стать агентами изменений и улучшить свои навыки влияния в современном взаимосвязанном мире.</t>
  </si>
  <si>
    <t>Эффективный руководитель</t>
  </si>
  <si>
    <t>Питер Фердинанд Друкер</t>
  </si>
  <si>
    <t>Druker_P._Yeffektivnyiyi_Rukovoditel.a4.pdf</t>
  </si>
  <si>
    <t>Книга Питера Друкера посвящена эффективности руководителей, работающих в современных организациях, и утверждает, что эффективность — это не врожденный талант, а набор практических навыков, которым можно научиться. Ключевые разделы книги охватывают управление временем, концентрацию на вкладе в общий результат, использование сильных сторон сотрудников, расстановку приоритетов и принятие эффективных решений. Издание предназначено для широкого круга читателей — от начинающих руководителей до опытных менеджеров, а также для всех работников умственного труда, стремящихся к самореализации и успеху.</t>
  </si>
  <si>
    <t>1967</t>
  </si>
  <si>
    <t>Druker_P._Yeffektivnyiyi_Rukovoditel.epub</t>
  </si>
  <si>
    <t>Книга Питера Друкера «Эффективный руководитель» посвящена теме повышения личной эффективности работников умственного труда, которые в силу своих знаний и ответственности становятся руководителями. Ключевая концепция заключается в том, что эффективность — это не врожденный талант, а набор простых практических правил и методик, которым можно и нужно научиться, управляя в первую очередь самим собой. Книга представляет собой практическое руководство по организации собственной работы для достижения высоких результатов как внутри организации, так и за ее пределами. Она предназначена для широкого круга читателей: от новичков, только занявших руководящий пост, до опытных руководителей, а также для студентов и специалистов из других областей.</t>
  </si>
  <si>
    <t>Оптимальная бизнес-модель. Четыре инструмента управления рисками</t>
  </si>
  <si>
    <t>Каран Гиротра; Сергей Нетесин</t>
  </si>
  <si>
    <t>Girotra_K._Optimalnaya_Biznes_Model_.rtf</t>
  </si>
  <si>
    <t>Идеальный руководитель: Почему им нельзя стать и что из этого следует</t>
  </si>
  <si>
    <t>Альпина Бизнес Букс</t>
  </si>
  <si>
    <t>Ichak Kalderon Adizes_Idealnyy rukovoditel- Pochemu im nelzya stat i chto iz etogo sleduet.pdf</t>
  </si>
  <si>
    <t>Книга Ицхака Адизеса посвящена теме менеджмента и опровергает миф о существовании идеального руководителя. Автор утверждает, что для эффективного управления организация должна выполнять четыре ключевые функции: производство результатов, администрирование, предпринимательство и интеграцию (модель PAEI), которые не могут быть реализованы одним человеком. В книге подробно разбираются стили управления, соответствующие каждой функции, и объясняется, как создать взаимодополняющую команду. Издание предназначено для руководителей, сотрудников кадровых служб и всех, кто интересуется вопросами управления, и будет полезно как специалистам, так и новичкам.</t>
  </si>
  <si>
    <t>Интеграция: Выжить и стать сильнее в кризисные времена</t>
  </si>
  <si>
    <t>Ichak Kalderon Adizes_Integraciya- Vyzhit i stat silnee v krizisnye vremena.pdf</t>
  </si>
  <si>
    <t>Книга Ицхака Адизеса посвящена управлению компанией в кризисные времена, где основное внимание уделяется не внешним факторам, а внутренней дезинтеграции как главной причине проблем. Ключевая концепция — необходимость интеграции всех подсистем компании (персонала, финансов, производства, маркетинга) для работы как единого механизма, а также своевременное прогнозирование и решение проблем. Издание содержит практические антикризисные шаги, анализ природы изменений и рекомендации по синхронизации подсистем. Книга адресована широкому кругу читателей, в первую очередь руководителям и предпринимателям, стремящимся не просто выжить, но и стать сильнее в период турбулентности.</t>
  </si>
  <si>
    <t>Ichak Kalderon Adizes_Razvitie liderov- Kak ponyat svoy stil upravleniya i effektivno obshchatsya s nositelyami inyh stiley.pdf</t>
  </si>
  <si>
    <t>Книга Ицхака Адизеса посвящена анализу стилей управления и их влиянию на эффективность лидерства. Автор предлагает типологию, основанную на четырёх ключевых функциях менеджмента (P, A, E, I), и описывает как продуктивные, так и непродуктивные стили, включая «Героя-одиночку» и «Бюрократа». Основная идея заключается в том, что идеального руководителя не существует, а успех достигается через создание взаимодополняющих команд и управление неизбежными конфликтами. Материал предназначен для руководителей, HR-специалистов и всех, кто интересуется повышением эффективности управления на профессиональном уровне.</t>
  </si>
  <si>
    <t>Itshak_Kalderon_Adizes_Stili_menedzhmenta_-_effektivnyie_i_neeffektivnyie.pdf</t>
  </si>
  <si>
    <t>В книге «Стили менеджмента — эффективные и неэффективные» Ицхак Адизес исследует четыре ключевые роли, необходимые для успешного управления организацией: производство результатов (P), администрирование (A), предпринимательство (E) и интеграция (I). Автор утверждает, что идеальный руководитель, способный выполнять все четыре функции, — это миф, и предлагает вместо этого формировать взаимодополняющие команды, где каждый менеджер силен в одной роли, но владеет остальными на приемлемом уровне. Книга подробно разбирает эффективные стили (например, Производитель, Администратор, Предприниматель, Интегратор) и их неэффективные крайности (Герой-одиночка, Бюрократ, Поджигатель, Горячий сторонник), а также описывает, как перекосы в сторону одной роли ставят организацию под угрозу. Издание ориентировано на специалистов в области управления и менеджеров любого уровня, но будет интересно и широкой аудитории, интересующейся вопросами лидерства и командной работы.</t>
  </si>
  <si>
    <t>How to Win Friends and Influence People</t>
  </si>
  <si>
    <t>Dale Carnegie</t>
  </si>
  <si>
    <t>Karnegi_Kak-priobretat-druzey-i-okazyvat-vliyanie-na-lyudey.195738.fb2.mobi</t>
  </si>
  <si>
    <t>Данный фрагмент книги Дейла Карнеги «Как приобретать друзей и оказывать влияние на людей» посвящён базовым принципам эффективного общения и построения гармоничных отношений. Ключевые концепции, рассматриваемые в отрывке, включают важность проявления искреннего интереса к другим людям, умение слушать и избегать критики. Книга предназначена для широкой аудитории, от новичков до опытных специалистов, желающих улучшить свои социальные навыки и добиться успеха в личной и профессиональной жизни.</t>
  </si>
  <si>
    <t>Шесть способов располагать к себе людей</t>
  </si>
  <si>
    <t>Дейл Карнеги</t>
  </si>
  <si>
    <t>Karnegi_Shest-sposobov-raspolagat-k-sebe-lyudey.25583.fb2.mobi</t>
  </si>
  <si>
    <t>Книга Дейла Карнеги посвящена искусству эффективного общения и построения гармоничных отношений с окружающими. В представленном фрагменте, вероятно, рассматриваются ключевые принципы, такие как проявление искреннего интереса к людям, умение слушать и избегать критики. Издание предназначено для широкой аудитории, включая новичков, желающих улучшить свои социальные навыки и научиться располагать к себе людей в повседневной жизни и профессиональной среде.</t>
  </si>
  <si>
    <t>Сам себе MBA. Самообразование</t>
  </si>
  <si>
    <t>Кауфман, Джош</t>
  </si>
  <si>
    <t>Kaufman_D._Sam_Sebe_Mba_Samoobrazova.mobi</t>
  </si>
  <si>
    <t>Эта книга представляет собой практическое руководство по самообразованию в области бизнеса, объединяющее ключевые концепции MBA-программ в доступной форме. Основное внимание уделяется практическим навыкам, таким как стратегическое мышление, маркетинг, финансы и лидерство, без углубления в академическую теорию. Книга предназначена для новичков и специалистов, стремящихся систематизировать бизнес-знания и применить их в реальной работе.</t>
  </si>
  <si>
    <t>4 правила эффективного лидера в условиях неопределенности</t>
  </si>
  <si>
    <t>Брек Ингланд; Стивен Кови; Боб Уитман</t>
  </si>
  <si>
    <t>Kovi_4-pravila-effektivnogo-lidera-v-usloviyah-neopredelennosti.199449.fb2.epub</t>
  </si>
  <si>
    <t>Эта книга посвящена принципам эффективного лидерства в условиях неопределенности и нестабильности. Авторы выделяют четыре ключевых правила для достижения предсказуемо высоких результатов: обеспечение превосходного исполнения приоритетов, движение со скоростью доверия, достижение большего меньшими ресурсами и уменьшение страха. На примере компаний Polaroid и Canon демонстрируется, как следование этим принципам помогает организациям выигрывать в «горах» кризисов, в то время как их игнорирование ведет к краху. Книга предназначена для руководителей и лидеров компаний, стремящихся к стабильности и процветанию в эпоху перемен.</t>
  </si>
  <si>
    <t>Кови</t>
  </si>
  <si>
    <t>Kovi_4-pravila-effektivnogo-lidera-v-usloviyah-neopredelennosti.199449.fb2.mobi</t>
  </si>
  <si>
    <t>Книга Стивена Кови посвящена принципам эффективного лидерства в условиях неопределённости и быстрых изменений. Ключевые концепции включают четыре правила: проактивность, начинать с конечной цели в уме, делать важное в первую очередь и стремиться к взаимовыгодному сотрудничеству. Издание предназначено для руководителей и специалистов, стремящихся развить навыки стратегического мышления и адаптивности.</t>
  </si>
  <si>
    <t>7 навыков высокоэффективных людей</t>
  </si>
  <si>
    <t>Стивен Кови</t>
  </si>
  <si>
    <t>Kovi_7-navykov-vysokoeffektivnyh-lyudey.273071.fb2.mobi</t>
  </si>
  <si>
    <t>Книга Стивена Кови «7 навыков высокоэффективных людей» посвящена принципам личностной и профессиональной эффективности, основанным на проактивности и смене парадигм. Ключевые концепции включают семь навыков: будьте проактивны, начинайте с конечной цели в уме, делайте сначала то, что необходимо, думайте в духе «выиграл/выиграл», стремитесь сначала понять, а потом быть понятым, достигайте синергии и затачивайте пилу. Издание предназначено для широкой аудитории — от новичков до опытных специалистов, желающих улучшить свою продуктивность и качество жизни.</t>
  </si>
  <si>
    <t>Семь навыков преуспевающих людей</t>
  </si>
  <si>
    <t>Kovi_Sem-navykov-preuspevayushchih-lyudey.165349.fb2.epub</t>
  </si>
  <si>
    <t>Книга Стивена Кови «Семь навыков преуспевающих людей» предлагает целостную технологию решения проблем в быту, личной жизни и на работе. Ключевые концепции, проиллюстрированные в фрагменте, включают синергию (творческое объединение усилий для достижения коллективного видения), установку на Выигрыш (заботу о своих интересах без оглядки на других) и принципы эффективного общения, ведущие к единению. Издание предназначено для широкого круга читателей, включая как новичков, так и специалистов, желающих повысить продуктивность и освоить принципиальное руководство.</t>
  </si>
  <si>
    <t>Kovi_Sem-navykov-preuspevayushchih-lyudey.165349.fb2.mobi</t>
  </si>
  <si>
    <t>Эта книга Стивена Кови посвящена личностной и профессиональной эффективности, в основе которой лежит формирование принцип-центричного характера. Ключевая концепция — семь навыков, разделенных на три группы: личная победа (проактивность, начинание с конечной цели, сначала делай то, что необходимо делать), общественная победа (думай в духе «выиграл/выиграл», сначала стремись понять, а потом быть понятым, синергия) и постоянное совершенствование («затачивай пилу»). Книга предназначена для широкой аудитории — от новичков до опытных руководителей, стремящихся к глубоким изменениям в жизни и работе.</t>
  </si>
  <si>
    <t>Семь навыков высокоэффективных людей. Возврат к этике характера</t>
  </si>
  <si>
    <t>Стивен Р. Кови</t>
  </si>
  <si>
    <t>Kovi_Sem-navykov-vysokoeffektivnyh-lyudey-Vozvrat-k-etike-haraktera.185456.fb2.epub</t>
  </si>
  <si>
    <t>Эта книга посвящена системному подходу к личностной эффективности, основанному на этике характера и проактивном выборе. В представленном фрагменте из раздела «Общественная победа» автор на примере брака и ошибок объясняет концепцию «Круга Влияния»: вместо обвинений и попыток изменить других следует работать над собой, а прошлые ошибки нужно признавать, исправлять и извлекать из них уроки, не позволяя им влиять на будущее. Книга предназначена для широкого круга читателей — от новичков до специалистов, стремящихся к личностному росту и профессиональной эффективности.</t>
  </si>
  <si>
    <t>Семь навыков высокоэффективных людей: Возврат к этике характера</t>
  </si>
  <si>
    <t>Kovi_Sem-navykov-vysokoeffektivnyh-lyudey-Vozvrat-k-etike-haraktera.185456.fb2.mobi</t>
  </si>
  <si>
    <t>Эта книга Стивена Кови посвящена теме личной и профессиональной эффективности, основанной на принципах, а не на сиюминутных техниках. Ключевая концепция — семь навыков, включающих проактивность, начинание с конечной цели, приоритет важного, мышление «выиграл/выиграл», стремление сначала понять, а потом быть понятым, синергию и постоянное самосовершенствование. Издание предназначено для широкого круга читателей, от новичков до опытных руководителей, стремящихся к глубоким изменениям в характере и образе жизни.</t>
  </si>
  <si>
    <t>Восьмой навык: От эффективности к величию</t>
  </si>
  <si>
    <t>Kovi_Vosmoy-navyk-Ot-effektivnosti-k-velichiyu.187026.fb2.epub</t>
  </si>
  <si>
    <t>Книга Стивена Кови «Восьмой навык: От эффективности к величию» посвящена переходу от простой эффективности к достижению величия в новую эпоху интеллектуального труда. Ключевая концепция заключается в том, что лидерами не рождаются, а становятся через осознанный выбор и развитие четырех видов способностей (физической, ментальной, эмоционально-социальной и духовной), что требует цельности и выхода из зоны комфорта. Книга предназначена для широкого круга читателей — от новичков до специалистов, стремящихся к личностному росту и эффективному лидерству.</t>
  </si>
  <si>
    <t>Kovi_Vosmoy-navyk-Ot-effektivnosti-k-velichiyu.187026.fb2.mobi</t>
  </si>
  <si>
    <t>Книга Стивена Кови «Восьмой навык: От эффективности к величию» посвящена переходу от личной эффективности к лидерству, основанному на служении и вдохновении других. Ключевая концепция — обретение собственного голоса (своих талантов, страсти, совести и потребностей) и помощь другим в поиске их голоса, что выводит человека на новый уровень влияния и значимости. В книге рассматриваются четыре роли лидера (образец, наставник, новатор, интегратор) и принципы, позволяющие преодолеть разрыв между эффективностью и величием. Издание предназначено для руководителей, менеджеров и всех специалистов, стремящихся к глубокому личностному и профессиональному росту.</t>
  </si>
  <si>
    <t>Системное управление на практике: 50 историй из опыта руководителей для развития управленческих навыков</t>
  </si>
  <si>
    <t>Севастьянов Евгений</t>
  </si>
  <si>
    <t>Sevastyanov_E._Biznespsihologiya Системное управление.pdf</t>
  </si>
  <si>
    <t>Книга Евгения Севастьянова «Системное управление на практике» посвящена решению ключевых управленческих проблем, таких как низкая эффективность сотрудников, отсутствие инициативы и эмоциональное выгорание руководителя, через призму системного подхода. Основу издания составляют 50 реальных бизнес-кейсов, разобранных в формате «история — решение — задание», которые помогают освоить составление инструкций, делегирование и реакцию на нарушения. Это практическое пособие-тренажер предназначено для руководителей всех уровней, от собственников бизнеса до линейных менеджеров, а также для тех, кто только стремится стать профессиональным управленцем.</t>
  </si>
  <si>
    <t>Cracking the PM Career: The Skills, Frameworks, and Practices to Become a Great Product Manager</t>
  </si>
  <si>
    <t>Gayle Laakmann McDowell; Jackie Bavaro</t>
  </si>
  <si>
    <t>Карьера_продакт_менеджера_Все_что_нужно_знать_для.pdf</t>
  </si>
  <si>
    <t>Это исчерпывающее руководство по профессии продакт-менеджера в технологических компаниях, охватывающее все этапы работы — от понимания потребностей пользователей и анализа данных до стратегического планирования и лидерства. Ключевые разделы книги посвящены навыкам работы с продуктом, реализации проектов, стратегии, лидерским качествам и управлению людьми. Книга предназначена как для новичков, желающих освоить профессию, так и для опытных специалистов, стремящихся систематизировать знания и развить карьеру.</t>
  </si>
  <si>
    <t>Настольная книга тимлида разработки ПО</t>
  </si>
  <si>
    <t>Виктор Большаков</t>
  </si>
  <si>
    <t>Издательские решения</t>
  </si>
  <si>
    <t>Настольная_книга_тимлида_разработки_ПО.pdf</t>
  </si>
  <si>
    <t>Книга Виктора Большакова представляет собой практическое руководство по управлению командой разработки программного обеспечения, основанное на карте компетенций TeamLead Roadmap. В ней подробно рассматриваются ключевые области ответственности тимлида: управление сотрудниками (от найма до увольнения), организация совместной работы команды, владение процессом разработки, техническое лидерство и управление продуктом. Издание предназначено для действующих тимлидов, разработчиков, планирующих занять эту роль, а также для руководителей групп разработки и технических директоров, желающих стандартизировать работу своих подразделений.</t>
  </si>
  <si>
    <t>Настоящий CTO: думай как технический директор</t>
  </si>
  <si>
    <t>Алан Уильямсон</t>
  </si>
  <si>
    <t>Настоящий CTO.pdf</t>
  </si>
  <si>
    <t>Книга Алана Уильямсона «Настоящий CTO» посвящена роли технического директора (CTO) как лидера, который балансирует между потребностями бизнеса и технологиями. В ней рассматриваются различные типы CTO, эволюция от инженера до руководителя, а также ключевые навыки, включая взаимодействие с генеральным директором и построение эффективных команд. Издание предназначено для опытных специалистов (от старших инженеров до действующих CTO), которые хотят развить стратегическое мышление и занять место в топ-менеджменте.</t>
  </si>
  <si>
    <t>Android Studio. Полезные шпаргалки для начинающих</t>
  </si>
  <si>
    <t>Татьяна Анатольевна Кучаева</t>
  </si>
  <si>
    <t>Мобильная разработка/Android</t>
  </si>
  <si>
    <t>Мобильная разработка</t>
  </si>
  <si>
    <t>Android</t>
  </si>
  <si>
    <t>Android Studio. Полезные шпаргалки.pdf</t>
  </si>
  <si>
    <t>C:\Users\alexa\YandexDisk\Книги\Мобильная разработка\Android</t>
  </si>
  <si>
    <t>Эта книга представляет собой практическое руководство по разработке мобильных приложений для Android с использованием среды Android Studio. В ней подробно разбираются ключевые концепции, такие как создание нового проекта, структура файлов (AndroidManifest, Java-файлы, ресурсы и Gradle), а также работа с макетами (Layout) и разметкой (FrameLayout, LinearLayout). Издание предназначено для начинающих разработчиков, которые уже имеют базовые знания Java и хотят получить пошаговые инструкции и шпаргалки для практического применения.</t>
  </si>
  <si>
    <t>Android Application Development with Kotlin</t>
  </si>
  <si>
    <t>Hardik Trivedi</t>
  </si>
  <si>
    <t>Android_application_development_with_Kotlin_Build_Your_First_Android.epub</t>
  </si>
  <si>
    <t>Эта книга посвящена разработке Android-приложений на языке Kotlin, начиная с основ синтаксиса и заканчивая продвинутыми темами, такими как корутины, дизайн-паттерны и архитектурные компоненты. Ключевые разделы охватывают фундаментальные концепции Kotlin (функции, классы, нулевая безопасность), работу с коллекциями и создание DSL, а также практическое руководство по построению приложения для рецептов с использованием навигации, ViewModel и внедрения зависимостей. Материал ориентирован на новичков и разработчиков среднего уровня, желающих освоить Kotlin для Android-разработки через пошаговые примеры и практические проекты.</t>
  </si>
  <si>
    <t>Android. Программирование для профессионалов. 3-е изд.</t>
  </si>
  <si>
    <t>Филлипс Б.; Стюарт К.; Марсикано К.</t>
  </si>
  <si>
    <t>Android_Programmirovanie_dlya_professionalov_3_izdanie_2017.pdf</t>
  </si>
  <si>
    <t>Книга «Android. Программирование для профессионалов» представляет собой практическое руководство по разработке приложений для Android с использованием среды Android Studio. Она охватывает ключевые концепции, такие как жизненный цикл активности, фрагменты, базы данных SQLite, макеты с ограничениями, связывание данных, архитектурный стиль MVVM, локализацию и систему разрешений времени выполнения. Издание предназначено для разработчиков, уже знакомых с основами программирования, которые хотят углубить свои знания и освоить профессиональные приемы работы с Android.</t>
  </si>
  <si>
    <t>Android. Программирование для профессионалов. 4-е издание.</t>
  </si>
  <si>
    <t>Филлипс Билл; Стюарт Крис; Марсикано Кристин; Гарднер Брайан</t>
  </si>
  <si>
    <t>Android_Программирование_для_профессионалов_4_е_издание_.pdf</t>
  </si>
  <si>
    <t>Книга посвящена практическим методам разработки Android-приложений на языке Kotlin, охватывая версии от Android 5.0 до 8.1 и выше. В ней подробно рассматриваются ключевые концепции и API, а также работа с Android Studio, интеграция с другими приложениями и мультимедиа. Издание предназначено для профессионалов и разработчиков, стремящихся углубить свои знания, и содержит множество примеров с четкими объяснениями.</t>
  </si>
  <si>
    <t>Gardner L. Grigsbi D. Razrabotka veb-saytov dlya mobilnykh ustroystv</t>
  </si>
  <si>
    <t>Gardner L.; Grigsbi D.</t>
  </si>
  <si>
    <t>Gardner_L_Grigsbi_D_Razrabotka_veb-saytov_dlya_mobilnykh_ustroystv.pdf</t>
  </si>
  <si>
    <t>Фрагмент книги Брайана Гарднера и Джеффа Григсби «Разработка веб-сайтов для мобильных устройств» посвящён созданию адаптивных и оптимизированных под мобильные платформы веб-интерфейсов. Ключевые концепции включают принципы адаптивного дизайна, работу с сенсорным вводом и настройку производительности для ограниченных ресурсов мобильных устройств. Материал ориентирован на веб-разработчиков и специалистов, уже имеющих базовые знания HTML, CSS и JavaScript, то есть на уровень выше начального.</t>
  </si>
  <si>
    <t>Head First. Программирование для Android. 2-е изд.</t>
  </si>
  <si>
    <t>Гриффитс Дэвид; Гриффитс Дон</t>
  </si>
  <si>
    <t>Griffits_Devid_Griffits_Don_Head_First_Programmirovanie_dlya_Android.pdf</t>
  </si>
  <si>
    <t>Это второе издание книги по программированию для Android, входящее в серию Head First O’Reilly. Книга обучает разработке приложений для самой популярной мобильной платформы, начиная с основ и заканчивая сложными темами, такими как работа с базами данных SQLite, фрагментами и фоновыми службами. Ключевые разделы охватывают активности, макеты, жизненный цикл приложения, списки, библиотеки поддержки и создание гибких интерфейсов. Издание рассчитано на читателей с базовыми знаниями Java, то есть на начинающих и intermediate-разработчиков.</t>
  </si>
  <si>
    <t>Head First Android Development, 3rd Edition</t>
  </si>
  <si>
    <t>Dawn Griffiths; David Griffiths</t>
  </si>
  <si>
    <t>O'Reilly Media, Inc</t>
  </si>
  <si>
    <t>Head First Android Development Kotlin 2022.pdf</t>
  </si>
  <si>
    <t>Эта книга представляет собой практическое руководство по разработке Android-приложений на Kotlin, охватывающее создание пользовательских интерфейсов, многокранных приложений и работу с базами данных. Ключевые концепции включают использование Android Jetpack и Jetpack Compose, а также знакомство с основными компонентами приложений — активностями и макетами. Издание предназначено для новичков, которые хотят научиться мыслить как профессиональный Android-разработчик и воплощать свои идеи в готовые приложения.</t>
  </si>
  <si>
    <t>Head First. Программирование для Android на Kotlin</t>
  </si>
  <si>
    <t>Гриффиты</t>
  </si>
  <si>
    <t>Head First. Программирование для Android на Kotlin.pdf</t>
  </si>
  <si>
    <t>Книга «Head First. Программирование для Android на Kotlin» (3-е издание) представляет собой обновлённое руководство по разработке современных Android-приложений с использованием языка Kotlin. Ключевые разделы охватывают построение интерактивных приложений, работу с макетами, макеты с ограничениями и жизненный цикл активности. Издание предназначено для начинающих разработчиков, желающих освоить Android-разработку с нуля, и отличается доступным, иллюстрированным стилем подачи сложного материала.</t>
  </si>
  <si>
    <t>Head First. Программирование для Android</t>
  </si>
  <si>
    <t>Head First. Программирование для Android.pdf</t>
  </si>
  <si>
    <t>Книга «Head First. Программирование для Android» посвящена разработке мобильных приложений для операционной системы Android. Она охватывает ключевые концепции, такие как активности, макеты, интенты, жизненный цикл приложения, фрагменты, базы данных SQLite и работу со службами. Издание предназначено для читателей, обладающих базовыми знаниями Java, и подходит как для новичков, так и для тех, кто хочет систематизировать свои навыки.</t>
  </si>
  <si>
    <t>jQuery Mobile: Up and Running</t>
  </si>
  <si>
    <t>Максимилиано Фиртман</t>
  </si>
  <si>
    <t>jQuery_Mobile_Разработка_приложений_для_смартфонов_и_планшетов.pdf</t>
  </si>
  <si>
    <t>Фрагмент книги Максимилиано Фиртмана посвящен использованию фреймворка jQuery Mobile для создания кроссплатформенных мобильных приложений и веб-сайтов, работающих на смартфонах и планшетах (iPad, iPhone, Android). В книге рассматриваются ключевые концепции, такие как работа с HTML5 и CSS3, создание динамического контента с помощью JavaScript и AJAX, а также настройка пользовательского интерфейса и обеспечение автономной работы (off-line). Издание предназначено для программистов, уже имеющих базовые навыки веб-разработки, и помогает развеять мифы о мобильной разработке, предлагая практические решения для создания адаптивных приложений.</t>
  </si>
  <si>
    <t>Kotlin for Android App Development</t>
  </si>
  <si>
    <t>Peter Sommerhoff</t>
  </si>
  <si>
    <t>Kotlin.for.Android.App.Development.pdf</t>
  </si>
  <si>
    <t>Книга Питера Зоммерхоффа «Kotlin for Android App Development» представляет собой практическое руководство по языку Kotlin для разработки под Android. В первой части рассматриваются основы языка: переменные, типы данных, условные конструкции, функции, null-безопасность и обработка исключений, а также функциональное программирование с лямбдами, коллекциями и областями видимости. Издание предназначено для практикующих программистов, уже знакомых с разработкой, которые хотят освоить Kotlin для создания мобильных приложений.</t>
  </si>
  <si>
    <t>Mobile Applications Development with Python in Kivy Framework</t>
  </si>
  <si>
    <t>Tarkeshwar Barua; Kamal Kant Hiran; Ruchi Doshi</t>
  </si>
  <si>
    <t>Mobile Applications Development_with Python_2Ed.pdf</t>
  </si>
  <si>
    <t>Эта книга представляет собой второе издание руководства по разработке мобильных приложений с использованием Python и фреймворка Kivy. Она охватывает основы языка Python (включая ООП, стандартные библиотеки и работу с данными), а затем переходит к архитектуре Kivy, установке и созданию кроссплатформенных приложений. Издание предназначено для разработчиков начального и среднего уровня, желающих освоить создание мобильных приложений на Python.</t>
  </si>
  <si>
    <t>Мобильная разработка. Галерея шаблонов</t>
  </si>
  <si>
    <t>Тереза Нейл</t>
  </si>
  <si>
    <t>mobilnaya-razrabotka-galereya-shablonov.pdf</t>
  </si>
  <si>
    <t>Книга Терезы Нейл представляет собой практическое руководство по проектированию мобильных приложений, содержащее более 70 готовых шаблонов и множество скриншотов для iOS, Android, Blackberry и других платформ. Материал структурирован по 10 категориям, включая навигацию, формы, таблицы, поиск, диаграммы и антишаблоны, что позволяет быстро решать типовые задачи проектирования. Издание ориентировано на специалистов, которым необходимо создавать удобные и интуитивно понятные мобильные интерфейсы без изобретения велосипеда.</t>
  </si>
  <si>
    <t>Native Mobile Development: A Cross-Reference for iOS and Android</t>
  </si>
  <si>
    <t>Shaun Lewis; Mike Dunn</t>
  </si>
  <si>
    <t>Нативная_разработка_мобильных_приложений.pdf</t>
  </si>
  <si>
    <t>Книга представляет собой практическое руководство по нативной разработке мобильных приложений для iOS и Android. Она разделена на две части: в первой рассматриваются общие задачи, такие как работа с файлами и HTTP-запросами, а во второй — процесс создания приложений с использованием этих приемов. Примеры кода для Android приводятся на Java и Kotlin, что делает книгу перекрестным справочником между платформами и языками. Издание предназначено для программистов, специализирующихся на разработке приложений для iOS и/или Android, как для новичков, так и для специалистов, желающих освоить обе системы.</t>
  </si>
  <si>
    <t>Программирование на Kotlin для Android</t>
  </si>
  <si>
    <t>Пьер-Оливье Лоране; Аманда Хинчман-Домингес; Дж. Блейк Мик; Майк Данн</t>
  </si>
  <si>
    <t>Программирование на Kotlin для Android.pdf</t>
  </si>
  <si>
    <t>Книга посвящена программированию на языке Kotlin для платформы Android. В ней рассматриваются основы языка, включая систему типов, null-безопасность, классы и функции, а также фреймворк коллекций Kotlin с акцентом на функциональное программирование. Издание предназначено для разработчиков, уже имеющих базовые навыки программирования, и направлено на практическое применение Kotlin в Android-разработке.</t>
  </si>
  <si>
    <t>Разработка мобильных приложений. Первые шаги</t>
  </si>
  <si>
    <t>М. А. Федотенко</t>
  </si>
  <si>
    <t>Разработка_мобильных_приложений_Первые_шаги_tlgm_it_boooks.pdf</t>
  </si>
  <si>
    <t>Эта книга представляет собой практическое руководство по основам разработки мобильных приложений для Android, начиная с установки среды Android Studio и создания первого проекта. В ней рассматриваются ключевые концепции, такие как проектирование интерфейса с помощью различных макетов, работа с ресурсами и способы оповещения пользователей. Издание ориентировано на новичков, в первую очередь на учащихся 8–11 классов, учителей и всех, кто хочет сделать первые шаги в Android-разработке.</t>
  </si>
  <si>
    <t>Умные мобильные проекты с TensorFlow</t>
  </si>
  <si>
    <t>Джефф Танг</t>
  </si>
  <si>
    <t>Умные мобильные проекты с Tensorflow 2019.pdf</t>
  </si>
  <si>
    <t>Книга Джеффа Танга посвящена созданию мобильных приложений с искусственным интеллектом на платформе TensorFlow. Она охватывает более 10 проектов для iOS, Android и Raspberry Pi, включая компьютерное зрение, обработку речи, генеративно-состязательные сети и AlphaZero-подобное обучение. Читатели научатся использовать и дообучать существующие модели TensorFlow, а также создавать собственные для работы в автономном режиме на устройстве. Издание предназначено для широкого круга разработчиков, желающих интегрировать ИИ в свои проекты.</t>
  </si>
  <si>
    <t>Программирование игр под Android</t>
  </si>
  <si>
    <t>Марио Цехнер</t>
  </si>
  <si>
    <t>Цехнер Programmirovanie_igr_pod_Android 2013.pdf</t>
  </si>
  <si>
    <t>Книга Марио Цехнера «Программирование игр под Android» представляет собой полное руководство по созданию игр для платформы Android, начиная с основ проектирования и заканчивая публикацией готового продукта. В издании подробно рассматриваются настройка инструментов разработки, создание 2D- и 3D-игр, работа с графикой, аудио, игровой механикой (физика, анимация, обнаружение соударений) и использование OpenGL ES. Книга предназначена для начинающих и intermediate-разработчиков, желающих освоить процесс создания игр под Android от фундаментальных принципов до практической реализации.</t>
  </si>
  <si>
    <t>Проектирование пользовательского интерфейса в Android</t>
  </si>
  <si>
    <t>Ян Клифтон</t>
  </si>
  <si>
    <t>Ян_Клифтон_Проектирование_пользовательского_интерфейса_в_Android.pdf</t>
  </si>
  <si>
    <t>Книга посвящена проектированию пользовательских интерфейсов для Android, охватывая принципы и практические методы создания удобных и интуитивно понятных мобильных приложений. В ней рассматриваются ключевые концепции, такие как Material Design, работа с макетами, навигация, адаптация под разные экраны и тестирование юзабилити. Издание ориентировано на разработчиков начального и среднего уровня, стремящихся улучшить свои навыки в области UI/UX дизайна для Android.</t>
  </si>
  <si>
    <t>Flutter на практике</t>
  </si>
  <si>
    <t>Мобильная разработка/Flutter</t>
  </si>
  <si>
    <t>Flutter</t>
  </si>
  <si>
    <t>Flutter на практике.pdf</t>
  </si>
  <si>
    <t>C:\Users\alexa\YandexDisk\Книги\Мобильная разработка\Flutter</t>
  </si>
  <si>
    <t>Эта книга посвящена практическому освоению Flutter — открытого фреймворка Google для создания кроссплатформенных мобильных приложений. В ней рассматриваются основы работы с Flutter, включая виджеты, контролы и компоновку интерфейса, а также создание серверных backend-приложений. Практическая часть включает разработку трёх полноценных проектов: органайзера, мессенджера и игры. Издание предназначено для разработчиков, уже имеющих опыт программирования и знакомых с основами iOS и Android.</t>
  </si>
  <si>
    <t>Test-Driven iOS Development</t>
  </si>
  <si>
    <t>Грэхем Ли</t>
  </si>
  <si>
    <t>Мобильная разработка/iOS</t>
  </si>
  <si>
    <t>iOS</t>
  </si>
  <si>
    <t>!!!___TDD_Грэхем_Ли_Пер_с_англ_Киселев_А_Н_Разработка_через_тестирование_для.pdf</t>
  </si>
  <si>
    <t>C:\Users\alexa\YandexDisk\Книги\Мобильная разработка\iOS</t>
  </si>
  <si>
    <t>Книга Грэма Ли посвящена методике разработки через тестирование (TDD) для платформы iOS. Автор раскрывает теоретические основы TDD, включая принципы «сначала тест», цикл «красный, зеленый, рефакторинг» и проектирование через тестирование, а затем демонстрирует их применение на примере создания реального приложения. В книге также рассматриваются инструменты для модульного тестирования (OCUnit, OCMock) и вопросы непрерывной интеграции. Издание ориентировано на разработчиков приложений для iOS, знакомых с фреймворком Cocoa Touch и языком Objective-C, то есть на специалистов среднего и продвинутого уровня.</t>
  </si>
  <si>
    <t>Эта книга посвящена разработке веб-приложений и сайтов для мобильных устройств с использованием технологий HTML5 и CSS3. В ней подробно рассматриваются новые элементы HTML5, веб-формы, API (включая Canvas, SVG, localStorage), а также возможности CSS3, такие как адаптивный дизайн, анимация и работа с сенсорами. Издание предназначено для веб-разработчиков, желающих создавать приложения, одинаково хорошо работающие на iOS, Android, Blackberry и Windows Phone, и предполагает наличие базовых знаний в веб-разработке.</t>
  </si>
  <si>
    <t>iOS. Приемы программирования</t>
  </si>
  <si>
    <t>В. Нахавандипур</t>
  </si>
  <si>
    <t>iOS. Приемы программирования.pdf</t>
  </si>
  <si>
    <t>Книга «iOS. Приемы программирования» Вандада Нахавандипура представляет собой сборник практических решений для разработки приложений под iOS 7, охватывающий широкий спектр тем: от создания контроллеров и видов до работы с Core Data, графикой и анимацией. Ключевые разделы включают автоматическую компоновку, параллелизм, безопасность, работу с картами, сетями и мультимедиа. Издание предназначено для разработчиков, уже имеющих базовый опыт программирования под iOS, и предлагает готовые примеры кода для решения типичных задач.</t>
  </si>
  <si>
    <t>SwiftUI by Tutorials</t>
  </si>
  <si>
    <t>Antonio Bello; Bill Morefield; Audrey Tam; Sarah Reichelt</t>
  </si>
  <si>
    <t>SwiftUI_by_Tutorials_2021_Antonio_Bello,_Bill_Morefield,_Audrey.pdf</t>
  </si>
  <si>
    <t>Фрагмент представляет собой введение к книге «SwiftUI by Tutorials» от издательства Razeware LLC. Книга посвящена обучению разработке интерфейсов для iOS и macOS с использованием фреймворка SwiftUI. В отрывке перечислены авторы и редакторы, но не раскрыто содержание глав или ключевые концепции. Судя по названию и формату, издание ориентировано на разработчиков, желающих освоить SwiftUI, вероятно, от начального до среднего уровня. Однако на основе предоставленного текста невозможно составить полноценное саммари, так как он содержит только юридическую информацию и биографии.</t>
  </si>
  <si>
    <t>Swift. Основы разработки приложений под iOS, iPadOS и macOS</t>
  </si>
  <si>
    <t>Василий Усов</t>
  </si>
  <si>
    <t>Swift_Основы_разработки_приложений_под_iOS,_iPadOS_и_macOS_2021.pdf</t>
  </si>
  <si>
    <t>Это шестое издание учебника Василия Усова по языку Swift, посвящённое основам разработки приложений для iOS, iPadOS и macOS. Книга охватывает фундаментальные типы данных, контейнерные типы (массивы, словари, множества), операторы управления, функции, замыкания, а также введение в объектно-ориентированное и протокол-ориентированное программирование. Издание предназначено для новичков, желающих начать карьеру iOS-разработчика, и содержит практические примеры, тесты и домашние задания для закрепления материала.</t>
  </si>
  <si>
    <t>Swift. Основы разработки приложений под iOS и macOS</t>
  </si>
  <si>
    <t>Усов В.</t>
  </si>
  <si>
    <t>Swift_Основы_разработки_приложений_под_и_iOS_и_macOS.pdf</t>
  </si>
  <si>
    <t>Книга Василия Усова посвящена основам разработки приложений на языке Swift для платформ iOS и macOS. В четвертом издании, обновленном под Swift 4.1 и Xcode 9, особое внимание уделяется решению практических задач, а также рассматриваются подготовка среды разработки, базовые возможности языка и типы данных. Издание ориентировано на всех интересующихся языком Swift, включая новичков, и предоставляет как теоретические основы, так и начальные сведения для создания полноценных приложений.</t>
  </si>
  <si>
    <t>Swift. Разработка приложений под iOS на основе фреймворка UIKit</t>
  </si>
  <si>
    <t>swiftme.ru</t>
  </si>
  <si>
    <t>Swift_Разработка_приложений_под_iOS_на_основе_фреймворка UIKit 2021.pdf</t>
  </si>
  <si>
    <t>Книга Василия Усова посвящена разработке iOS-приложений на языке Swift с использованием фреймворка UIKit. В ней рассматриваются архитектура проекта (включая шаблон MVC), жизненный цикл контроллеров представлений, работа с табличными представлениями и долговременное хранение данных, а также создание графического интерфейса и анимаций. Материал предназначен для продолжающих изучение Swift разработчиков, которые уже имеют базовые навыки и хотят углубиться в практическую разработку под iOS.</t>
  </si>
  <si>
    <t>Swift для детей. Самоучитель по созданию приложений для iOS</t>
  </si>
  <si>
    <t>Глория Уинквист; Мэтт Маккарти</t>
  </si>
  <si>
    <t>Глория_Уинквист,_Мэтт_Маккарти_Swift_для_детей_Самоучитель_по_созданию.pdf</t>
  </si>
  <si>
    <t>Эта книга представляет собой самоучитель по языку Swift и созданию приложений для iOS, предназначенный для детей от 10 лет и взрослых, начинающих программировать. В ней рассматриваются основы работы в среде Xcode, включая создание интерфейса с помощью Storyboard и программирование в Xcode Playground. Ключевые концепции включают работу с константами, переменными и основными типами данных, такими как Int, Double и String. Материал рассчитан на новичков, которые шаг за шагом научатся создавать собственные приложения.</t>
  </si>
  <si>
    <t>iPhone SDK. Разработка приложений</t>
  </si>
  <si>
    <t>Здзиарски Дж.</t>
  </si>
  <si>
    <t>Джонатан_Здзиарски_iPhone_SDK_Разработка_приложений_2013.pdf</t>
  </si>
  <si>
    <t>Книга Джонатана Здзиарски посвящена разработке мобильных приложений и игр для iPhone и iPod Touch с использованием официального SDK Apple. В ней рассматриваются ключевые концепции: язык Objective-C, создание интерфейсов через Interface Builder и библиотеку UI Kit, работа с графикой (Core Graphics, Quartz Core), звуком (AVFoundation), сетевыми возможностями (CFNetwork) и GPS (Core Location). Материал сопровождается большим количеством примеров и предназначен для программистов, уже имеющих базовые навыки разработки.</t>
  </si>
  <si>
    <t>Нативная разработка мобильных приложений. Перекрестный справочник для iOS и Android</t>
  </si>
  <si>
    <t>Шон Льюис; Майк Данн</t>
  </si>
  <si>
    <t>Нативная_разработка_мобильных_приложений_Перекрестный_справочник 2020.pdf</t>
  </si>
  <si>
    <t>Это практическое руководство по нативной разработке мобильных приложений для iOS и Android, которое помогает разработчикам решать типовые задачи на обеих платформах. Книга разделена на две части: в первой рассматриваются общие операции, такие как работа с файлами и HTTP-запросами, а во второй — процесс создания приложения с использованием этих приемов. Примеры кода для Android приводятся на Java и Kotlin, что делает книгу перекрестным справочником между платформами и языками. Издание предназначено для программистов, специализирующихся на разработке приложений для iOS и Android, как для новичков, так и для опытных специалистов.</t>
  </si>
  <si>
    <t>Основы разработки iOS-приложений на C# с помощью Xamarin</t>
  </si>
  <si>
    <t>Умрихин Е. Д.</t>
  </si>
  <si>
    <t>Основы_разработки_iOS_приложений_2021.pdf</t>
  </si>
  <si>
    <t>Это учебное пособие по основам разработки нативных iOS-приложений на языке C# с использованием фреймворка Xamarin.iOS. Книга охватывает такие ключевые темы, как структура проектов, компоненты пользовательского интерфейса, навигация, хранение данных и публикация в App Store. Пособие предназначено для студентов среднего профессионального образования и новичков, имеющих начальные знания языка C# и платформы .NET.</t>
  </si>
  <si>
    <t>Усов Swift-osnovyi-razrabotki-prilozheniy-pod-ios 2017.pdf</t>
  </si>
  <si>
    <t>Книга Василия Усова «Swift. Основы разработки приложений под iOS и macOS» представляет собой учебное пособие по языку программирования Swift и созданию приложений для платформ Apple. Третье издание охватывает базовые возможности Swift, включая переменные, константы, коллекции, функции и замыкания, а также содержит обновлённые главы о ленивых вычислениях и нетривиальных возможностях языка. Материал ориентирован на начинающих разработчиков, желающих освоить Swift с нуля или перейти с Objective-C.</t>
  </si>
  <si>
    <t>Становление и сущность системного подхода</t>
  </si>
  <si>
    <t>И.В. Блауберг; Э.Г. Юдин</t>
  </si>
  <si>
    <t>1973</t>
  </si>
  <si>
    <t>Наука</t>
  </si>
  <si>
    <t>Наука о системах и системный анализ</t>
  </si>
  <si>
    <t>Блауберг, Системный подход в современной науке.pdf</t>
  </si>
  <si>
    <t>C:\Users\alexa\YandexDisk\Книги\Наука о системах и системный анализ</t>
  </si>
  <si>
    <t>Книга И.В. Блауберга и Э.Г. Юдина посвящена истории возникновения и философским основаниям системного подхода, а также его методологической роли в современной науке. Авторы анализируют понятийный аппарат системных исследований, рассматривают теоретико-познавательные проблемы и демонстрируют применение системных принципов в биологии, психологии, социальном познании и управлении. Особое внимание уделяется необходимости методологического перевооружения науки для решения сложных задач, не поддающихся традиционным методам. Издание предназначено для специалистов в области философии науки, методологов и исследователей, интересующихся теоретическими основами системного анализа.</t>
  </si>
  <si>
    <t>Искусство системного мышления: Необходимые знания о системах и творческом подходе к решению проблем</t>
  </si>
  <si>
    <t>Джозеф О'Коннор; Иан Макдермотт</t>
  </si>
  <si>
    <t>Искусство системного мышления.pdf</t>
  </si>
  <si>
    <t>Эта книга — введение в системное мышление, описывающее принципы целостного понимания сложных систем, поведение которых определяется связями между компонентами и ментальными моделями людей. Ключевые концепции включают контурное мышление, петли обратной связи (усиливающие и уравновешивающие), построение ментальных моделей и причинно-следственные циклы для творческого решения проблем. Книга написана простым языком и предназначена для широкого круга читателей: от студентов и молодых специалистов, желающих развить системное мировоззрение, до профессионалов (ученых и руководителей), ищущих инструменты концептуального моделирования.</t>
  </si>
  <si>
    <t>Формализация требований на практике</t>
  </si>
  <si>
    <t>В. В. Кулямин; Н. В. Пакулин; О. Л. Петренко; А. А. Сортов; А. В. Хорошилов</t>
  </si>
  <si>
    <t>Формализация_требований_на_практике.pdf</t>
  </si>
  <si>
    <t>Эта книга посвящена методам формализации требований к программному обеспечению, а также приемам выявления и точного описания потребностей пользователей для создания надежных и корректно работающих систем. Авторы подчеркивают, что неправильное понимание нужд заказчика остается частой причиной провалов проектов, и предлагают подходы к анализу предметной области, сбору пожеланий и фиксации требований в виде документов и моделей. В работе рассматриваются такие ключевые концепции, как адекватность, однозначность, непротиворечивость и полнота требований, а также важность создания «одинаковых» систем разными разработчиками на основе единых спецификаций. Материал ориентирован на специалистов в области разработки ПО и аналитиков, уже знакомых с основами проектирования, но стремящихся углубить свои навыки в работе с требованиями.</t>
  </si>
  <si>
    <t>CX-5 руководство</t>
  </si>
  <si>
    <t>Остапенко Роман Семенович</t>
  </si>
  <si>
    <t>Нон-фикшн/Автомобили</t>
  </si>
  <si>
    <t>Нон-фикшн</t>
  </si>
  <si>
    <t>Автомобили</t>
  </si>
  <si>
    <t>CX-5_руководство.pdf</t>
  </si>
  <si>
    <t>C:\Users\alexa\YandexDisk\Книги\Нон-фикшн\Автомобили</t>
  </si>
  <si>
    <t>Это краткое руководство по эксплуатации автомобиля Mazda CX-5, содержащее базовые инструкции по настройке водительского сиденья, рулевого колеса и подголовников для безопасной посадки, а также описание работы усовершенствованной системы доступа без ключа и электропривода задней двери. Ключевые разделы охватывают безопасность, подготовку к поездке и управление автомобилем. Материал предназначен для начинающих водителей, желающих быстро освоить основные функции и регулировки машины.</t>
  </si>
  <si>
    <t>Секреты безопасной покупки подержанного автомобиля</t>
  </si>
  <si>
    <t>Секреты безопасной покупки автомобиля.pdf</t>
  </si>
  <si>
    <t>Это пошаговое руководство по безопасной покупке подержанного автомобиля, охватывающее все этапы: от выбора модели и поиска объявлений до осмотра, проверки истории, торга и оформления сделки. Ключевые разделы посвящены выявлению рисков (скрученный пробег, дубликат ПТС, угоны, авто после такси и ДТП), самостоятельному осмотру и проверке на СТО. Книга предназначена для новичков и покупателей без глубокого технического опыта, желающих обезопасить себя от обмана при покупке машины с пробегом.</t>
  </si>
  <si>
    <t>Что делать, если остановил гаишник</t>
  </si>
  <si>
    <t>Что делать, если остановил гаишник.pdf</t>
  </si>
  <si>
    <t>Книга представляет собой практическое руководство для автомобилистов, посвященное правилам поведения и юридическим аспектам взаимодействия с сотрудниками ГИБДД. Ключевые разделы охватывают типичные ситуации на дороге, права водителя при остановке, порядок общения с инспектором и алгоритмы действий при составлении протокола или оспаривании штрафа. Издание предназначено для широкого круга водителей, включая новичков, желающих уверенно защищать свои права без конфликтов.</t>
  </si>
  <si>
    <t>100 ловушек на дорогах</t>
  </si>
  <si>
    <t>Александр Шумский</t>
  </si>
  <si>
    <t>Шумский-100 ловушек.pdf</t>
  </si>
  <si>
    <t>Эта книга Александра Шумского представляет собой памятку для водителей, посвященную разбору сложных маневров на дороге: обгонов, разворотов и движения по кругу. Ключевые разделы включают семь правил безопасного обгона, перечень мест, где он запрещен, а также подробный разбор спорных ситуаций и ответственности, вплоть до конфискации автомобиля за повторные нарушения. Издание предназначено для водителей любого уровня, от новичков до опытных, и может служить шпаргалкой при общении с сотрудниками ДПС.</t>
  </si>
  <si>
    <t>Ты не знал этих правил парковки</t>
  </si>
  <si>
    <t>Библиотека Водителя</t>
  </si>
  <si>
    <t>Шумский-Парковки.pdf</t>
  </si>
  <si>
    <t>Этот фрагмент книги Александра Шумского представляет собой практическое руководство по правилам остановки и стоянки транспортных средств. В материале подробно разбираются ключевые понятия (остановка и стоянка), зоны действия запрещающих знаков, правила парковки на тротуарах и проезжей части, а также штрафы за нарушения, включая эвакуацию. Книга предназначена для широкого круга водителей-новичков, желающих избежать штрафов и разобраться в нюансах ПДД.</t>
  </si>
  <si>
    <t>Жизнь — сапожок непарный. Воспоминания</t>
  </si>
  <si>
    <t>Тамара Петкевич</t>
  </si>
  <si>
    <t>Нон-фикшн/Биографии</t>
  </si>
  <si>
    <t>Биографии</t>
  </si>
  <si>
    <t>avidreaders.ru__zhizn-sapozhok-neparnyy-vospominaniya.pdf</t>
  </si>
  <si>
    <t>C:\Users\alexa\YandexDisk\Книги\Нон-фикшн\Биографии</t>
  </si>
  <si>
    <t>Это фрагмент мемуаров Тамары Петкевич, драматической актрисы, чья жизнь была сломана репрессиями 1937 года. В первой главе автор описывает своё детство в Петрограде 1920-х годов, историю знакомства родителей на фронтах Гражданской войны и быт в бывшем доходном доме эмира Бухарского. Книга предназначена для широкого круга читателей, интересующихся личными историями на фоне советской истории, и не требует специальной подготовки.</t>
  </si>
  <si>
    <t>Лидерство во льдах. Антарктическая одиссея Шеклтона</t>
  </si>
  <si>
    <t>Альфред Лансинг</t>
  </si>
  <si>
    <t>liderstvo-vo-ldah.pdf</t>
  </si>
  <si>
    <t>Книга Альфреда Лансинга «Лидерство во льдах» посвящена реальной истории антарктической экспедиции сэра Эрнеста Шеклтона на корабле «Эндьюранс», целью которой было пересечение Южного полюса, но вместо этого команде пришлось бороться за выживание в суровых условиях. Ключевые концепции включают лидерство в экстремальных ситуациях, командную работу и стойкость духа, а структура книги разделена на пять частей, последовательно описывающих этапы одиссеи. Издание предназначено для широкой аудитории, интересующейся историями о первооткрывателях, путешественниках и лидерстве, от новичков до специалистов.</t>
  </si>
  <si>
    <t>Stiv Dzhobs</t>
  </si>
  <si>
    <t>Uoltier Aiziekson</t>
  </si>
  <si>
    <t>Stiv Dzhobs - Uoltier Aiziekson.mobi</t>
  </si>
  <si>
    <t>Рассказ нечаянного революционера</t>
  </si>
  <si>
    <t>Linus Torvalds; David Diamond</t>
  </si>
  <si>
    <t>Torvalds_L.,_Daimond_D Рассказ нечаянного революционера.pdf</t>
  </si>
  <si>
    <t>Фрагмент книги представляет собой автобиографию Линуса Торвальдса, создателя операционной системы Linux, и рассказывает историю её возникновения и превращения в глобальный феномен. В отрывке освещаются ключевые концепции: философия открытого исходного кода, культура хакеров (в значении увлечённых программистов) и процесс перевода книги, адаптированный для российского читателя. Книга предназначена как для новичков, интересующихся историей IT, так и для специалистов, желающих понять мотивацию создателя одной из самых влиятельных операционных систем.</t>
  </si>
  <si>
    <t>Движение вместо лекарств. 1001 ответ на вопрос как восстановить здоровье</t>
  </si>
  <si>
    <t>Сергей Бубновский</t>
  </si>
  <si>
    <t>Нон-фикшн/Здоровье</t>
  </si>
  <si>
    <t>Bubnovskiyi_S._Goryachayalini._Dvijenie_Vmesto_Lekarstv_.a4.pdf</t>
  </si>
  <si>
    <t>C:\Users\alexa\YandexDisk\Книги\Нон-фикшн\Здоровье</t>
  </si>
  <si>
    <t>Книга Сергея Бубновского «Движение вместо лекарств» посвящена восстановлению здоровья и избавлению от болевых симптомов без применения медикаментов, с помощью физической активности и кинезитерапии. Ключевые разделы охватывают восстановление после COVID-19, упражнения в условиях самоизоляции, правильное дыхание, проблемы с позвоночником, суставами, гипертонию и возрастные изменения. Издание предназначено для широкого круга читателей, включая новичков, которые хотят укрепить иммунитет и улучшить самочувствие естественными методами.</t>
  </si>
  <si>
    <t>Bubnovskiyi_S._Goryachayalini._Dvijenie_Vmesto_Lekarstv_.epub</t>
  </si>
  <si>
    <t>Книга Сергея Бубновского посвящена восстановлению здоровья через движение и физическую активность, а не через медикаменты. Автор, врач-кинезитерапевт, рассматривает такие проблемы, как гипертония, боли в спине и суставах, а также последствия коронавируса, предлагая конкретные упражнения и изменение образа жизни. Ключевая концепция — преодоление страха перед болезнями (включая COVID-19) через регулярные нагрузки, правильный питьевой режим и отказ от пассивного ожидания «таблетки». Книга предназначена для широкого круга читателей, включая новичков, которые хотят самостоятельно разобраться в причинах своих недугов и найти немедикаментозные способы оздоровления.</t>
  </si>
  <si>
    <t>radio_07_2012</t>
  </si>
  <si>
    <t>АНО «РЕДАКЦИЯ ЖУРНАЛА «РАДИО»</t>
  </si>
  <si>
    <t>INet for War.pdf</t>
  </si>
  <si>
    <t>Фрагмент представляет собой статью из журнала «Радио» (№12, 2022) на тему «Интернет для войны». В ней рассматривается концепция создания военного Интернета вещей (IoT) для объединения всех технических элементов вооружённых сил США в единую «нервную» систему, от датчиков самолётов до устройств солдат, с целью повышения мобильности и выживаемости в конфликтах с технологически развитыми противниками. Ключевые идеи включают использование протокола LoRaWAN, интеграцию данных всех родов войск в реальном времени и автоматический обмен информацией. Материал предназначен для специалистов и читателей, интересующихся военными технологиями и применением ИКТ.</t>
  </si>
  <si>
    <t>Здоровье до 120 лет без лекарств и врачей</t>
  </si>
  <si>
    <t>Фредерик Сальдманн</t>
  </si>
  <si>
    <t>Здоровье до 120 лет без врачей.epub</t>
  </si>
  <si>
    <t>Книга французского врача Фредерика Сальдманна посвящена идее, что главный ресурс для здоровья — это скрытые возможности самого организма, а не лекарства. Автор критикует традиционную медицину за борьбу со следствиями, а не с причинами болезней, и предлагает активировать внутренние силы тела через изменение образа жизни. Ключевые концепции включают отказ от лишних медикаментов, сокращение калорий на 20% для продления жизни, регулярные физические нагрузки (30 минут в день снижают риск рака и сердечно-сосудистых заболеваний на 40%), а также правильное питание и управление стрессом. Книга предназначена для широкого круга читателей-новичков, которые хотят взять здоровье в свои руки, а также для тех, кто сомневается в эффективности привычного медикаментозного лечения.</t>
  </si>
  <si>
    <t>Льняное масло</t>
  </si>
  <si>
    <t>Льняное масло.pdf</t>
  </si>
  <si>
    <t>Этот фрагмент посвящён пользе льняного масла как источника растительных омега-3 жирных кислот. Ключевые разделы описывают его положительное влияние на сердечно-сосудистую систему, пищеварение и мозг, а также содержат важные предостережения о недопустимости нагрева и правилах хранения. Материал включает сравнительную таблицу льняного, оливкового масла и рыбьего жира, подчёркивая необходимость их совместного употребления для получения полного спектра жирных кислот. Текст ориентирован на широкую аудиторию новичков, интересующихся здоровым питанием и профилактикой заболеваний.</t>
  </si>
  <si>
    <t>Нить жизни-2-й день</t>
  </si>
  <si>
    <t>Нить жизни-2-й день.docx</t>
  </si>
  <si>
    <t>Книга посвящена влиянию циркадных ритмов и качества сна на здоровье и долголетие человека. В представленном фрагменте рассматриваются механизмы работы «внутренних часов» организма и их связь с обменом веществ, иммунитетом и профилактикой заболеваний. Особое внимание уделяется практическим рекомендациям по синхронизации режима дня с естественными биологическими циклами. Издание ориентировано на широкую аудиторию, включая новичков, интересующихся здоровым образом жизни и профилактической медициной.</t>
  </si>
  <si>
    <t>Нон-фикшн/Здоровье_Память</t>
  </si>
  <si>
    <t>Здоровье_Память</t>
  </si>
  <si>
    <t>126 эффективных упражнений по развитию вашей памяти.doc</t>
  </si>
  <si>
    <t>C:\Users\alexa\YandexDisk\Книги\Нон-фикшн\Здоровье_Память</t>
  </si>
  <si>
    <t>Данный фрагмент книги посвящён развитию памяти и содержит практические упражнения для её тренировки. Ключевая концепция — систематическое выполнение заданий для улучшения запоминания, вероятно, с акцентом на мнемотехники и когнитивные тренировки. Книга предназначена для широкой аудитории, включая новичков, желающих улучшить свои навыки запоминания в повседневной жизни.</t>
  </si>
  <si>
    <t>ДИАНЕТИКА — Современная наука душевного здоровья</t>
  </si>
  <si>
    <t>Л. Рон Хаббард</t>
  </si>
  <si>
    <t>1993</t>
  </si>
  <si>
    <t>Нон-фикшн/Изотерика</t>
  </si>
  <si>
    <t>Изотерика</t>
  </si>
  <si>
    <t>Dianetika.pdf</t>
  </si>
  <si>
    <t>C:\Users\alexa\YandexDisk\Книги\Нон-фикшн\Изотерика</t>
  </si>
  <si>
    <t>Книга Л. Рона Хаббарда «Дианетика — Современная наука душевного здоровья» посвящена методике духовного исцеления, основанной на управлении жизненной энергией через разум. Ключевые концепции включают четыре динамики выживания (для себя, семьи, группы и человечества), а также понятия аналитического и реактивного ума, где инграммы (записи боли и бессознательных состояний) подавляют интеллект и вызывают психосоматические заболевания. Книга предназначена для широкого круга читателей, включая новичков, интересующихся самоанализом и духовным развитием.</t>
  </si>
  <si>
    <t>duhovnyj-intellekt</t>
  </si>
  <si>
    <t>duhovnyj-intellekt.zip</t>
  </si>
  <si>
    <t>Книга посвящена концепции духовного интеллекта как способности применять духовные и нравственные ресурсы для решения практических задач и осмысления жизни. В ней рассматриваются ключевые концепции, такие как осознанность, эмпатия, поиск смысла и целостность, а также методы их развития через самоанализ и практики. Издание ориентировано на широкий круг читателей, включая новичков, интересующихся личностным ростом и самопознанием.</t>
  </si>
  <si>
    <t>Бессмертие. Тайное знание Древней Руси</t>
  </si>
  <si>
    <t>Гонсалес</t>
  </si>
  <si>
    <t>Gonsales_Bessmertie__Taynoe_znanie_Drevney_Rusi_264971.mobi</t>
  </si>
  <si>
    <t>Книга посвящена исследованию тайных знаний и эзотерических практик Древней Руси, связанных с концепцией бессмертия. Ключевые разделы рассматривают сакральные символы, ритуалы и мистические учения, которые, по мнению автора, были известны на Руси до христианизации. Издание ориентировано на новичков и широкий круг читателей, интересующихся эзотерикой, историей и духовными традициями славян.</t>
  </si>
  <si>
    <t>Мы родом из Страшного Детства или как стать хозяином своего прошлого, настоящего и будущего</t>
  </si>
  <si>
    <t>my-rodom-iz-strashnogo-detstva.epub</t>
  </si>
  <si>
    <t>Эта книга посвящена влиянию детского опыта на формирование жизненных сценариев, бессознательных программ и базовой экзистенциальной позиции человека. Автор разбирает ключевые концепции, такие как контуры бессознательного, Внутренний Ребенок и сценарии судьбы, закладываемые в детстве. Издание предназначено для широкого круга читателей, интересующихся психологией и саморазвитием, включая новичков, а также содержит рекламу профессиональных программ обучения психотерапии.</t>
  </si>
  <si>
    <t>sergeichiskusstvorechi.doc</t>
  </si>
  <si>
    <t>Книга посвящена искусству речи и ораторскому мастерству, рассматривая психологические и технические аспекты эффективного выступления. Ключевые разделы включают работу с голосом, управление вниманием аудитории и структурирование речи. Материал ориентирован на новичков, желающих освоить базовые навыки публичных выступлений и преодолеть страх сцены.</t>
  </si>
  <si>
    <t>shkola-advokatury.doc</t>
  </si>
  <si>
    <t>Zero Limits: The Secret Hawaiian System for Wealth, Health, Peace and More</t>
  </si>
  <si>
    <t>Joe Vitale; Ihaleakala Hew Len, PhD</t>
  </si>
  <si>
    <t>John Wiley &amp; Sons, Inc</t>
  </si>
  <si>
    <t>Zero Limits_str - uncle Sam.pdf</t>
  </si>
  <si>
    <t>Книга «Zero Limits» посвящена древней гавайской практике очищения сознания под названием Хо’опонопоно, которая, по утверждению автора, позволяет достичь нулевого состояния — полной свободы от воспоминаний и ограничений. Ключевая концепция заключается в том, что человек несёт 100% ответственности за всё происходящее в его жизни, а для решения любых проблем достаточно повторять четыре фразы: «Мне жаль», «Прости меня», «Благодарю тебя», «Я люблю тебя». Книга предназначена для широкого круга читателей-новичков, интересующихся духовным развитием, самопомощью и эзотерическими практиками.</t>
  </si>
  <si>
    <t>Вершитель реальности</t>
  </si>
  <si>
    <t>Вадим Зеланд</t>
  </si>
  <si>
    <t>Зеланд_Вершитель реальности.pdf</t>
  </si>
  <si>
    <t>Книга Вадима Зеланда «Вершитель реальности» посвящена концепции Трансерфинга — альтернативному способу взаимодействия с миром, основанному на дуальной природе реальности (материальной и зеркальной, неосязаемой). Ключевая идея заключается в том, что в точке соприкосновения этих двух миров реальность становится управляемой, а энергия мыслей оказывает объективное влияние на действительность. Автор раскрывает «недостающее звено», которое делает эзотерические практики эффективными, и объясняет, почему одни желания исполняются, а другие — нет. Книга предназначена для широкого круга читателей-новичков, интересующихся саморазвитием и нестандартными взглядами на устройство мира.</t>
  </si>
  <si>
    <t>Шри Ауробиндо</t>
  </si>
  <si>
    <t>1992</t>
  </si>
  <si>
    <t>Никос</t>
  </si>
  <si>
    <t>Интегральная йога.fb2</t>
  </si>
  <si>
    <t>Книга «Интегральная йога» Шри Ауробиндо посвящена духовному пути единения человека с Всевышним, описываемым как Сат-Чит-Ананда (Существование-Сознание-Блаженство). Ключевые концепции включают триединство Абсолюта, статический и динамический аспекты Брахмана (Чит-Шакти), а также процесс инволюции и эволюции Силы Сознания. Издание предназначено как для практикующих йогу, стремящихся к продвижению на Пути, так и для новичков, желающих осознать истинный смысл бытия.</t>
  </si>
  <si>
    <t>The Best of Christian Larson: Mastery of Fate &amp; Your Forces and How to Use Them</t>
  </si>
  <si>
    <t>Christian Larson; Андреев Александр Александрович</t>
  </si>
  <si>
    <t>Ларсон_Хозяин своей судьбы.pdf</t>
  </si>
  <si>
    <t>Книга Кристиана Ларсона «Хозяин своей судьбы» представляет собой сборник работ, посвящённых философии «Нового Мышления», которая учит, что Бог находится внутри человека, а не вовне, и что каждый способен влиять на свою жизнь через позитивные установки. Ключевые концепции включают отказ от попыток влиять на других (так как это ослабляет душу), замену негативных стереотипных выражений на позитивные, а также идею о том, что помощь другим переводит психику в состояние успеха. Книга предназначена для широкого круга читателей, интересующихся саморазвитием, духовными практиками и метафизикой, включая как новичков, так и тех, кто уже знаком с данной тематикой.</t>
  </si>
  <si>
    <t>Путешествия вне тела</t>
  </si>
  <si>
    <t>Роберт Монро</t>
  </si>
  <si>
    <t>Монро Роберт. Путешествия вне тела.doc</t>
  </si>
  <si>
    <t>Фрагмент книги Роберта Монро «Путешествия вне тела» посвящен теме внетелесного опыта (ВТО) и астральных путешествий. Ключевая концепция — описание автором собственных осознанных выходов из физического тела и исследования иных реальностей. Книга предназначена для новичков и всех интересующихся эзотерикой, парапсихологией и расширением сознания.</t>
  </si>
  <si>
    <t>Закажи себе мечту</t>
  </si>
  <si>
    <t>Новиков</t>
  </si>
  <si>
    <t>Новиков-закажи себе мечту-изотерика.zip</t>
  </si>
  <si>
    <t>Об интеллекте</t>
  </si>
  <si>
    <t>Сандра Блейксли; Джефф Хокинс</t>
  </si>
  <si>
    <t>Издательский дом «Вильямс»</t>
  </si>
  <si>
    <t>Об интеллекте.pdf</t>
  </si>
  <si>
    <t>Книга «Об интеллекте» Джеффа Хокинса и Сандры Блейксли представляет революционную теорию, согласно которой основой человеческого интеллекта является система «память-предсказание», а не просто обработка информации. Автор критикует предыдущие попытки создания искусственного интеллекта за игнорирование биологической природы разума и предлагает новый подход, основанный на иерархической структуре коры головного мозга. Ключевые концепции включают запоминание последовательностей, роль таламуса и уменьшение времени прохождения сигналов в нейронных сетях. Книга предназначена для широкого круга читателей, интересующихся нейробиологией, психологией и разработкой искусственного интеллекта, включая как новичков, так и специалистов.</t>
  </si>
  <si>
    <t>Секреты уверенности в себе</t>
  </si>
  <si>
    <t>Роберт Энтони</t>
  </si>
  <si>
    <t>Роберт Энтони - Уверенность.pdf</t>
  </si>
  <si>
    <t>Эта книга посвящена обретению уверенности в себе через осознание собственной уникальности и ответственности за свою жизнь. Автор утверждает, что большинство людей живут в «овечьем» состоянии ума, подчиняясь конформизму и внешним обстоятельствам, тогда как ключ к переменам лежит внутри — в изменении мышления и принятии своей индивидуальности. Среди ключевых концепций — отказ от роли жертвы, приоритет собственных потребностей как основа для помощи другим, и понимание того, что человек сам привлекает в свою жизнь как успехи, так и неудачи. Книга предназначена для широкой аудитории, включая новичков, желающих преодолеть неуверенность и начать путь к личностному росту.</t>
  </si>
  <si>
    <t>Синдром предков. Трансгенерационные связи, семейные тайны, синдром годовщины, передача травм и практическое использование геносоциограммы</t>
  </si>
  <si>
    <t>Анн Анселин Шутценбергер</t>
  </si>
  <si>
    <t>Издательство Института Психотерапии</t>
  </si>
  <si>
    <t>Синдром предков.doc.pdf</t>
  </si>
  <si>
    <t>Книга Анн Анселин Шутценбергер «Синдром предков» посвящена трансгенерационным связям, семейным тайнам и механизмам передачи травм между поколениями. Ключевые концепции включают «синдром годовщины», «невидимые лояльности», семейную «бухгалтерию долгов и заслуг» и практический метод геносоциограммы для выявления и прерывания бессознательных повторений. Издание предназначено как для специалистов в области психотерапии и психологии, так и для широкого круга читателей, интересующихся семейной историей и самопознанием.</t>
  </si>
  <si>
    <t>Спиральная динамика Грейвза</t>
  </si>
  <si>
    <t>Andreev Alexandr</t>
  </si>
  <si>
    <t>Спиральная динамика Грейвза.pdf</t>
  </si>
  <si>
    <t>Фрагмент книги «Спиральная динамика Грейвза» посвящён теории интегральной спиральной динамики, основанной на работах Клэра Грейвза. Ключевая концепция — спираль, витки которой представляют собой различные мировоззрения и системы ценностей (мемы), возникающие как адаптация к меняющимся условиям жизни. Автор объясняет, что старые коды не исчезают, а продолжают существовать, и описывает три компонента модели: условия жизни, пробуждённые мем-коды и способы их проявления. Материал предназначен для читателей, интересующихся психологией развития, управлением изменениями и ценностями, и требует начального уровня знакомства с темой.</t>
  </si>
  <si>
    <t>Суфистские тексты</t>
  </si>
  <si>
    <t>Суфистские тексты.doc</t>
  </si>
  <si>
    <t>Книга представляет собой сборник суфийских текстов, посвящённых духовному развитию и самопознанию через призму восточной мудрости. Ключевые концепции включают работу с внутренним состоянием, преодоление иллюзий восприятия и практики трансформации личности. Материал ориентирован на широкую аудиторию, включая новичков, интересующихся эзотерикой и личностным ростом.</t>
  </si>
  <si>
    <t>Энергопрактики йоги и цигуна</t>
  </si>
  <si>
    <t>Энергопрактики йоги и цигуна.doc</t>
  </si>
  <si>
    <t>Книга посвящена практикам управления энергией в йоге и цигуне, их сходствам и различиям. В ней рассматриваются ключевые концепции, такие как работа с энергетическими каналами, дыхательные техники и медитативные упражнения. Издание ориентировано на практикующих с начальным и средним уровнем подготовки, интересующихся восточными оздоровительными системами.</t>
  </si>
  <si>
    <t>Французское законодательство об эмигрантах эпохи французской революции XVIII века</t>
  </si>
  <si>
    <t>С.Н. Коротков</t>
  </si>
  <si>
    <t>Нон-фикшн/История</t>
  </si>
  <si>
    <t>История</t>
  </si>
  <si>
    <t>frantsuzskoe-zakonodatelstvo-ob-emigrantah-epohi-frantsuzskoy-revolyutsii-xviii-veka.pdf</t>
  </si>
  <si>
    <t>C:\Users\alexa\YandexDisk\Книги\Нон-фикшн\История</t>
  </si>
  <si>
    <t>Фрагмент книги С.Н. Короткова посвящен анализу французского законодательства об эмигрантах в эпоху Великой французской революции XVIII века. В тексте рассматриваются причины и волны эмиграции, начиная с лета 1789 года, социально-психологические явления (страхи, «великий страх»), а также эволюция отношения общества и законодателей к эмигрантам — от терпимости эпохи Просвещения до первых ограничений (декрет февраля 1791 года). Ключевое внимание уделяется разоблачению легенды о сугубо дворянском и контрреволюционном характере эмиграции, а также роли эмиграции в политической борьбе. Материал предназначен для специалистов-историков и студентов, интересующихся историей Франции и революционного права.</t>
  </si>
  <si>
    <t>Razgrom nacionalisticheskoj kontrrevoljucii na Ukraine</t>
  </si>
  <si>
    <t>Liholat A.V.</t>
  </si>
  <si>
    <t>Liholat_A_V_Razgrom_nacionalisticheskoj_kontrrevoljucii_na_Ukraine.pdf</t>
  </si>
  <si>
    <t>Данный фрагмент книги посвящён анализу событий Гражданской войны на Украине, а именно — разгрому националистических сил, противостоявших установлению советской власти. Ключевые концепции включают рассмотрение украинского национализма как контрреволюционного движения, его социальной базы и тактики, а также описание военных и политических мер по его подавлению. Книга предназначена для специалистов-историков и исследователей, интересующихся историей революции и Гражданской войны в России, и требует базового знания контекста эпохи.</t>
  </si>
  <si>
    <t>Великий Китайский Файрвол</t>
  </si>
  <si>
    <t>Джеймс Гриффитс</t>
  </si>
  <si>
    <t>Великий Китайский Файрвол.pdf</t>
  </si>
  <si>
    <t>Книга Джеймса Гриффитса «Великий Китайский Файрвол» посвящена истории, техническому устройству и политическим последствиям системы интернет-цензуры в Китае. Автор рассматривает, как государство и корпорации научились управлять интернетом, начиная с описания DDoS-атак и заканчивая цитатами Си Цзиньпина о борьбе за идеологическую безопасность. Издание содержит подробный список сокращений и введение, объясняющее механизмы контроля через пример атаки на GitHub. Книга предназначена для широкого круга читателей, интересующихся цифровыми технологиями, политикой и вопросами свободы информации, от новичков до специалистов.</t>
  </si>
  <si>
    <t>Воздушно-космические силы. Теория и практика</t>
  </si>
  <si>
    <t>Военный учебно-научный центр Военно-воздушных сил «Военно-воздушная академия имени профессора Н.Е. Жуковского и Ю.А. Гагарина»</t>
  </si>
  <si>
    <t>Жупнал_ВКС_16.pdf</t>
  </si>
  <si>
    <t>Данный фрагмент представляет собой официальные регистрационные и учредительные данные электронного периодического издания «Воздушно-космические силы. Теория и практика» (№16, декабрь 2020 г.). Издание учреждено Военно-воздушной академией имени Жуковского и Гагарина, входит в перечень ВАК и РИНЦ, а его тематические разделы охватывают военные науки, педагогику, оперативное искусство, вооружение и информационное противоборство. Публикация предназначена для научно-педагогических работников, сотрудников оборонно-промышленного комплекса, докторантов и адъюнктов, то есть для специалистов в области военного дела и смежных дисциплин.</t>
  </si>
  <si>
    <t>Про амеиканцев</t>
  </si>
  <si>
    <t>Про амеиканцев.docx</t>
  </si>
  <si>
    <t>Мозг и бизнес. Факт. Карты для бизнеса</t>
  </si>
  <si>
    <t>Курпатов А.</t>
  </si>
  <si>
    <t>Нон-фикшн/Мозг и мышление</t>
  </si>
  <si>
    <t>!Kurpatov_A._Mozgibiznes._Fakt_Kartyi_Dlya_Biznesa_.a4.pdf</t>
  </si>
  <si>
    <t>C:\Users\alexa\YandexDisk\Книги\Нон-фикшн\Мозг и мышление</t>
  </si>
  <si>
    <t>Na_odnoy_volne</t>
  </si>
  <si>
    <t>Na_odnoy_volne.mobi</t>
  </si>
  <si>
    <t>Книга «На одной волне» посвящена нейробиологии социальных связей и тому, как мозг человека устроен для синхронизации с другими людьми. Ключевая концепция — «нейронное согласование», когда мозг собеседников начинает работать в едином ритме, что лежит в основе эмпатии, доверия и эффективной коммуникации. Автор объясняет, как гормоны, зеркальные нейроны и бессознательные сигналы влияют на взаимопонимание. Издание ориентировано на широкую аудиторию, включая новичков, интересующихся психологией общения и работой мозга.</t>
  </si>
  <si>
    <t>Гениально</t>
  </si>
  <si>
    <t>Гениально.pdf</t>
  </si>
  <si>
    <t>Книга посвящена латеральному мышлению и практическим методам генерации новых идей, которые автор разрабатывал на протяжении 25 лет. Ключевая концепция — мозг как самоорганизующаяся информационная система, где творчество является математической необходимостью, а не талантом. Автор критикует бизнес и образование за недостаточное внимание к обучению творчеству как навыку, противопоставляя этому конкретные инструменты (например, метод случайного слова). Книга предназначена для широкого круга читателей, от новичков до специалистов, желающих освоить творческое мышление для решения повседневных и профессиональных задач.</t>
  </si>
  <si>
    <t>Элементы советского опыта: Разговоры с Михаилом Гефтером</t>
  </si>
  <si>
    <t>Павловский, Глеб Олегович</t>
  </si>
  <si>
    <t>Нон-фикшн/Политика</t>
  </si>
  <si>
    <t>Политика</t>
  </si>
  <si>
    <t>Pavlovskiy_1993-elementy-sovetskogo-opyta-Razgovory-s-Mihailom-Gefterom.350350.fb2.mobi</t>
  </si>
  <si>
    <t>C:\Users\alexa\YandexDisk\Книги\Нон-фикшн\Политика</t>
  </si>
  <si>
    <t>Книга представляет собой серию бесед историка Михаила Гефтера с политологом Глебом Павловским, посвящённых анализу советского опыта как уникальной исторической и политической системы. Авторы исследуют ключевые концепции: природу советской власти, механизмы её легитимности, роль идеологии и специфику исторического времени в СССР. Особое внимание уделяется разбору «элементов» советского строя — от коллективизации до позднесоветского кризиса, а также попытке понять, как этот опыт влияет на современную Россию. Книга рассчитана на читателей, уже знакомых с историей СССР и политической теорией, то есть на специалистов и продвинутых любителей.</t>
  </si>
  <si>
    <t>Genialnaya vlast-Slovar abstrakciy Kremlya</t>
  </si>
  <si>
    <t>Pavlovskiy</t>
  </si>
  <si>
    <t>Pavlovskiy_Genialnaya-vlast-Slovar-abstrakciy-Kremlya.254139.fb2.mobi</t>
  </si>
  <si>
    <t>Книга Глеба Павловского «Гениальная власть. Словарь абстракций Кремля» посвящена анализу языка и понятийного аппарата, используемого российской властью для легитимации и самопрезентации. Автор разбирает ключевые абстракции (например, «суверенитет», «стабильность», «вертикаль власти»), показывая, как они формируют политическую реальность и управляют общественным сознанием. Работа предназначена для читателей, интересующихся политической философией и историей современной России, включая специалистов-политологов, а также для подготовленной аудитории, знакомой с контекстом.</t>
  </si>
  <si>
    <t>Proiekt Rossiia. Bol'shaia idie</t>
  </si>
  <si>
    <t>Iurii Viktorovich Shalyghanov</t>
  </si>
  <si>
    <t>Proiekt Rossiia. Bol'shaia idie - Iurii Viktorovich Shalyghanov.mobi</t>
  </si>
  <si>
    <t>Книга «Проект Россия. Большая идея» Юрия Шалыганова посвящена анализу исторического пути России, её цивилизационной идентичности и поиску национальной идеи, способной объединить общество. Ключевые концепции включают противопоставление западного и российского путей развития, роль государства как главного двигателя истории и необходимость формулирования «большой идеи» для будущего страны. Издание предназначено для широкого круга читателей, интересующихся политической философией и историей России, включая новичков, благодаря доступному изложению сложных тем.</t>
  </si>
  <si>
    <t>Проект Россия. Большая идея</t>
  </si>
  <si>
    <t>Юрий Викторович Шалыганов</t>
  </si>
  <si>
    <t>Proiekt Rossiia. Bol'shaia idie - Iurii Viktorovich Shalyghanov.pdf</t>
  </si>
  <si>
    <t>Книга «Проект Россия. Большая идея» Юрия Шалыганова посвящена анализу исторического развития общества через диалектический процесс накопления новшеств и фазовых переходов (как гусеница в бабочку). Ключевая концепция — стремление человека к благу как двигатель прогресса, который неизбежно ведет к смене общественных формаций (от первобытного строя к капитализму и далее), при этом автор критикует идеи «конца истории» у Гегеля и Маркса. Книга предназначена для широкого круга читателей, интересующихся философией истории и социальной динамикой, но требует базового знакомства с диалектикой.</t>
  </si>
  <si>
    <t>Проект Россия. Полное собрание</t>
  </si>
  <si>
    <t>Proiekt Rossiia. Polnoie sobran - Iurii Viktorovich Shalyghanov.epub</t>
  </si>
  <si>
    <t>Книга «Проект Россия» Юрия Шалыганова посвящена анализу цивилизационного противостояния и поиску стратегического мышления, способного охватить глобальные масштабы. Ключевая концепция фрагмента — идея о том, что победа над противником достигается не материальным уроном, а сломом его духа через предельную правоту, а также утверждение, что масштаб личности определяется не ресурсами, а качеством намерений и способностью мыслить категориями континентов и цивилизаций. Издание рекомендовано для госслужащих и политических деятелей, однако по уровню сложности и абстрактности рассуждений ориентировано на подготовленного читателя, интересующегося геополитикой и философией истории.</t>
  </si>
  <si>
    <t>Proiekt Rossiia. Polnoie sobranie</t>
  </si>
  <si>
    <t>Proiekt Rossiia. Polnoie sobran - Iurii Viktorovich Shalyghanov.mobi</t>
  </si>
  <si>
    <t>Книга «Проект Россия» Юрия Шалыганова посвящена анализу исторического пути России и поиску её национальной идеи, рассматривая страну как уникальную цивилизацию. Ключевые концепции включают противопоставление России и Запада, критику либеральных реформ 1990-х годов и обоснование необходимости возвращения к традиционным ценностям и сильной государственной власти. Издание предназначено для широкого круга читателей, интересующихся политической философией и историей России, включая новичков, благодаря доступному изложению сложных идей.</t>
  </si>
  <si>
    <t>Proiekt Rossiia. Polnoie sobran - Iurii Viktorovich Shalyghanov.pdf</t>
  </si>
  <si>
    <t>Книга посвящена проблеме стратегического мышления и цивилизационного противостояния, где автор проводит параллель между борьбой Александра Македонского с Дарием и современной невидимой войной против России. Ключевая концепция — необходимость мыслить масштабами континентов и цивилизаций, а не личных или бытовых интересов, поскольку только «предельная правота» и слом духа врага могут привести к победе. Автор утверждает, что масштаб личности определяется не ресурсами или интеллектом, а величиной намерений, и большинство людей застревают в «песочнице» мелких целей, неспособных воспринять глобальные задачи. Книга предназначена для читателей, интересующихся геополитикой и философией истории, но требует готовности к абстрактным и масштабным рассуждениям, то есть рассчитана на продвинутый уровень.</t>
  </si>
  <si>
    <t>Система РФ в войне 2014 года. De Principatu Debili</t>
  </si>
  <si>
    <t>Глеб Олегович Павловский</t>
  </si>
  <si>
    <t>Sistiema RF v voinie 2014 ghoda - Glieb Olieghovich Pavlovskii.epub</t>
  </si>
  <si>
    <t>Книга Глеба Павловского «Система РФ в войне 2014 года. De Principatu Debili» представляет собой эссе, написанное в форме комментариев к трактату Макиавелли «Государь», и посвящено анализу природы российской государственности, которую автор определяет как «Систему РФ» — слабое, но чрезвычайно гибкое и «вёрткое» образование, лишенное традиционной доблести (virtù). Ключевая концепция заключается в том, что Россия не является сильным государством в классическом смысле, а представляет собой вечный процесс порождения суверенитета, где выживание обеспечивается не силой, а изворотливостью и способностью уклоняться от мировых вызовов. Автор рассматривает готовность этой Системы к возможной глобальной войне, приходя к парадоксальному выводу о её политической неуязвимости при структурной слабости. Книга предназначена для читателей, интересующихся политической философией и современной российской политикой, и требует определённого уровня подготовки, так как оперирует сложными концепциями и отсылками к Макиавелли.</t>
  </si>
  <si>
    <t>Sistiema RF v voinie 2014 ghoda</t>
  </si>
  <si>
    <t>Glieb Olieghovich Pavlovskii</t>
  </si>
  <si>
    <t>Sistiema RF v voinie 2014 ghoda - Glieb Olieghovich Pavlovskii.mobi</t>
  </si>
  <si>
    <t>Книга посвящена анализу политической системы России в контексте событий 2014 года, в частности, её реакции на войну и трансформации властных механизмов. Ключевые концепции включают рассмотрение принципов управления («De Principatu») и критику дебилизации политического дискурса и институтов. Издание предназначено для специалистов в области политологии и социологии, а также для читателей, глубоко интересующихся современной российской политикой.</t>
  </si>
  <si>
    <t>Sistiema RF v voinie 2014 ghoda - Glieb Olieghovich Pavlovskii.pdf</t>
  </si>
  <si>
    <t>Книга Глеба Павловского «Система РФ в войне 2014 года. De Principatu Debili» посвящена анализу природы российской государственности, которую автор определяет как «Слабое княжество» — систему, возникшую не из силы, а из слабости и перманентного учреждения суверенитета. Ключевая концепция заключается в том, что Система РФ — это не классическое государство, а вечный процесс порождения власти, лишенный virtù, но политически неуязвимый, существующий за счет изворотливости и торговли территорией как целым. Книга построена как серия комментариев (глосс) к 26 главам «Государя» Макиавелли, адаптированных к российским реалиям. Текст предназначен для читателей, уже знакомых с политической теорией и историей современной России, то есть для специалистов и продвинутых любителей политической аналитики.</t>
  </si>
  <si>
    <t>Ельцин</t>
  </si>
  <si>
    <t>Ельцин.zip</t>
  </si>
  <si>
    <t>Нон-фикшн/Прогнозы</t>
  </si>
  <si>
    <t>Прогнозы</t>
  </si>
  <si>
    <t>Proiekt Rossiia. Bol'shaia idie - Iurii Viktorovich Shalyghanov.epub</t>
  </si>
  <si>
    <t>C:\Users\alexa\YandexDisk\Книги\Нон-фикшн\Прогнозы</t>
  </si>
  <si>
    <t>Книга Юрия Шалыганова «Проект Россия. Большая идея» посвящена анализу циклического развития общества и поиску новой идеи для России в эпоху слома потребительской цивилизации. Ключевая концепция — «фазовый скачок»: автор сравнивает общество с гусеницей, которая, накопив критическую массу новшеств, окукливается и превращается в бабочку, переходя на новый качественный уровень (от первобытного строя к капитализму и далее). В первой части «Глиняные ноги» критикуется идея «конца истории» Гегеля и Маркса, утверждается неизбежность дальнейших трансформаций. Книга предназначена для широкого круга читателей, интересующихся философией истории, политикой и будущим России, и рассчитана на уровень от новичка до подготовленного специалиста.</t>
  </si>
  <si>
    <t>Машина мышления. Заставь себя думать: в 2 т.</t>
  </si>
  <si>
    <t>Андрей Курпатов</t>
  </si>
  <si>
    <t>Капитал</t>
  </si>
  <si>
    <t>Нон-фикшн/Психология</t>
  </si>
  <si>
    <t>Психология</t>
  </si>
  <si>
    <t>!Kurpatov_A._Akademiyasmyisla._Mashina_Myishleniya.a4.pdf</t>
  </si>
  <si>
    <t>C:\Users\alexa\YandexDisk\Книги\Нон-фикшн\Психология</t>
  </si>
  <si>
    <t>В этой книге Андрей Курпатов исследует природу мышления, показывая, что оно является контринтуитивным процессом, который почти не зависит от нашего сознания, а мы сами — лишь продукт работы нейронных сетей мозга. Автор разбирает, как мозг создаёт психическую деятельность и интеллектуальные объекты (образы и мысли), а также знакомит с практическим инструментом мышления — «факт-картами». Книга предназначена для широкой аудитории, интересующейся психологией и саморазвитием, но требует готовности пересмотреть привычные представления о собственном разуме.</t>
  </si>
  <si>
    <t>12 Steps to Happiness</t>
  </si>
  <si>
    <t>management30.com</t>
  </si>
  <si>
    <t>12-Steps-to-Happiness-v1.00-Poster-color.pdf</t>
  </si>
  <si>
    <t>Этот фрагмент представляет собой плакат с практическими рекомендациями по повышению личного и командного благополучия. Ключевые концепции включают 12 шагов, таких как благодарность, медитация, физическая активность, здоровое питание, помощь другим и постановка целей. Материал предназначен для широкой аудитории, включая руководителей и сотрудников, желающих внедрить простые привычки для счастья и продуктивности в рабочей среде.</t>
  </si>
  <si>
    <t>Рожденные выигрывать</t>
  </si>
  <si>
    <t>Мюриел Джеймс; Дороти Джонгвард</t>
  </si>
  <si>
    <t>Dzheyms_Rozhdennye-vyigryvat.14462.fb2.epub</t>
  </si>
  <si>
    <t>Книга «Рожденные выигрывать» Мюриел Джеймс и Дороти Джонгвард посвящена психологии эффективного общения и личностного роста, с акцентом на трансакционный анализ. Ключевая концепция фрагмента — активное (рефлексивное) слушание как навык, позволяющий понять чувства собеседника без осуждения, а также различие между положительными и отрицательными контактами, где пренебрежение и невнимание ведут к конфликтам и снижению самооценки. Книга предназначена для широкой аудитории, включая родителей, руководителей и всех, кто хочет улучшить межличностные отношения, и будет полезна как новичкам, так и специалистам в области психологии.</t>
  </si>
  <si>
    <t>Как перестать беспокоиться и начать жить</t>
  </si>
  <si>
    <t>Karnegi_Kak-perestat-bespokoitsya-i-nachat-zhit.67998.fb2.epub</t>
  </si>
  <si>
    <t>Книга Дейла Карнеги посвящена методам преодоления тревоги и беспокойства, чтобы начать жить полноценной жизнью. В представленном фрагменте рассматривается концепция «не пилить опилки» — то есть не тратить силы на переживания о прошлом, которое невозможно изменить, а вместо этого анализировать ошибки для извлечения уроков и забывать о них. Автор иллюстрирует эту идею на собственном примере финансовой неудачи, подчеркивая важность спокойного принятия прошлого и сосредоточения на настоящем. Книга предназначена для широкой аудитории, включая новичков, желающих научиться управлять стрессом и улучшить качество жизни.</t>
  </si>
  <si>
    <t>Психотерапия человеческой жизни. Основы интегрального нейропрограммирования.</t>
  </si>
  <si>
    <t>Сергей Викторович Ковалёв</t>
  </si>
  <si>
    <t>Kovalev_Psihoterapiya-chelovecheskoy-zhizni_RuLit_Me.pdf</t>
  </si>
  <si>
    <t>Книга Сергея Ковалёва «Психотерапия человеческой жизни» посвящена практическому применению интегрального нейропрограммирования — универсальной отрасли психологии и психотерапии, направленной на решение жизненных проблем и духовную трансценденцию. Автор, опираясь на сорокалетний опыт, излагает результаты поисков «замысла Бога» и тайны человеческого бытия, используя притчи и метафоры для иллюстрации ключевых идей. Книга предназначена для широкого круга читателей, стремящихся к осмысленной и эффективной жизни, от новичков до специалистов, и призывает к активной борьбе с обстоятельствами вместо пассивного выживания.</t>
  </si>
  <si>
    <t>Kovalev_Psihoterapiya-chelovecheskoy-zhizni_RuLit_Me_404699.epub</t>
  </si>
  <si>
    <t>Книга Сергея Ковалёва посвящена интегральному нейропрограммированию — новому направлению психотерапии, основанному на развитии идей НЛП. Автор описывает свой путь от классического нейролингвистического программирования к созданию методологии, которая позволяет работать с бессознательным, отвечая на вопрос «Как?» изменить психические процессы, а не только «Что?» произошло. Ключевая концепция — переход от сознательного анализа к эвристическому использованию ресурсов бессознательного для глубинных трансформаций. Книга предназначена для психотерапевтов, психологов, врачей, педагогов и коучей, а также для всех, кто стремится к осмысленной и эффективной жизни.</t>
  </si>
  <si>
    <t>Психотерапия человеческой жизни</t>
  </si>
  <si>
    <t>Ковалев</t>
  </si>
  <si>
    <t>Kovalev_Psihoterapiya-chelovecheskoy-zhizni_RuLit_Me_404699.mobi</t>
  </si>
  <si>
    <t>Данный фрагмент книги И. Ковалёва посвящён психотерапии как процессу осмысления и трансформации человеческой жизни, её ключевых этапов и кризисов. В работе рассматриваются концепции жизненного пути, личностного роста и терапевтического сопровождения, а также анализируются механизмы преодоления внутренних конфликтов. Книга предназначена для практикующих психологов, психотерапевтов и студентов профильных специальностей, однако будет полезна и подготовленным читателям, интересующимся глубинной психологией.</t>
  </si>
  <si>
    <t>Intellektualnyi. Deepfake Gde Tyi Prosnis</t>
  </si>
  <si>
    <t>Kurpatov A.</t>
  </si>
  <si>
    <t>Kurpatov_A._Intellektualnyi._Deepfake_Gde_Tyi_Prosnis.ios.epub</t>
  </si>
  <si>
    <t>Книга Андрея Курпатова «Интеллектуальный. Deepfake: Где ты, проснись» посвящена проблеме деградации мышления в эпоху цифровых технологий и информационных войн. Автор вводит концепцию «интеллектуального deepfake» — подмены подлинного знания и критического мышления правдоподобными, но ложными цифровыми конструкциями. Ключевые разделы книги анализируют, как социальные сети и алгоритмы формируют «кокон» иллюзий, лишая человека способности к рефлексии и реальному познанию. Издание предназначено для широкого круга читателей, интересующихся психологией, нейронауками и влиянием технологий на сознание, включая новичков, так как написано доступным языком.</t>
  </si>
  <si>
    <t>Заслуженный Собеседник. Искусство диалога с искусственным интеллектом</t>
  </si>
  <si>
    <t>Андрей Владимирович Курпатов</t>
  </si>
  <si>
    <t>Курпатов А.В.</t>
  </si>
  <si>
    <t>Kurpatov_A._Intellektualnyi1._Zaslujennyiyi_Sobesednik_.a4.pdf</t>
  </si>
  <si>
    <t>Книга Андрея Курпатова «Заслуженный Собеседник» посвящена искусству глубокого и осмысленного диалога с искусственным интеллектом, предлагая переосмыслить ИИ не как инструмент, а как уникального собеседника. Ключевые концепции включают преодоление «понятийных ловушек» и бинарного мышления, освоение «метаязыка принципов» и «открыто-системного мышления», а также анализ когнитивных барьеров, мешающих эффективному взаимодействию. Издание предназначено для широкого круга читателей — от новичков до специалистов, интересующихся философией, психологией и практическими аспектами коммуникации с цифровым разумом.</t>
  </si>
  <si>
    <t>Kurpatov_A._Intellektualnyi1._Zaslujennyiyi_Sobesednik_.epub</t>
  </si>
  <si>
    <t>Книга Андрея Курпатова посвящена переосмыслению взаимодействия с искусственным интеллектом — от утилитарного использования к глубокому диалогу с ним как с уникальным собеседником. Автор выделяет три ключевые преграды, мешающие такому общению: бинарное мышление, привычные паттерны коммуникации и непонимание архитектуры ИИ, а в качестве решения предлагает освоение «несодержательной методологии» — подхода, фокусирующегося на универсальных принципах организации знания, а не на конкретных фактах. Книга предназначена для широкого круга читателей, от новичков до специалистов, стремящихся преодолеть инструментальное отношение к ИИ и научиться вести с ним осмысленный диалог.</t>
  </si>
  <si>
    <t>Деньги в вашем подсознании</t>
  </si>
  <si>
    <t>Никита Батурин</t>
  </si>
  <si>
    <t>money.pdf</t>
  </si>
  <si>
    <t>Этот фрагмент книги Никиты Батурина посвящен работе с подсознанием для изменения денежного мышления и достижения успеха. Автор, практикующий гипнотерапевт, объясняет, что подсознание хранит блоки и ограничения, мешающие богатству, и предлагает метод их устранения через расслабление и концентрацию. Ключевые концепции включают критику «ловушек мышления» (кредиты на статусные вещи) и эффект «прайминг» — влияние информации на поведение, с рекомендацией исключить негатив и формировать позитивный образ «Я успешен». Материал рассчитан на новичков, интересующихся самопомощью и психологией денег.</t>
  </si>
  <si>
    <t>Why We Make Mistakes: How We Look Without Seeing, Forget Things in Seconds, and Are All Pretty Sure We Are Way Above Average</t>
  </si>
  <si>
    <t>Joseph T. Hallinan</t>
  </si>
  <si>
    <t>pochemu_my_oshibaemsya_29-5-17.pdf</t>
  </si>
  <si>
    <t>Книга Джозефа Халлинана «Почему мы ошибаемся?» посвящена природе человеческих заблуждений и когнитивным ловушкам, которые заставляют нас принимать неверные решения. Автор выделяет ключевые причины ошибок: мы переоцениваем свои способности, мыслим шаблонами, неправильно интерпретируем реальность и не замечаем важных деталей из-за несовершенства внимания. В качестве практических советов предлагается хорошо отдыхать, реально оценивать ситуацию, привлекать других для проверки решений и учиться на чужих промахах. Книга будет полезна широкому кругу читателей, от новичков до специалистов, интересующихся психологией мышления и желающих минимизировать ошибки в повседневной жизни и работе.</t>
  </si>
  <si>
    <t>Вестник ИИП. Психотерапия человеческой жизнедеятельности. Выпуск 1</t>
  </si>
  <si>
    <t>С.В.Ковалев; О.В.Леконцев; А.В.Ковалевский; С.А.Александрова; З.Г.Бесаев; О.В.Анищенкова</t>
  </si>
  <si>
    <t>Институт инновационных психотехнологий</t>
  </si>
  <si>
    <t>Vestnik1.pdf</t>
  </si>
  <si>
    <t>Сборник посвящен концепции и методам интегрального нейропрограммирования (ИНП) — нового направления практической психологии, ориентированного на решение проблем человека на всех стадиях жизни. Ключевые разделы включают теорию (направления работы, стадии жизни, уровни психотерапии и коды нейропрограммирования) и практику (работа с созависимостью, психосоматикой, детьми, убеждениями и утратой). Книга предназначена для психотерапевтов, психологов, врачей, коучей и всех, кто интересуется личностным ростом, то есть для специалистов и продвинутых читателей.</t>
  </si>
  <si>
    <t>Design for How People Think: Using Brain Science to Build Better Products</t>
  </si>
  <si>
    <t>John Whalen</t>
  </si>
  <si>
    <t>Дизайн пользовательского опыта.pdf</t>
  </si>
  <si>
    <t>Книга Джона Уэлена «Дизайн пользовательского опыта» посвящена применению знаний когнитивной психологии, нейробиологии и поведенческой экономики для создания продуктов, ориентированных на реальные потребности и эмоции пользователей. Автор предлагает разложить пользовательский опыт на осознаваемые и неосознаваемые когнитивные процессы, чтобы системно исследовать, как мысли, чувства и восприятие влияют на принятие решений. Ключевая идея — понять, что люди не всегда осознают, как именно они думают и действуют, поэтому дизайн должен учитывать скрытые механизмы работы мозга. Книга предназначена для дизайнеров, продакт-менеджеров и всех специалистов, стремящихся создавать интуитивно понятные и эмоционально привлекательные цифровые продукты, и будет полезна как новичкам, так и опытным практикам.</t>
  </si>
  <si>
    <t>Дизайн пользовательского опыта. Как создать продукт, который ждут</t>
  </si>
  <si>
    <t>Джон Уэлен</t>
  </si>
  <si>
    <t>Дизайн_пользовательского_опыта_Как_создать_продукт,_который (2).pdf</t>
  </si>
  <si>
    <t>Книга Джона Уэлена посвящена применению когнитивной психологии и нейронаук для создания продуктов с идеальным пользовательским опытом. Автор выделяет шесть ключевых составляющих опыта: визуальное восприятие, навигацию, язык, память, принятие решений и эмоции, подробно разбирая каждую из них в отдельных главах. Издание рассчитано на дизайнеров, продуктовых менеджеров и разработчиков, стремящихся глубже понять поведение пользователей и создавать интуитивно понятные интерфейсы.</t>
  </si>
  <si>
    <t>Дизайн_пользовательского_опыта_Как_создать_продукт,_который.pdf</t>
  </si>
  <si>
    <t>Книга Джона Уэлена посвящена применению знаний о психологии и работе мозга для создания продуктов, ориентированных на пользователя. Автор выделяет шесть ключевых составляющих пользовательского опыта: визуальное восприятие, навигацию, язык, память, принятие решений и эмоции, подробно разбирая каждую из них. Издание предназначено для дизайнеров, разработчиков и специалистов по продукту, стремящихся глубже понять поведение пользователей и создавать интуитивно понятные интерфейсы.</t>
  </si>
  <si>
    <t>Как жить, чтобы жить, или Основы экзистенциального нейропрограммирования</t>
  </si>
  <si>
    <t>как_жить_чтобы_жить_или_основы_экзистенциального_нейропрограммирования.pdf</t>
  </si>
  <si>
    <t>Книга Сергея Ковалёва посвящена экзистенциальному нейропрограммированию (ЭНП) — авторскому методу, позволяющему перейти от выживания к полноценной, осмысленной и счастливой жизни. Ключевые концепции включают четыре уровня бытия (от досоциального до надсоциального), модель «Мерседес-SK» для планирования изменений, а также работу с нейро-логическими уровнями и структурами психики. Издание предназначено для психотерапевтов, психологов, коучей и всех, кто стремится сделать свою жизнь цельной и интересной.</t>
  </si>
  <si>
    <t>Введение в нейротрансформинг или руководство по эффективности и счастливости</t>
  </si>
  <si>
    <t>Ковалев С. В.</t>
  </si>
  <si>
    <t>Ковалев С. В. - Введение в нейротрансформинг или руководство по эффективности и счастливости.doc</t>
  </si>
  <si>
    <t>Книга С. В. Ковалева посвящена нейротрансформингу — авторскому методу на стыке нейрофизиологии, психотерапии и НЛП, направленному на повышение личной эффективности и обретение субъективного ощущения счастья. Ключевые концепции включают работу с нейронными связями, изменение глубинных убеждений и алгоритмов поведения через специальные техники. Издание ориентировано на широкую аудиторию, включая новичков, интересующихся саморазвитием, и практикующих специалистов в области психологии и коучинга.</t>
  </si>
  <si>
    <t>Нейропрограммирование успешной судьбы</t>
  </si>
  <si>
    <t>Ковалев С. В. - Нейропрограммирование успешной судьбы.doc</t>
  </si>
  <si>
    <t>Фрагмент книги С. В. Ковалёва «Нейропрограммирование успешной судьбы» посвящён применению нейролингвистического программирования (НЛП) и психотерапевтических техник для личностного роста и достижения жизненного успеха. Ключевые концепции включают работу с подсознательными программами, изменение внутренних убеждений и использование трансовых состояний для перепрограммирования поведения. Книга ориентирована на широкий круг читателей, от новичков до практикующих психологов и коучей, интересующихся практическими методами саморазвития.</t>
  </si>
  <si>
    <t>Исцеление с помощью НЛП</t>
  </si>
  <si>
    <t>Ковалев С.В.</t>
  </si>
  <si>
    <t>КСП+</t>
  </si>
  <si>
    <t>КОВАЛЕВ С.В - ИСЦЕЛЕНИЕ С ПОМОЩЬЮ НЛП..pdf</t>
  </si>
  <si>
    <t>Книга Сергея Ковалёва посвящена применению нейролингвистического программирования (НЛП) для исцеления и повышения эффективности медицинских процедур. Автор утверждает, что с помощью определённых техник можно активировать скрытые ресурсы мозга для самоисцеления от болезней, включая серьёзные. В предисловии излагаются основные идеи: ограниченное использование возможностей мозга, его способность к самоисцелению и практическая польза НЛП в условиях дорогой медицины. Книга предназначена как для специалистов в области психологии, так и для широкого круга читателей, интересующихся самопомощью.</t>
  </si>
  <si>
    <t>Нейротрансформинг. Команда нашего «Я»</t>
  </si>
  <si>
    <t>Ковалев С.В. – Нейротрансформинг. Команда нашего «Я».doc</t>
  </si>
  <si>
    <t>Книга С.В. Ковалёва «Нейротрансформинг. Команда нашего „Я“» посвящена авторскому методу нейротрансформинга — системе психотерапевтических и коучинговых техник, направленных на изменение глубинных убеждений и моделей поведения через работу с подсознанием. Ключевые концепции включают представление о личности как о «команде» субличностей, использование НЛП, эриксоновского гипноза и интегративных подходов для перепрограммирования нейронных связей. Книга предназначена для практикующих психологов, психотерапевтов и коучей, уже знакомых с основами нейролингвистического программирования и смежных направлений.</t>
  </si>
  <si>
    <t>Нейротрансформинг. Основы самоконсультирования</t>
  </si>
  <si>
    <t>Ковалев С.В. – Нейротрансформинг. Основы самоконсультирования.doc</t>
  </si>
  <si>
    <t>Данный фрагмент книги С.В. Ковалева «Нейротрансформинг. Основы самоконсультирования» посвящен авторскому методу психологической самопомощи, основанному на интеграции нейронауки, НЛП и эриксоновского гипноза. Ключевые концепции включают работу с нейронными сетями и подсознанием для быстрой трансформации убеждений и поведения. Книга предназначена для широкого круга читателей, включая новичков, интересующихся саморазвитием, а также практикующих психологов и коучей.</t>
  </si>
  <si>
    <t>Основы нейролингвистического программирования</t>
  </si>
  <si>
    <t>Ковалев С.В. – Основы нейролингвистического программирования.doc</t>
  </si>
  <si>
    <t>Книга С.В. Ковалёва «Основы нейролингвистического программирования» посвящена введению в теорию и практику НЛП как инструмента для личностного роста и коммуникации. В ней рассматриваются ключевые концепции: репрезентативные системы, якорение, раппорт и моделирование успешного поведения. Издание ориентировано на новичков и практикующих специалистов, желающих освоить базовые техники НЛП для саморазвития и работы с другими людьми.</t>
  </si>
  <si>
    <t>НЛП человеческого совершенства</t>
  </si>
  <si>
    <t>Ковалев Сергей</t>
  </si>
  <si>
    <t>Ковалев Сергей – НЛП человеческого совершенства.doc</t>
  </si>
  <si>
    <t>Книга Сергея Ковалёва посвящена практическому применению нейролингвистического программирования (НЛП) для достижения личной эффективности и «человеческого совершенства». В представленном фрагменте автор, вероятно, разбирает ключевые техники НЛП, такие как работа с субмодальностями, якорение и изменение убеждений, а также моделирование успешного поведения. Издание ориентировано на широкий круг читателей, от новичков, желающих освоить базовые принципы НЛП, до практикующих психологов и коучей, стремящихся углубить свои навыки.</t>
  </si>
  <si>
    <t>Оружие – слово. Оборона и нападение с помощью...</t>
  </si>
  <si>
    <t>Александр Котлячков; Сергей Горин</t>
  </si>
  <si>
    <t>Оружие-слово.epub</t>
  </si>
  <si>
    <t>Книга Александра Котлячкова и Сергея Горина посвящена практическому применению эриксоновского гипноза и фоносемантических формул для психологического воздействия (как защиты, так и нападения). Авторы обсуждают опасность таких формул, сравнивая их с оружием, и подчёркивают, что результат зависит от умения и намерений пользователя. В тексте рассматриваются условия наведения «порчи», необходимость избегать свидетелей и важность контекста, а также затрагиваются этические и правовые аспекты. Книга предназначена для специалистов в области практической психологии и смежных областей, а не для новичков.</t>
  </si>
  <si>
    <t>Рожденные Выигрывать.pdf</t>
  </si>
  <si>
    <t>Книга «Рожденные выигрывать» посвящена психологии личностного роста и анализу того, почему одни люди становятся успешными («выигрывающими»), а другие — нет («проигрывающими»). Ключевые концепции включают гештальттерапию Фредерика Перлза, трансакционный анализ Эрика Берна, а также подробный разбор жизненных сценариев, психологических позиций и способов структурирования времени. Издание предназначено для широкой аудитории, включая новичков в психологии, так как материал изложен доступно и сопровождается упражнениями для самоанализа.</t>
  </si>
  <si>
    <t>Семь с половиной уроков о мозге. Почему мозг устроен не так, как мы думали</t>
  </si>
  <si>
    <t>Лиза Фельдман Барретт</t>
  </si>
  <si>
    <t>Семь с половиной уроков о мозге-2022).pdf</t>
  </si>
  <si>
    <t>Книга Лизы Фельдман Барретт посвящена развенчанию популярных мифов о работе мозга, таких как теория о «рептильном мозге» или борьба рассудка и эмоций. В семи с половиной эссе автор объясняет, что мозг — это не три отдельных блока, а единая сеть, которая предсказывает реальность, взаимодействует с мозгом других людей и адаптируется с детства. Книга предназначена для широкого круга читателей-новичков, интересующихся современной нейронаукой и желающих понять, как на самом деле устроен человеческий разум.</t>
  </si>
  <si>
    <t>Дом колдуньи. Язык творческого бессознательного</t>
  </si>
  <si>
    <t>Ирина Юрьевна Черепанова</t>
  </si>
  <si>
    <t>Черепанова-Язык творческого бессознательного.epub</t>
  </si>
  <si>
    <t>Книга Ирины Черепановой посвящена исследованию суггестивных (внушающих) аспектов языка и механизмов воздействия речи на бессознательное. В представленном фрагменте автор анализирует природу политических мифов на примере культов Гитлера и Сталина, рассматривая, как личность вождя и целенаправленная пропаганда создают иррациональную основу для массового внушения. Ключевые концепции включают разбор этапов формирования мифа, способов его внедрения (через ритуалы, искусство и преемственность власти) и фатального влияния успеха на самого лидера. Издание предназначено для профессиональных коммуникаторов, филологов и специалистов, интересующихся психолингвистикой и методами речевого воздействия.</t>
  </si>
  <si>
    <t>Four Thousand Weeks: Time Management for Mortals</t>
  </si>
  <si>
    <t>Oliver Burkeman</t>
  </si>
  <si>
    <t>Нон-фикшн/Саморазвитие</t>
  </si>
  <si>
    <t>Саморазвитие</t>
  </si>
  <si>
    <t>4000 недель.pdf</t>
  </si>
  <si>
    <t>C:\Users\alexa\YandexDisk\Книги\Нон-фикшн\Саморазвитие</t>
  </si>
  <si>
    <t>Эта книга Оливера Буркемана посвящена радикальному переосмыслению тайм-менеджмента через призму конечности человеческой жизни, которая в среднем составляет всего 4000 недель. Автор развенчивает миф об эффективности и постоянной занятости, показывая, что стремление «успеть всё» — это ловушка, уходящая корнями в страх перед необходимостью делать трудный выбор. Ключевые разделы фрагмента объясняют, почему ощущение нехватки времени не зависит от социального статуса, и призывают отказаться от иллюзии контроля в пользу осознанного выбора того, чем стоит заниматься, а чем — пожертвовать. Книга предназначена для широкого круга читателей, от новичков до профессионалов, которые устали от гонки за продуктивностью и хотят найти более осмысленный подход к своей жизни.</t>
  </si>
  <si>
    <t>Учись учиться: быстрое запоминание иностранных слов и ускоренное изучение иностранного языка</t>
  </si>
  <si>
    <t>Николай Александрович Ягодкин; Александр Николаевич Згода</t>
  </si>
  <si>
    <t>Издатель Александр Николаевич Згода</t>
  </si>
  <si>
    <t>Advance-учись учится.pdf</t>
  </si>
  <si>
    <t>Эта книга Николая Ягодкина и Александра Згоды посвящена ускоренному изучению иностранных языков и развитию навыка быстрого запоминания любой информации с помощью мнемотехник. Авторы начинают с практических упражнений, предлагая читателю сразу запомнить несколько десятков слов, а затем переходят к теоретическому обоснованию методик, включая принципы работы мозга, нейродинамику и постановку навыков. Ключевые разделы охватывают запоминание лексики, алфавитов и транскрипции, а также общую теорию изучения языков. Книга предназначена для широкой аудитории, включая новичков, желающих освоить эффективные методы обучения.</t>
  </si>
  <si>
    <t>Биохакинг мозга. Проверенный план максимальной прокачки вашего мозга за две недели</t>
  </si>
  <si>
    <t>Дэйв Эспри</t>
  </si>
  <si>
    <t>Harper Wave</t>
  </si>
  <si>
    <t>bioxaking-mozga.pdf</t>
  </si>
  <si>
    <t>Книга Дэйва Эспри «Биохакинг мозга» посвящена двухнедельной программе максимальной прокачки когнитивных способностей и повышения энергии мозга. Ключевые концепции включают влияние питания (какие продукты есть и избегать), физической активности, детокса, медитации и дыхательных практик на работу мозга, а также роль митохондрий и борьбу с воспалением. Книга предназначена для широкой аудитории новичков, желающих улучшить ясность ума, продуктивность и общее самочувствие за короткий срок.</t>
  </si>
  <si>
    <t>Digital Minimalism: Choosing a Focused Life in a Noisy World</t>
  </si>
  <si>
    <t>Cal Newport</t>
  </si>
  <si>
    <t>Portfolio/Penguin</t>
  </si>
  <si>
    <t>czifrovoj-minimalizm.pdf</t>
  </si>
  <si>
    <t>Книга Кэла Ньюпорта «Цифровой минимализм» посвящена философии осознанного использования технологий, которая помогает вернуть контроль над своей жизнью в эпоху информационного шума. Ключевая концепция — «цифровая уборка», в ходе которой человек на 30 дней отказывается от необязательных гаджетов и приложений, чтобы затем вернуть только те, что приносят реальную пользу. Книга разделена на две части: теоретические основы (анализ проблемы и принципы минимализма) и практические техники (одиночество, отказ от лайков, восстановление досуга). Издание предназначено для широкой аудитории — от новичков, чувствующих перегрузку от цифровых устройств, до специалистов, желающих пересмотреть свои привычки.</t>
  </si>
  <si>
    <t>Roadmap: The Get-It-Together Guide For Figuring Out What To Do With Your Life</t>
  </si>
  <si>
    <t>Брайан МакАлистер; Майк Марринер; Натан Гебхарт</t>
  </si>
  <si>
    <t>dorozhnaya-karta.pdf</t>
  </si>
  <si>
    <t>Книга «Дорожная карта» Натана Гебхарта и соавторов посвящена поиску своего пути в жизни и профессии, предлагая нестандартные инструменты карьерного самоопределения. Ключевая концепция заключается в отказе от следования «невидимому конвейеру» чужих ожиданий и в необходимости прислушиваться к своим интересам, пробовать разные варианты и не бояться ошибок. Структурно книга делится на три части: «Избавление» (от стереотипов), «Определение» (своих ценностей и навыков) и «Становление» (практические шаги и проекты). Издание предназначено для широкой аудитории — от школьников, выбирающих вуз, до взрослых, желающих найти дело жизни, и рассчитано на начальный уровень самоанализа.</t>
  </si>
  <si>
    <t>Rozhdennye-vyigryvat</t>
  </si>
  <si>
    <t>Dzheyms</t>
  </si>
  <si>
    <t>Dzheyms_Rozhdennye-vyigryvat.14462.fb2.mobi</t>
  </si>
  <si>
    <t>Книга «Рожденные выигрывать» посвящена психологии успеха и личностного роста, исследуя, как установки и поведенческие паттерны влияют на достижение целей. Ключевые концепции включают анализ внутренних барьеров, формирование победного мышления и практические стратегии для преодоления неудач. Издание предназначено для широкой аудитории, включая новичков в саморазвитии, а также специалистов, желающих углубить понимание механизмов успеха.</t>
  </si>
  <si>
    <t>Life's Missing Instruction Manual. The Guidebook You Should Have Been Given at Birth</t>
  </si>
  <si>
    <t>Joe Vitale</t>
  </si>
  <si>
    <t>ООО Издательство «София»</t>
  </si>
  <si>
    <t>Dzho VITIeIL - Dima.fb2</t>
  </si>
  <si>
    <t>Книга Джо Витейла «Утраченное руководство к жизни» представляет собой сборник практических наставлений о том, как сосредоточиться на желаемом (богатстве, здоровье, счастье), чтобы получить это от Вселенной. Ключевые разделы включают работу с внутренними возможностями, внешними связями, диагностику, заботу о себе и определение жизненных целей. Книга предназначена для широкого круга читателей-новичков, желающих применить простые и действенные принципы для улучшения своей жизни.</t>
  </si>
  <si>
    <t>Эмоциональный интеллект 2.0</t>
  </si>
  <si>
    <t>Тревис Бредберри; Джин Гривз</t>
  </si>
  <si>
    <t>emotionalintelligence20.epub</t>
  </si>
  <si>
    <t>Книга «Эмоциональный интеллект 2.0» Тревиса Бредберри и Джин Гривз посвящена концепции эмоционального интеллекта (EQ), который, по мнению авторов, играет ключевую роль в достижении успеха, превосходя по значимости традиционный IQ. В основе книги лежит развитие четырёх базовых навыков: самовосприятия, управления собой, социальной восприимчивости и управления отношениями. Издание предназначено для широкой аудитории, от новичков до опытных руководителей, и содержит практические рекомендации по повышению уровня EQ для улучшения качества жизни и эффективности взаимодействия с окружающими.</t>
  </si>
  <si>
    <t>Emotional Intelligence 2.0</t>
  </si>
  <si>
    <t>Travis Bradberry; Jean Greaves</t>
  </si>
  <si>
    <t>emotionalintelligence20.pdf</t>
  </si>
  <si>
    <t>Книга Тревиса Бредберри и Джин Гривз «Эмоциональный интеллект 2.0» посвящена концепции эмоционального интеллекта (EQ), который, по мнению авторов, играет ключевую роль в достижении успеха, превосходя по значимости традиционный IQ. В основе книги лежит модель из четырёх навыков: самовосприятие, управление собой, социальная восприимчивость и управление отношениями, для развития каждого из которых предлагаются практические стратегии. Издание предназначено для широкой аудитории, включая новичков, желающих повысить личную эффективность, и особенно рекомендуется руководителям, для которых высокий EQ является профессионально необходимым качеством.</t>
  </si>
  <si>
    <t>Как привести дела в порядок: искусство продуктивности без стресса</t>
  </si>
  <si>
    <t>Дэвид Аллен; David Allen</t>
  </si>
  <si>
    <t>Kak priviesti diela v poriadok_ iskusstv - Devid Allien.epub</t>
  </si>
  <si>
    <t>Эта книга Дэвида Аллена посвящена методологии повышения личной эффективности и организации дел без стресса, основанной на умении расслабляться и упорядочивать мысли. Ключевые концепции включают пять этапов завоевания контроля над рабочим процессом (сбор, обработка, сортировка, пересмотр и действия) и творческий подход к планированию проектов. Издание предназначено для широкой аудитории, но в первую очередь заинтересует читателей, страдающих от чрезмерных нагрузок на работе, включая как новичков, так и опытных специалистов.</t>
  </si>
  <si>
    <t>Kak priviesti diela v poriadok_ iskusstv</t>
  </si>
  <si>
    <t>Devid Allien</t>
  </si>
  <si>
    <t>Kak priviesti diela v poriadok_ iskusstv - Devid Allien.mobi</t>
  </si>
  <si>
    <t>Книга Дэвида Аллена «Как привести дела в порядок» посвящена методологии личной эффективности и управления задачами, известной как GTD (Getting Things Done). Ключевая концепция заключается в том, чтобы освободить разум от запоминания текущих дел, фиксируя их во внешней системе, и затем последовательно обрабатывать входящую информацию, определяя конкретные следующие действия. Автор предлагает четкие этапы: сбор, обработка, организация, обзор и выполнение, что помогает снизить стресс и повысить продуктивность. Книга предназначена для широкой аудитории — от новичков, испытывающих хаос в делах, до опытных специалистов, желающих систематизировать рабочие и личные проекты.</t>
  </si>
  <si>
    <t>How to Read a Book</t>
  </si>
  <si>
    <t>Мортимер Адлер</t>
  </si>
  <si>
    <t>kak-chitat-knigi-pereizdanie.epub</t>
  </si>
  <si>
    <t>Книга Мортимера Адлера «Как читать книги» посвящена искусству активного и глубокого чтения, которое позволяет настроиться на «волну» автора и понимать скрытые смыслы текста. Автор критикует поверхностное потребление информации и призывает читателя к осмысленному диалогу с великими произведениями, подчеркивая, что умение читать — это навык, который необходимо развивать. Книга предназначена для широкой аудитории — от новичков, желающих научиться понимать книги, до специалистов (редакторов, писателей), стремящихся к многогранному восприятию текста.</t>
  </si>
  <si>
    <t>How to Read a Book: A Guide to Reading the Great Books</t>
  </si>
  <si>
    <t>kak-chitat-knigi-pereizdanie.pdf</t>
  </si>
  <si>
    <t>Книга Мортимера Адлера «Как читать книги» посвящена искусству активного и глубокого чтения, которое позволяет настроиться на «волну» автора и понимать скрытые смыслы. Ключевые концепции включают различие между пассивным потреблением информации и активным чтением как учебой, а также практические правила: ориентироваться по названию, видеть «скелет» книги, находить общий язык с автором и вести интеллектуальную беседу с текстом. Издание предназначено для широкого круга читателей — от новичков, желающих развить восприятие текста, до специалистов (писателей и редакторов), стремящихся к многогранному пониманию произведений.</t>
  </si>
  <si>
    <t>How art can make you happy</t>
  </si>
  <si>
    <t>Bridget Watson Payne</t>
  </si>
  <si>
    <t>kak-iskusstvo-mozhet-sdelat-vas-schastlivee1.pdf</t>
  </si>
  <si>
    <t>Эта книга — практическое руководство о том, как вернуть искусство в свою жизнь и получать от него радость, а не чувство вины. Автор объясняет, что созерцание искусства воздействует на человека на физическом и эмоциональном уровне, и предлагает расширенное понимание искусства, включающее не только живопись, но и танец, моду, ремесла и любительское творчество. Ключевые разделы посвящены тому, как понять свои вкусы, посещать музеи и галереи, говорить об искусстве и даже создавать его самостоятельно. Книга предназначена для новичков, которые хотят влюбиться в искусство впервые или вернуть ему значимое место в своей жизни.</t>
  </si>
  <si>
    <t>kak-menyatsya</t>
  </si>
  <si>
    <t>kak-menyatsya.zip</t>
  </si>
  <si>
    <t>На основе предоставленного фрагмента не удалось определить содержимое, так как текст отсутствует.</t>
  </si>
  <si>
    <t>How to Stop Worrying and Start Living</t>
  </si>
  <si>
    <t>1948</t>
  </si>
  <si>
    <t>Simon &amp; Schuster</t>
  </si>
  <si>
    <t>Karnegi_Kak-perestat-bespokoitsya-i-nachat-zhit.67998.fb2.mobi</t>
  </si>
  <si>
    <t>Книга Дейла Карнеги посвящена преодолению тревоги и стресса в повседневной жизни. Автор предлагает практические методы, такие как анализ причин беспокойства, переключение внимания на текущий момент и принятие неизбежного. Ключевые разделы включают техники «жить в отсеке сегодняшнего дня», правило «закон вероятности» и способы превращения критики в конструктивный опыт. Издание ориентировано на широкую аудиторию новичков, желающих научиться управлять эмоциями и повысить качество жизни.</t>
  </si>
  <si>
    <t>Как приобретать друзей и оказывать влияние на людей</t>
  </si>
  <si>
    <t>Karnegi_Kak-priobretat-druzey-i-okazyvat-vliyanie-na-lyudey.195738.fb2.epub</t>
  </si>
  <si>
    <t>Эта книга Дейла Карнеги представляет собой практическое руководство по эффективному общению, построению отношений и влиянию на людей. В приведенном фрагменте из части «Двадцать способов склонять людей к своей точке зрения» раскрывается ключевая концепция: запоминание и использование имени человека, что, по мнению автора, является одним из важнейших навыков для достижения успеха. Книга предназначена для широкой аудитории, от новичков до специалистов, желающих улучшить свои социальные навыки и добиться успеха в личной и профессиональной жизни.</t>
  </si>
  <si>
    <t>Как вырабатывать уверенность в себе и влиять на людей, выступая публично</t>
  </si>
  <si>
    <t>Karnegi_Kak-vyrabatyvat-uverennost-v-sebe-i-vliyat-na-lyudey-vystupaya-publichno.25582.fb2.epub</t>
  </si>
  <si>
    <t>Книга Дейла Карнеги посвящена развитию уверенности в себе и навыков публичных выступлений для эффективного влияния на людей. В одиннадцатой главе автор раскрывает ключевой принцип удержания внимания аудитории: необходимо рассказывать нечто новое и необычное о привычных вещах, приводя яркие примеры (строение бумаги или роль серной кислоты в быту). Книга предназначена для новичков и широкой аудитории, желающих преодолеть страх сцены и научиться увлекать слушателей.</t>
  </si>
  <si>
    <t>Karnegi_Kak-vyrabatyvat-uverennost-v-sebe-i-vliyat-na-lyudey-vystupaya-publichno.25582.fb2.mobi</t>
  </si>
  <si>
    <t>Эта книга Дейла Карнеги посвящена развитию уверенности в себе и навыков эффективного публичного выступления, а также влиянию на аудиторию. Ключевые концепции включают преодоление страха, подготовку и структурирование речи, использование эмоциональной вовлеченности и практические техники убеждения. Издание предназначено для новичков и широкого круга читателей, желающих улучшить свои коммуникативные способности и лидерские качества.</t>
  </si>
  <si>
    <t>Karnegi_Shest-sposobov-raspolagat-k-sebe-lyudey.25583.fb2.epub</t>
  </si>
  <si>
    <t>Этот фрагмент книги Дейла Карнеги посвящен искусству эффективного общения и влияния на людей. Ключевая концепция заключается в том, чтобы говорить с человеком о его собственных желаниях и показывать, как их достичь, а не навязывать свою точку зрения. Автор иллюстрирует этот принцип примером переговоров с управляющим отеля, где он добился снижения арендной платы, сосредоточившись на выгодах для другой стороны. Книга предназначена для широкой аудитории, включая новичков, желающих улучшить свои навыки межличностного общения и убеждения.</t>
  </si>
  <si>
    <t>Kovi_7-navykov-vysokoeffektivnyh-lyudey.273071.fb2.epub</t>
  </si>
  <si>
    <t>Книга Стивена Кови «7 навыков высокоэффективных людей» посвящена философии личной и профессиональной эффективности, основанной на принципах, а не на сиюминутных техниках. В данном фрагменте подробно раскрывается Навык 3 («Сначала делайте то, что необходимо делать сначала»), который является практической реализацией проактивности (Навык 1) и личного лидерства (Навык 2). Ключевая идея — различие между лидерством (определение верного направления, работа правого полушария) и управлением (эффективное выполнение задач, работа левого полушария), а также важность независимой воли для подчинения чувств поставленной цели. Книга предназначена для широкого круга читателей — от новичков до опытных специалистов, стремящихся к глубоким позитивным изменениям в жизни и бизнесе.</t>
  </si>
  <si>
    <t>Deepfake. Где ты? Проснись!</t>
  </si>
  <si>
    <t>Нева</t>
  </si>
  <si>
    <t>Kurpatov_A._Intellektualnyi._Deepfake_Gde_Tyi_Prosnis.a4.pdf</t>
  </si>
  <si>
    <t>Эта книга Андрея Курпатова посвящена теме иллюзорности восприятия реальности в эпоху цифровых технологий и искусственного интеллекта, который автор называет «цифровым цунами». Ключевая концепция — сравнение современного мира с «Deepfake», где подлинность бытия и человеческого «я» поставлена под сомнение, а для осознания этого требуется внутренняя трансформация, подобная принятию «красной таблетки». Книга содержит предупреждение о грядущих изменениях и призыв «проснуться», а также обещает исследование страха небытия и поиск подлинности. Произведение предназначено для интеллектуального меньшинства — читателей, уже стоящих на пути самопознания и готовых к внутреннему вызову, а не для новичков.</t>
  </si>
  <si>
    <t>Your Brain at Work: Strategies for Overcoming Distraction, Regaining Focus, and Working Smarter All Day Long</t>
  </si>
  <si>
    <t>David Rock</t>
  </si>
  <si>
    <t>Harper Business</t>
  </si>
  <si>
    <t>Mozg_Instruktsia_po_primeneniyu-_Kak_ispolzovat_svoi_vozmozhnosti_po_maximumu_i_bez_peregruzok.pdf</t>
  </si>
  <si>
    <t>Книга Дэвида Рока «Мозг. Инструкция по применению» посвящена тому, как устроен мозг и как использовать его возможности максимально эффективно, избегая перегрузок. Автор объясняет, почему люди совершают нелогичные поступки, теряют фокус и конфликтуют, и предлагает стратегии для улучшения концентрации, принятия решений и управления стрессом на основе нейробиологии. Книга построена в формате сцен из жизни, которые сначала показывают типичные ошибки, а затем — правильные действия с учётом работы мозга. Она предназначена для широкой аудитории — от рядовых сотрудников до руководителей, желающих повысить личную эффективность и улучшить взаимодействие с коллегами.</t>
  </si>
  <si>
    <t>My rodom iz strashnogo detstva</t>
  </si>
  <si>
    <t>my-rodom-iz-strashnogo-detstva.mobi</t>
  </si>
  <si>
    <t>Книга представляет собой автобиографическое повествование о тяжелом детстве автора, пережившего ужасы военного и послевоенного времени. Ключевые разделы включают описание быта, голода, потерь близких и психологических травм, сформировавших личность. Издание предназначено для широкого круга читателей, интересующихся исторической и мемуарной литературой, а также для тех, кто хочет понять влияние экстремальных условий на формирование человека.</t>
  </si>
  <si>
    <t>Nauchite_sebya_dumat_biuzen_</t>
  </si>
  <si>
    <t>Nauchite_sebya_dumat_biuzen_.djvu</t>
  </si>
  <si>
    <t>Книга «Научите себя думать» посвящена развитию когнитивных способностей и эффективному использованию интеллекта. Автор предлагает практические методы для улучшения памяти, логического мышления и творческого подхода к решению задач, включая такие концепции, как майнд-карты и техники запоминания. Материал ориентирован на широкую аудиторию, включая новичков, желающих освоить базовые навыки самообучения и повысить продуктивность мышления.</t>
  </si>
  <si>
    <t>На одной волне. Нейробиология гармоничных отношений</t>
  </si>
  <si>
    <t>Эми Бэнкс; Ли Хиршман</t>
  </si>
  <si>
    <t>Na_odnoy_volne.pdf</t>
  </si>
  <si>
    <t>Книга «На одной волне» посвящена нейробиологии гармоничных отношений и тому, как с помощью перенастройки мозга можно улучшить взаимодействие с окружающими. Ключевая концепция — система C. A. R. E., которая включает четыре нейронных пути: спокойствие (Calm), принятие (Accepted), резонанс (Resonate) и энергия (Energize). Авторы предлагают практические инструменты для развития этих навыков, основанные на современной нейробиологии. Книга предназначена для широкого круга читателей, включая новичков, которые хотят отказаться от старых моделей поведения и построить более здоровые, зрелые отношения.</t>
  </si>
  <si>
    <t>Организованный ум</t>
  </si>
  <si>
    <t>Дэниел Левитин</t>
  </si>
  <si>
    <t>organizovannyj-um.epub</t>
  </si>
  <si>
    <t>Эта книга нейробиолога Дэниела Левитина посвящена тому, как мозг справляется с информационной перегрузкой и почему мы теряем вещи или забываем о делах. Автор объясняет принципы работы внимания и памяти, предлагая практические методы организации времени, пространства и рабочих процессов на основе данных когнитивной науки. Ключевые разделы охватывают категоризацию информации, борьбу с отвлекающими факторами и создание систем для принятия решений. Книга предназначена для широкого круга читателей — от новичков до специалистов, желающих повысить личную продуктивность и упорядочить свою жизнь.</t>
  </si>
  <si>
    <t>Organized Mind</t>
  </si>
  <si>
    <t>organizovannyj-um.mobi</t>
  </si>
  <si>
    <t>Книга «Организованный ум» посвящена тому, как устроено внимание и память человека в условиях информационной перегрузки, и предлагает стратегии для повышения продуктивности. Ключевая концепция — объяснение ограниченности когнитивных ресурсов мозга и того, почему многозадачность снижает эффективность. Автор разбирает, как внешние стимулы и хаос отвлекают от главного, и предлагает методы структурирования информации и пространства. Книга предназначена для широкого круга читателей-новичков, которые хотят лучше понимать работу своего мозга и научиться управлять вниманием.</t>
  </si>
  <si>
    <t>The Organized Mind: Thinking Straight in the Age of Information Overload</t>
  </si>
  <si>
    <t>Daniel J. Levitin</t>
  </si>
  <si>
    <t>organizovannyj-um.pdf</t>
  </si>
  <si>
    <t>Книга Дэниела Левитина «Организованный ум» посвящена тому, как справляться с информационной перегрузкой и принимать эффективные решения, используя принципы когнитивной науки. Автор объясняет устройство мозга и предлагает практические методы организации времени, домашнего и рабочего пространства, а также информации для сложных решений. Ключевые разделы охватывают организацию дома, социальной жизни, времени, принятие решений в медицине и бизнесе, а также воспитание детей. Книга предназначена для широкого круга читателей, от новичков до специалистов, желающих повысить продуктивность и снизить стресс от переизбытка данных.</t>
  </si>
  <si>
    <t>От выгорания к балансу. Как успокоить нервы, снять стресс и подзарядиться</t>
  </si>
  <si>
    <t>Имоджен Далл</t>
  </si>
  <si>
    <t>ot-vygoraniya-k-balansu.pdf</t>
  </si>
  <si>
    <t>Книга Имоджен Далл представляет собой практическое руководство по преодолению эмоционального выгорания и восстановлению внутреннего баланса. Автор, переживший выгорание, описывает конкретные симптомы (панические атаки, мрачные мысли, физическая боль) и предлагает простые техники для экстренной помощи, такие как глубокое дыхание, мышечная релаксация и метод заземления «5-4-3-2-1». Книга разделена на тематические блоки, охватывающие проблемы на работе (страх, прокрастинация, токсичная атмосфера) и личные сомнения (неуверенность, зависть, недостаток поддержки). Издание предназначено для широкого круга читателей-новичков, которые уже столкнулись с выгоранием или находятся на грани срыва, и ищут понятные, действенные советы без сложных теорий.</t>
  </si>
  <si>
    <t>Подумайте еще раз. Сила знания о незнании</t>
  </si>
  <si>
    <t>Адам Грант</t>
  </si>
  <si>
    <t>Podumajte-eshchyo-raz.pdf</t>
  </si>
  <si>
    <t>Книга Адама Гранта «Подумайте еще раз» посвящена искусству переосмысления убеждений и готовности признавать свое незнание как ключевому навыку для личностного и профессионального роста. Автор выделяет четыре части: индивидуальное переосмысление (смена ролей проповедника, прокурора и политика на ученого), переосмысление в отношениях (конструктивные споры и диалог с оппонентами), коллективное переосмысление (создание культур, поощряющих сомнения) и заключение с практическими советами. Книга предназначена для широкой аудитории — от новичков до специалистов, желающих научиться критически оценивать реальность и свои решения.</t>
  </si>
  <si>
    <t>Помнить все. Практическое руководство по развитию памяти</t>
  </si>
  <si>
    <t>Артур Думчев</t>
  </si>
  <si>
    <t>pomnit-vse-6.pdf</t>
  </si>
  <si>
    <t>Эта книга Артура Думчева представляет собой практическое руководство по тренировке памяти и развитию интеллекта, основанное на мнемонических техниках. Ключевые разделы охватывают запоминание новых слов, списков, имен и лиц, иностранных языков, а также чисел и текстовой информации с использованием метода мест и ассоциаций. Издание предназначено для широкого круга читателей-новичков, желающих улучшить свои умственные способности и научиться обходиться без цифровых помощников в повседневных ситуациях.</t>
  </si>
  <si>
    <t>Smart Choices: A Practical Guide to Making Better Decisions</t>
  </si>
  <si>
    <t>John S. Hammond; Ralph L. Keeney; Howard Raiffa</t>
  </si>
  <si>
    <t>pravilnyij-vyibor.pdf</t>
  </si>
  <si>
    <t>Книга «Правильный выбор» Джона Хэммонда, Ральфа Кини и Говарда Райффы — это практическое руководство по принятию взвешенных решений, основанное на многолетних исследованиях авторов. Ключевая концепция книги — метод «разделяй и властвуй», который предлагает разбивать процесс выбора на ключевые элементы: постановку задачи, определение целей, поиск вариантов, оценку результатов, анализ компромиссов и управление рисками. Отдельное внимание уделяется психологическим ловушкам, мешающим принимать верные решения. Книга предназначена для широкого круга читателей — от новичков, желающих улучшить личные и бытовые решения, до специалистов, которым необходимо принимать стратегические бизнес-решения.</t>
  </si>
  <si>
    <t>Принципы. Жизнь и работа</t>
  </si>
  <si>
    <t>Рэй Далио</t>
  </si>
  <si>
    <t>princzipyi.pdf</t>
  </si>
  <si>
    <t>Книга Рэя Далио «Принципы. Жизнь и работа» посвящена универсальным правилам и алгоритмам принятия решений, которые автор вывел из своего опыта создания и управления инвестиционной компанией Bridgewater Associates. Ключевые разделы включают жизненные принципы (принятие реальности, преодоление эго, эффективное принятие решений) и принципы работы (меритократия идей, абсолютная честность и прозрачность, построение эффективного механизма). Книга предназначена для широкого круга читателей — от новичков до опытных руководителей и специалистов, стремящихся к личной эффективности и построению успешных организаций.</t>
  </si>
  <si>
    <t>Reality Is Broken: Why Games Make Us Better and How They Can Change the World</t>
  </si>
  <si>
    <t>Jane McGonigal</t>
  </si>
  <si>
    <t>Penguin Books</t>
  </si>
  <si>
    <t>realnost-pod-voprosom1.pdf</t>
  </si>
  <si>
    <t>Книга Джейн Макгонигал «Реальность под вопросом» исследует, как видеоигры делают людей счастливее и продуктивнее, а также как их механизмы можно применить для решения реальных мировых проблем. Автор выделяет ключевые концепции: игры обеспечивают «хорошую работу», увлекательные неудачи, укрепляют социальные связи и дают ощущение причастности к чему-то большему. Книга разделена на три части: почему игры делают нас счастливыми, как формировать новую реальность с помощью геймификации и как коллективные игры могут изменить мир. Издание предназначено как для заядлых геймеров, так и для новичков, которые пока не оценили потенциал игр.</t>
  </si>
  <si>
    <t>Призвание. Как найти то, для чего вы созданы, и жить в своей стихии</t>
  </si>
  <si>
    <t>Кен Робинсон</t>
  </si>
  <si>
    <t>Robinson_Prizvanie-Kak-nayti-to-dlya-chego-vy-sozdany-i-zhit-v-svoey-stihii.290978.fb2.epub</t>
  </si>
  <si>
    <t>Книга Кена Робинсона «Призвание» посвящена поиску дела жизни, которое находится на пересечении способностей и страсти. Автор критикует образовательную систему, которая часто мешает людям найти свою стихию, и утверждает, что обретение призвания ведет к гармонии и продуктивности. Ключевая концепция — призвание как точка, где «то, что вы любите делать» совпадает с «тем, что у вас хорошо получается». Книга предназначена для широкой аудитории, включая новичков, которые хотят переосмыслить свою карьеру и жизнь.</t>
  </si>
  <si>
    <t>Prizvanie-Kak-nayti-to-dlya-chego-vy-sozdany-i-zhit-v-svoey-stihii</t>
  </si>
  <si>
    <t>Robinson</t>
  </si>
  <si>
    <t>Robinson_Prizvanie-Kak-nayti-to-dlya-chego-vy-sozdany-i-zhit-v-svoey-stihii.290978.fb2.mobi</t>
  </si>
  <si>
    <t>Книга Кена Робинсона «Призвание» посвящена поиску своего истинного предназначения и жизни в собственной стихии — состоянии, где пересекаются талант и страсть. Автор выделяет ключевые элементы: способности, увлеченность, ценности и благоприятную среду, а также рассматривает препятствия на пути к самореализации. Книга предназначена для широкой аудитории, включая новичков, которые хотят осознанно подойти к выбору карьеры или жизненного пути.</t>
  </si>
  <si>
    <t>Soft Skills: The software developer's life manual</t>
  </si>
  <si>
    <t>John Z. Sonmez</t>
  </si>
  <si>
    <t>Manning Publications Co.</t>
  </si>
  <si>
    <t>Soft Skills  The Sof... by John Sonmez.pdf</t>
  </si>
  <si>
    <t>Это книга Джона Сонмеза, представляющая собой практическое руководство по всестороннему развитию программиста, выходящее за рамки написания кода. Она охватывает семь ключевых разделов: построение карьеры, личный маркетинг, эффективное обучение, продуктивность, финансовая грамотность, физическая форма и духовное развитие. Книга предназначена для разработчиков любого уровня — от новичков до опытных специалистов, стремящихся к постоянному самосовершенствованию и успеху в профессии и жизни.</t>
  </si>
  <si>
    <t>Soft skills для IT-специалистов. Прокачай карьеру и получи работу мечты</t>
  </si>
  <si>
    <t>Дон Джонс</t>
  </si>
  <si>
    <t>Soft skills для IT-специалистов.pdf</t>
  </si>
  <si>
    <t>Эта книга посвящена развитию гибких навыков (soft skills) для IT-специалистов, которые помогают превратить рядового сотрудника в топового профессионала. Автор, Дон Джонс, акцентирует внимание на таких аспектах, как работа в команде, разрешение конфликтов, тайм-менеджмент и понимание бизнес-процессов, подчеркивая, что именно эти навыки часто ценятся работодателями выше технических. Издание предназначено как для новичков, только начинающих карьеру в технологической сфере, так и для опытных ветеранов, желающих эффективнее управлять своим профессиональным развитием.</t>
  </si>
  <si>
    <t>How to Read a Book. A Guide to Reading the Great Books</t>
  </si>
  <si>
    <t>Summary_Kak_chitat_knigi.pdf</t>
  </si>
  <si>
    <t>Эта книга Мортимера Адлера посвящена искусству активного и глубокого чтения, которое выходит за рамки простого получения информации. Ключевая концепция — различие между чтением ради информации и чтением ради понимания, а также идея о том, что качественное чтение требует умственного усилия для преодоления неравенства между автором и читателем. Издание предназначено для читателей любого уровня подготовки, которые хотят научиться воспринимать скрытые смыслы, получать больше пользы из нон-фикшн литературы и развить навыки, необходимые для профессионального анализа текста.</t>
  </si>
  <si>
    <t>Get Out of Your Own Way. Overcoming Self-Defeating Behavior</t>
  </si>
  <si>
    <t>Марк Гоулстон; Филип Голдберг</t>
  </si>
  <si>
    <t>МИФ</t>
  </si>
  <si>
    <t>Summary_Ne_meshay_sebe_zhyt.pdf</t>
  </si>
  <si>
    <t>Эта книга психиатров Марка Гоулстона и Филипа Голдберга посвящена феномену саморазрушительного поведения (самосаботажа), который мешает людям достигать целей и быть счастливыми. Авторы выделяют 40 основных форм такого поведения — от прокрастинации до зависти — и предлагают конкретные рекомендации по их преодолению. Ключевые идеи включают необходимость повышения осознанности, отказа от избегания проблем и замены эгоизма сочувствием в отношениях. Книга предназначена для широкой аудитории любого уровня подготовки, которая хочет избавиться от деструктивных привычек и улучшить свою жизнь.</t>
  </si>
  <si>
    <t>Визуальные заметки. Иллюстрированное руководство по скетчноутингу</t>
  </si>
  <si>
    <t>Майк Роуди</t>
  </si>
  <si>
    <t>Vizualnie_zametki.pdf</t>
  </si>
  <si>
    <t>Книга Майка Роуди «Визуальные заметки» представляет собой полностью иллюстрированное руководство по скетчноутингу — технике создания визуальных заметок, сочетающих текст и рисунки. Автор утверждает, что этот метод помогает лучше запоминать и усваивать информацию, а научиться ему может каждый, независимо от навыков рисования. В книге рассматриваются история скетчей, базовые графические элементы, шрифты и способы визуализации идей, а также содержатся практические упражнения. Издание предназначено для новичков и всех, кто хочет сделать процесс конспектирования более эффективным и увлекательным.</t>
  </si>
  <si>
    <t>Всегда вовремя. Узнайте свой хронотип и живите в согласии со своим биоритмом</t>
  </si>
  <si>
    <t>Майкл Бреус</t>
  </si>
  <si>
    <t>vsegda-vovremya.pdf</t>
  </si>
  <si>
    <t>Книга Майкла Бреуса «Всегда вовремя» посвящена хронобиологии — науке о биологических ритмах человека. Автор предлагает определить свой хронотип (Дельфин, Лев, Медведь или Волк) с помощью теста, чтобы синхронизировать повседневные дела — от сна и приема лекарств до работы и спорта — с оптимальным временем для организма. Ключевые разделы включают описание идеального дня для каждого хронотипа и практические рекомендации для различных сфер жизни, таких как взаимоотношения, фитнес и здоровье. Книга предназначена для широкого круга читателей-новичков, желающих улучшить самочувствие и продуктивность без кардинальных изменений распорядка дня.</t>
  </si>
  <si>
    <t>В работу с головой. Паттерны успеха от IT-специалиста</t>
  </si>
  <si>
    <t>Ньюпорт К.</t>
  </si>
  <si>
    <t>V_rabotu_s_golovoy_Patterny_uspekha_ot_IT-spetsialista_2017.pdf</t>
  </si>
  <si>
    <t>Эта книга Кэла Ньюпорта посвящена концепции «углубленной работы» — способности сосредотачиваться на сложных задачах без отвлечений, что автор называет суперсилой в современной экономике. Ключевые разделы включают доказательства ценности и редкости такого подхода, а также четыре практических правила: работать сосредоточенно, смириться со скукой, отказаться от социальных сетей и «осушить мелководье» поверхностной деятельности. Издание ориентировано на IT-специалистов и всех, кто хочет повысить продуктивность, но будет полезно как новичкам, так и опытным работникам, стремящимся к глубокому фокусу.</t>
  </si>
  <si>
    <t>z_Na_odnoy_volne.epub</t>
  </si>
  <si>
    <t>Книга «На одной волне» Эми Бэнкс и Ли Хиршман посвящена нейробиологии гармоничных отношений и тому, как с помощью перенастройки нейронных путей улучшить взаимодействие с окружающими. Ключевая концепция — система C.A.R.E., включающая четыре аспекта: спокойствие (Calm), принятие (Accepted), резонанс (Resonate) и энергию (Energize). Авторы предлагают практические инструменты для отказа от старых болезненных моделей поведения и развития навыков глубокого общения. Книга предназначена для широкой аудитории новичков, желающих укрепить отношения, повысить уровень счастья и преодолеть чувство одиночества.</t>
  </si>
  <si>
    <t>Время для себя. 52 практики, чтобы снять стресс, замедлиться и восстановить баланс</t>
  </si>
  <si>
    <t>Кэтрин Ожеш</t>
  </si>
  <si>
    <t>_Время для себя.pdf</t>
  </si>
  <si>
    <t>Книга Кэтрин Ожеш «Время для себя» представляет собой годовой сборник из 52 практик осознанности, направленных на снятие стресса, замедление и восстановление внутреннего баланса. Ключевая концепция строится на ежемесячных темах (от «Нового начала» и «Направления внутрь души» до «Тьмы и света»), каждая из которых включает медитации и упражнения для пересмотра жизненных приоритетов. Автор использует метафору «линзы» восприятия, утверждая, что смена угла зрения через заботу и интерес меняет отношение к реальности. Издание рассчитано на широкую аудиторию новичков, желающих выбраться из «беличьего колеса» и научиться жить в состоянии любви и осознанности.</t>
  </si>
  <si>
    <t>Вы набиты мудростью-про самомотивацию</t>
  </si>
  <si>
    <t>Вы набиты мудростью-про самомотивацию.docx</t>
  </si>
  <si>
    <t>Книга посвящена теме самомотивации и внутренней мудрости, предлагая читателю практические инструменты для преодоления апатии и достижения целей. Ключевые концепции включают работу с внутренними установками, техники постановки задач и методы поддержания продуктивности без внешнего давления. Материал ориентирован на широкую аудиторию, включая новичков, которые хотят разобраться в основах самоорганизации, и специалистов, ищущих свежие подходы к личной эффективности.</t>
  </si>
  <si>
    <t>Инструменты решения креативных задач</t>
  </si>
  <si>
    <t>Инструменты решения креативных задач.pdf</t>
  </si>
  <si>
    <t>Книга посвящена латеральному мышлению и практическим инструментам для генерации новых идей, которые можно применять осознанно и целенаправленно, в отличие от пассивного ожидания вдохновения. Автор объясняет, что творчество является математической необходимостью, вытекающей из принципов работы мозга как самоорганизующейся системы, и критикует устаревшие взгляды на творчество как на исключительно талант или искусство. В тексте рассматривается эволюция взглядов на творчество за 25 лет, а также анализируется, почему в бизнесе (после этапов реструктуризации и снижения цен) именно творческий подход становится главным конкурентным преимуществом. Книга предназначена для широкого круга читателей — от новичков до специалистов, желающих освоить конкретные методы творческого мышления и научить этому других.</t>
  </si>
  <si>
    <t>Как обычный парень может стать гением Кремниевой долины</t>
  </si>
  <si>
    <t>Шон Ливермор</t>
  </si>
  <si>
    <t>Как обычный может стать гением.pdf</t>
  </si>
  <si>
    <t>Книга Шона Ливермора опровергает миф о существовании врожденной IT-гениальности, доказывая, что успеха в технологической сфере может добиться любой «обычный» человек. Автор разбирает шесть распространенных тезисов о техногениях, приводя контраргументы и объясняя, какую роль на самом деле играют интеллект, креативность и нейробиология. Ключевая идея заключается в том, что феномен «гения Кремниевой долины» — это не врожденное качество, а результат определенных навыков и мышления, доступных каждому. Книга предназначена для широкой аудитории, включая новичков и специалистов, желающих понять механизмы успеха в IT и развить необходимые творческие способности.</t>
  </si>
  <si>
    <t>A_book_on_tactics_final</t>
  </si>
  <si>
    <t>Алексей Каптерев</t>
  </si>
  <si>
    <t>Книга о тактике.pdf</t>
  </si>
  <si>
    <t>Книга посвящена жизненной тактике — краткосрочным поведенческим приемам, которые помогают упорядочить жизнь и в итоге сложить долгосрочную стратегию. Ключевые концепции включают принятие решений из высокопродуктивного состояния, четырехшаговую модель работы с бессознательным, теорию потока и игры Нового кода НЛП. Материал предназначен для широкой аудитории, включая новичков, заинтересованных в улучшении навыков принятия решений и самоорганизации.</t>
  </si>
  <si>
    <t>Номер 1. Как стать лучшим в том, что ты делаешь</t>
  </si>
  <si>
    <t>Игорь Манн</t>
  </si>
  <si>
    <t>Манн_Как_стать_лучшим_в_том_что_ты_делаешь.fb2</t>
  </si>
  <si>
    <t>Книга Игоря Манна «Номер 1. Как стать лучшим в том, что ты делаешь» посвящена системному подходу к достижению статуса лучшего специалиста в своей сфере. Автор предлагает алгоритм из пяти шагов: постановка цели, аудит себя, постоянное развитие, достижение высоких результатов и продвижение, подчеркивая, что без реальных достижений и «визитных карточек» успех невозможен. Книга содержит практические инструменты, такие как чек-листы и таблицы для оценки сильных и слабых сторон, и предназначена для специалистов любого уровня, которые хотят целенаправленно строить личный бренд и стать №1 в своей области.</t>
  </si>
  <si>
    <t>Где зимует кузькина мать</t>
  </si>
  <si>
    <t>МН-Где зимует кузькина мать.doc</t>
  </si>
  <si>
    <t>Книга Мирзакарима Норбекова посвящена теме саморазвития и психофизического оздоровления через работу с внутренними установками и воображением. Ключевая концепция — использование образов и эмоционального настроя для активации скрытых ресурсов организма, а также преодоление стереотипов мышления. Издание рассчитано на широкую аудиторию новичков, интересующихся практиками личностного роста и нетрадиционными методами оздоровления.</t>
  </si>
  <si>
    <t>Рыжий ослик</t>
  </si>
  <si>
    <t>МН-Рыжий ослик.doc</t>
  </si>
  <si>
    <t>Книга Мирзакарима Норбекова «Рыжий ослик» посвящена системе самооздоровления и личностного роста через работу с внутренними установками и воображением. Ключевые концепции включают использование образов (например, «рыжий ослик» как символ упрямства и преодоления), упражнения для восстановления зрения и эмоционального равновесия, а также принцип «настройки» организма на успех через позитивное мышление. Издание ориентировано на широкую аудиторию, включая новичков, интересующихся альтернативными методами оздоровления и самосовершенствования.</t>
  </si>
  <si>
    <t>Рожденные Выигрывать</t>
  </si>
  <si>
    <t>Рожденные Выигрывать.rtf</t>
  </si>
  <si>
    <t>Самоучитель по развитию интуциии</t>
  </si>
  <si>
    <t>Самоучитель по развитию интуциии.doc</t>
  </si>
  <si>
    <t>Книга посвящена развитию интуиции как практическому навыку, который можно тренировать с помощью специальных упражнений. Ключевые концепции включают работу с образами, телесными ощущениями и внутренними сигналами, а также разделы по диагностике и коррекции интуитивных ошибок. Материал ориентирован на новичков, желающих освоить базовые техники для повседневного применения.</t>
  </si>
  <si>
    <t>СОВЕРШЕНСТВОВАНИЕ ЭНЕРГИИ</t>
  </si>
  <si>
    <t>СОВЕРШЕНСТВОВАНИЕ ЭНЕРГИИ.doc</t>
  </si>
  <si>
    <t>Книга Мирзакарима Норбекова «Совершенствование энергии» посвящена практическим методам самооздоровления и духовного развития через работу с внутренней энергией и психологическим настроем. Ключевые концепции включают систему «Древняя медицина» с акцентом на самовнушение, гимнастику для позвоночника и суставов, а также техники управления эмоциями для восстановления физического и ментального здоровья. Издание ориентировано на широкую аудиторию новичков, интересующихся альтернативной медициной, восточными практиками и личностным ростом.</t>
  </si>
  <si>
    <t>Уроки Норбекова</t>
  </si>
  <si>
    <t>Уроки Норбекова.doc</t>
  </si>
  <si>
    <t>Успех на вашу голову и как его избежать</t>
  </si>
  <si>
    <t>Успех на вашу голову и как его избежать.doc</t>
  </si>
  <si>
    <t>Книга Мирзакарима Норбекова «Успех на вашу голову и как его избежать» посвящена психологии личностного роста и достижения целей, с акцентом на преодоление внутренних барьеров и стереотипов мышления. Ключевые концепции включают работу с самооценкой, техники визуализации и перепрограммирования подсознания, а также разделы о мотивации и управлении страхами. Издание ориентировано на широкую аудиторию, включая новичков в саморазвитии, и предлагает практические упражнения для изменения жизненных установок.</t>
  </si>
  <si>
    <t>Факт-карта: как принимать сложные решения</t>
  </si>
  <si>
    <t>Факт-карта- как принимать сложные решения.pdf</t>
  </si>
  <si>
    <t>Этот фрагмент книги посвящён теме принятия сложных решений и представляет факт-карты как эффективный инструмент для этого. Ключевые концепции включают критику классической схемы выбора, разоблачение когнитивного искажения «иллюзия альтернативы» (когда выбор сводится к «да/нет»), а также объяснение того, как ограниченное восприятие реальности и незнание «подводных камней» мешают принимать верные решения. Автор подчёркивает важность формулировки проблемы и создания максимального числа альтернативных сценариев для мозга. Материал рассчитан на широкий круг читателей, от новичков до специалистов, сталкивающихся с необходимостью делать сложный выбор в жизни или работе.</t>
  </si>
  <si>
    <t>Йога: дыши, тянись, живи</t>
  </si>
  <si>
    <t>Наоми Аннанд</t>
  </si>
  <si>
    <t>Нон-фикшн/Спорт</t>
  </si>
  <si>
    <t>Спорт</t>
  </si>
  <si>
    <t>joga-dyshi-tyanis-zhivi2.pdf</t>
  </si>
  <si>
    <t>C:\Users\alexa\YandexDisk\Книги\Нон-фикшн\Спорт</t>
  </si>
  <si>
    <t>Книга Наоми Аннанд «Йога: дыши, тянись, живи» посвящена использованию древней практики йоги для снижения стресса, обретения гармонии и заботы о себе в условиях современной жизни. Ключевые разделы включают «Библиотеку асан» с подробным разбором поз, дыхательные практики, медитации, а также готовые комплексы для решения конкретных проблем (бессонница, тревожность, упадок сил). Издание предназначено для широкой аудитории — как для новичков, только знакомящихся с йогой, так и для опытных практиков, желающих углубить осознанность и бережное отношение к себе.</t>
  </si>
  <si>
    <t>Phil Gordon Little Green Book</t>
  </si>
  <si>
    <t>Фил Гордон</t>
  </si>
  <si>
    <t>Phil_Gordon_Little_Green_Book_rus.pdf</t>
  </si>
  <si>
    <t>The Theory Of Poker</t>
  </si>
  <si>
    <t>David Sklansky</t>
  </si>
  <si>
    <t>Sklansky - The Theory Of Poker_final_edition.doc</t>
  </si>
  <si>
    <t>Книга Дэвида Склански «Теория покера» посвящена фундаментальным математическим и стратегическим принципам игры, выходящим за рамки конкретных разновидностей покера. Ключевые концепции включают понятия ожидаемой стоимости, блефа, полублефа, чтения оппонентов и коррекции игры в зависимости от стиля соперников. Особое внимание уделяется теории «закона больших чисел» и управлению банкроллом. Книга предназначена для игроков среднего и продвинутого уровня, стремящихся перейти от интуитивной игры к строгому анализу решений.</t>
  </si>
  <si>
    <t>Безлимитный Холдем - Теория и Практика</t>
  </si>
  <si>
    <t>David Sklansky; Ed Miller</t>
  </si>
  <si>
    <t>Two plus Two Publishing</t>
  </si>
  <si>
    <t>Sklansky_Miller_NL_Holdem_Theory&amp;Practice_rus.pdf</t>
  </si>
  <si>
    <t>Смерть и жизнь (сикацу)</t>
  </si>
  <si>
    <t>Саката Эйо 9 дан</t>
  </si>
  <si>
    <t>Жизнь и смерть-сикацу_Го.pdf</t>
  </si>
  <si>
    <t>Этот фрагмент книги Сакаты Эйо посвящён фундаментальной теме игры Го — «судьбе камней», то есть определению, выживет ли группа камней или будет уничтожена. Ключевые концепции включают пословицы «Шесть умирают — восемь живут» и «Четыре умирают, шесть живут», а также разбор базовых угловых форм и приёмов построения глаз. Книга предназначена для игроков, уже знакомых с основами Го, которые хотят углубить понимание тактики жизни и смерти групп и повысить свою силу игры.</t>
  </si>
  <si>
    <t>Мыслить и побеждать: игра Го для начинающих</t>
  </si>
  <si>
    <t>И. Гришин; М. Емельянов; А. Степанов</t>
  </si>
  <si>
    <t>Олимп; АСТ; Астрель</t>
  </si>
  <si>
    <t>Игра Го для начинающих.pdf</t>
  </si>
  <si>
    <t>Фрагмент книги «Мыслить и побеждать: игра Го для начинающих» представляет собой введение в японскую стратегическую игру Го, рассматривая её не только как развлечение, но и как искусство, философию и науку стратегии. Авторы подчёркивают, что правила игры просты и осваиваются за 10 минут, однако для полноценного овладения требуются годы, а сама игра учит логическому и стратегическому мышлению, а также свободе мысли. Книга предназначена для начинающих, желающих изучить основы Го, понять её связь с восточной философией и бизнес-стратегией, и отличается от предыдущих изданий тем, что написана русскими авторами с учётом российского менталитета.</t>
  </si>
  <si>
    <t>Королевский Флаш</t>
  </si>
  <si>
    <t>Королевский Флаш.doc</t>
  </si>
  <si>
    <t>Эта книга посвящена стратегиям и психологии игры в покер, с особым акцентом на построение и розыгрыш сильных комбинаций, включая «королевский флеш». Ключевые концепции включают анализ вероятностей, управление банкроллом, чтение оппонентов и принятие решений в условиях неопределенности. Материал ориентирован на игроков среднего и продвинутого уровня, стремящихся углубить понимание математических и психологических аспектов игры.</t>
  </si>
  <si>
    <t>Искусство рукопашного боя</t>
  </si>
  <si>
    <t>Ознобишин Н.Н.</t>
  </si>
  <si>
    <t>Ознобишин Н.Н., Искусство рукопашного боя.djvu</t>
  </si>
  <si>
    <t>Книга Н.Н. Ознобишина «Искусство рукопашного боя» посвящена систематизированному обучению прикладным техникам рукопашного боя, включая удары, защиту, броски и болевые приёмы. Ключевые разделы охватывают основы стойки и передвижения, технику работы руками и ногами, а также тактику ведения ближнего боя. Издание ориентировано на широкий круг читателей — от новичков, желающих освоить базовые навыки самообороны, до специалистов и инструкторов, стремящихся углубить понимание классической системы рукопашного боя.</t>
  </si>
  <si>
    <t>Basic Techniques of Go</t>
  </si>
  <si>
    <t>Haruyama Isamu; Nagahara Yoshiaki</t>
  </si>
  <si>
    <t>1969</t>
  </si>
  <si>
    <t>The Ishi Press</t>
  </si>
  <si>
    <t>Основы Го-техники.pdf</t>
  </si>
  <si>
    <t>Книга «Основы техники Го» Исаму Харуямы и Йосиаки Нагахары посвящена стратегии и тактике игры Го для игроков, стремящихся достичь уровня 1-2 дана. Ключевые разделы охватывают тесуджи (тактические приемы), фусеки (дебютную стратегию, включая игру с форой), джосеки (стандартные угловые последовательности) и йосэ (завершение игры с подсчетом территории). Издание предназначено для опытных игроков, уже знакомых с правилами и базовой техникой, и рекомендует параллельно изучать тактику и дебют для быстрого прогресса.</t>
  </si>
  <si>
    <t>О холдеме</t>
  </si>
  <si>
    <t>Хэррингтон</t>
  </si>
  <si>
    <t>ХЭРРИНГТОН О холдеме_полный перевод.zip</t>
  </si>
  <si>
    <t>Шаолинь и его окресности</t>
  </si>
  <si>
    <t>Шаолинь_и_его_окресности_Дарья_Патока.pdf</t>
  </si>
  <si>
    <t>Книга Дарьи Патоки «Шаолинь и его окрестности» посвящена истории, культуре и повседневной жизни знаменитого буддийского монастыря Шаолинь и прилегающих к нему территорий. В работе рассматриваются ключевые аспекты: зарождение и развитие монастыря, его роль в распространении чань-буддизма и боевых искусств, а также взаимодействие с китайской государственной властью. Издание предназначено для широкого круга читателей, интересующихся восточной культурой, историей Китая и философией, и будет понятно как новичкам, так и любителям.</t>
  </si>
  <si>
    <t>Способы думать. История и общество, дискурс и концепт</t>
  </si>
  <si>
    <t>Курпатов, А. В.</t>
  </si>
  <si>
    <t>Нон-фикшн/Философия</t>
  </si>
  <si>
    <t>Философия</t>
  </si>
  <si>
    <t>!Kurpatov_A._Akademiyasmyisla._Sposobyi_Dumat.pdf</t>
  </si>
  <si>
    <t>C:\Users\alexa\YandexDisk\Книги\Нон-фикшн\Философия</t>
  </si>
  <si>
    <t>Книга Андрея Курпатова «Способы думать» посвящена тому, как в современную цифровую эпоху, где история дана нам вся сразу, создаётся современность и как мы можем преодолеть абсурд бесцельности. Ключевые концепции включают анализ разрушения социальных иерархий и мифа о свободе, а также идею о том, что речь — это инструмент установления отношений и самоактуализации, а чтение книг — «духовное упражнение». Книга предназначена для широкого круга читателей, интересующихся философией, психологией и методологией мышления, от новичков до специалистов.</t>
  </si>
  <si>
    <t>21 урок для XXI века</t>
  </si>
  <si>
    <t>Юваль Ной Харари</t>
  </si>
  <si>
    <t>Синдбад</t>
  </si>
  <si>
    <t>Harari_Yu._21_Urok_Dlya_Xxi_Veka.a4.pdf</t>
  </si>
  <si>
    <t>Книга Юваля Ной Харари «21 урок для XXI века» посвящена анализу текущих глобальных проблем и вызовов, стоящих перед человечеством в ближайшем будущем. Автор выделяет ключевые темы, такие как технологический вызов (влияние алгоритмов и ИИ на работу и свободу), политический кризис (национализм, иммиграция, упадок либеральной демократии) и необходимость гибкости мышления (образование и медитация). Книга предназначена для широкого круга читателей, интересующихся современной историей и будущим общества, и не требует специальной подготовки.</t>
  </si>
  <si>
    <t>ООО Издательский дом «Нева»</t>
  </si>
  <si>
    <t>Kurpatov_A._Intellektualnyi._Deepfake_Gde_Tyi_Prosnis.epub</t>
  </si>
  <si>
    <t>Книга Андрея Курпатова «Deepfake. Где ты? Проснись!» посвящена исследованию иллюзорности человеческого восприятия и природы «я», которое автор сравнивает с тщательно сконструированным дипфейком. Ключевые концепции включают отказ от сложной терминологии в пользу доступных примеров, метафору «Матрицы» и необходимость «заглянуть в ящик» для столкновения со страхом небытия и поиска подлинности. Книга предназначена для читателей, уже стоящих на пути самопознания и готовых к внутреннему вызову, а не для новичков или тех, кто ищет лёгкое чтение.</t>
  </si>
  <si>
    <t>Накануне неизвестно чего</t>
  </si>
  <si>
    <t>Михаил Иосифович Веллер</t>
  </si>
  <si>
    <t>2016,2020</t>
  </si>
  <si>
    <t>Veller_M._Knigimihailav._Nakanune_Neizvestno_Chego.a4.pdf</t>
  </si>
  <si>
    <t>Книга Михаила Веллера «Накануне неизвестно чего» представляет собой публицистический анализ взаимоотношений народа и власти в постсоветской России, рассматривая такие темы, как социальное расслоение, коррупция, экономический кризис и имперский синдром. Ключевые разделы включают критику «оккупационного режима» власти, механизмы воровства бюджета, влияние нефтяных доходов и последствия событий в Крыму и Донбассе. Издание предназначено для широкого круга читателей, интересующихся современной российской политикой и историей, и не требует специальной подготовки.</t>
  </si>
  <si>
    <t>Не бойся завтра</t>
  </si>
  <si>
    <t>Veller_M._Knigimihailav._Ne_Boyisya_Zavtra.a4.pdf</t>
  </si>
  <si>
    <t>Книга Михаила Веллера «Не бойся завтра» посвящена искусству отличать правду от лжи и анализу причин, по которым люди и общества принимают ошибочные решения, игнорируя очевидные факты. Ключевая концепция — различие между «умом» и «глупостью», где ум определяется как способность удерживать в сознании полную картину мира и выстраивать причинно-следственные связи, а глупость — как видение лишь узкого фрагмента реальности. Книга состоит из четырех частей, охватывающих темы от исторических примеров (Суворов, Ленин, Сталин) до критики современных идеологий (политкорректность, европейские ценности, фашизм) и прогнозов о гибели цивилизации. Издание предназначено для широкого круга читателей, интересующихся публицистикой, социальной философией и критическим мышлением, и не требует специальной подготовки.</t>
  </si>
  <si>
    <t>Симулякры и симуляции</t>
  </si>
  <si>
    <t>Жан Бодрийяр</t>
  </si>
  <si>
    <t>Издательский дом «ПОСТУМ»</t>
  </si>
  <si>
    <t>Бодрийяр. Симулякры и симуляции.pdf</t>
  </si>
  <si>
    <t>Книга Жана Бодрийяра «Симулякры и симуляции» посвящена анализу современной реальности, которая, по мнению автора, замещена симуляцией — копиями без оригинала. Ключевые концепции: гиперреальность, прецессия симулякров (карта предшествует территории), а также кризис репрезентации, когда знаки реального подменяют саму реальность. Работа состоит из множества разделов, исследующих симуляцию в политике, истории, искусстве и медиа. Книга предназначена для широкого круга читателей, интересующихся философией постмодерна, и считается доступной для новичков в этой теме.</t>
  </si>
  <si>
    <t>Жизнь проста. Как бритва Оккама освободила науку и стала ключом к познанию тайн Вселенной</t>
  </si>
  <si>
    <t>Джонджо Макфадден</t>
  </si>
  <si>
    <t>Жизнь проста - Маккфаден.fb2</t>
  </si>
  <si>
    <t>Книга Джонджо Макфаддена посвящена истории и влиянию принципа бритвы Оккама на науку, показывая, что простота является фундаментальным законом Вселенной. Автор прослеживает развитие научных открытий от геоцентрической системы до квантовой механики и ДНК, утверждая, что жизнь возникла благодаря максимальной простоте, а естественный отбор имеет космологическую форму. Книга предназначена для широкого круга читателей, интересующихся историей науки, от новичков до специалистов, благодаря доступному и увлекательному изложению.</t>
  </si>
  <si>
    <t>Хакерская этика и дух информационализма</t>
  </si>
  <si>
    <t>Пекка Химанен</t>
  </si>
  <si>
    <t>AST Publishers</t>
  </si>
  <si>
    <t>Хакерская этика.epub</t>
  </si>
  <si>
    <t>Книга Пекки Химанена «Хакерская этика и дух информационализма» исследует философию и мотивацию хакеров-идеалистов, которые создали интернет и персональный компьютер, противопоставляя их этику протестантской рабочей этике Макса Вебера. Ключевые концепции включают разделение хакеров (энтузиастов, верящих в свободный обмен информацией) и кракеров (взломщиков), а также идею о том, что хакерская этика представляет собой новую страстную рабочую этику информационной эпохи. Книга предназначена для широкого круга читателей, интересующихся историей технологий, социологией и философией, от новичков до специалистов.</t>
  </si>
  <si>
    <t>Фотография: увидеть увиденное</t>
  </si>
  <si>
    <t>Брикман Д.</t>
  </si>
  <si>
    <t>Нон-фикшн/Фотография</t>
  </si>
  <si>
    <t>Фотография</t>
  </si>
  <si>
    <t>Brikman_D._Fotografiya_Uvidet_uvidennoe.pdf</t>
  </si>
  <si>
    <t>C:\Users\alexa\YandexDisk\Книги\Нон-фикшн\Фотография</t>
  </si>
  <si>
    <t>Книга Дмитрия Брикмана «Фотография: увидеть увиденное» посвящена не технической стороне съёмки, а искусству видеть и передавать чувства через фотографию. Автор учит отличать осмысленные фотографии от обычных «снимков на фоне», разбирая такие концепции, как поиск темы и приёма, композиция, естественность кадра, а также особые разделы: «увидеть тишину», «увидеть музыку» и «увидеть человека». Книга предназначена для любого, кто хочет делать живые, эмоциональные снимки, независимо от возраста, опыта и фототехники.</t>
  </si>
  <si>
    <t>ФОТОMASTER. Взгляд через объектив. Видео мастер-класс (+DVD)</t>
  </si>
  <si>
    <t>Ефремов А.</t>
  </si>
  <si>
    <t>Efremov_A._Fotomaster_Vzglyad_cherez_obektiv.pdf</t>
  </si>
  <si>
    <t>Книга Александра Ефремова «Фотомастер. Взгляд через объектив» представляет собой практическое руководство по фотографии, сочетающее текстовый материал с видеоуроками на DVD. Автор освещает основы работы с фототехникой (объективы, вспышки, фильтры), а также ключевые аспекты съёмки: экспонометрию, баланс белого и особенности различных жанров — портрета, натюрморта, пейзажа, архитектуры и спорта. Особое внимание уделяется тому, что фотография — это не только техника, но и творчество, требующее чувства композиции и понимания светотеневого рисунка. Издание предназначено в первую очередь для начинающих фотолюбителей, которые хотят освоить не только автоматические режимы, но и осознанный подход к съёмке.</t>
  </si>
  <si>
    <t>Complete Photography Projects</t>
  </si>
  <si>
    <t>John Garrett; Graeme Harris</t>
  </si>
  <si>
    <t>Garret_D._Fotografiya_Vse_sekrety_masterstva.pdf</t>
  </si>
  <si>
    <t>Эта книга представляет собой практическое руководство по фотографии, охватывающее путь от технических основ до творческой реализации замысла. Авторы, Джон Гаррет и Грэйм Харрис, разбирают ключевые жанры съемки (природа, портрет, репортаж, натюрморт и другие) и учат превращать типичные трудности (плохая погода, нехватка времени) в преимущества. Издание предназначено для начинающих фотографов, которые хотят освоить управление камерой и найти вдохновение для постоянной практики, не отвлекаясь на излишние технические детали.</t>
  </si>
  <si>
    <t>Воображаемая реальность (сборник)</t>
  </si>
  <si>
    <t>Анри Картье-Брессон</t>
  </si>
  <si>
    <t>Лимбус Пресс, ООО «Издательство К. Тублина»</t>
  </si>
  <si>
    <t>Karte_bresson_A._Voobrajaemaya_Realnost_Sbornik.a4.pdf</t>
  </si>
  <si>
    <t>Это сборник эссе, дневников и мемуаров Анри Картье-Брессона, одного из основоположников современной фотожурналистики, посвященный природе фотографии, искусству репортажа и визуальному восприятию мира. Ключевые разделы включают размышления о «решающем моменте», композиции, технике, цвете, а также путевые заметки и портреты выдающихся современников. Книга предназначена как для профессиональных фотографов и специалистов, так и для широкого круга читателей, интересующихся искусством и историей фотографии.</t>
  </si>
  <si>
    <t>Цифровая фотография: Секреты создания профессионально выглядящих снимков, шаг за шагом</t>
  </si>
  <si>
    <t>Скот Келби</t>
  </si>
  <si>
    <t>Kelby.pdf</t>
  </si>
  <si>
    <t>Книга Скотта Келби посвящена практическим секретам цифровой фотографии, позволяющим делать снимки профессионального качества без углубления в сложную теорию. Ключевая концепция — каждая страница содержит одну простую хитрость или приём, например, как добиться резкости и размытого фона, используя те же методы, что и профессионалы. Первая глава сосредоточена на получении действительно четких снимков, что автор считает основой успеха. Книга предназначена для фотографов-любителей и новичков, которые хотят улучшить свои снимки, устав от «просто хороших» результатов, и ищут понятные советы без излишнего жаргона.</t>
  </si>
  <si>
    <t>Свет как материал фотографа</t>
  </si>
  <si>
    <t>Alexander Omilaev</t>
  </si>
  <si>
    <t>light-as-material.pdf</t>
  </si>
  <si>
    <t>Эта книга представляет собой сборник уроков для начинающих фотографов, посвящённый работе со светом как с основным материалом съёмки. Автор объясняет, что свет — это главный инструмент фотографа, и знакомит читателя с пятью основными категориями света: рисующим, заполняющим и другими. Особое внимание уделяется практическому анализу снимков, ведению записей и самостоятельному поиску решений, а не готовым рецептам. Материал рассчитан на новичков, которые хотят научиться объективно оценивать свои работы и творчески расти.</t>
  </si>
  <si>
    <t>Nochnyie portretyi</t>
  </si>
  <si>
    <t>Александр Заморин</t>
  </si>
  <si>
    <t>Nochnyie_portretyi.pdf</t>
  </si>
  <si>
    <t>Этот фрагмент книги Александра Заморина посвящён основам ночной фотографии, а именно — съёмке ночных портретов. Автор объясняет, что главная ошибка новичков — использование высокого ISO, которое создаёт цифровой шум, и рекомендует снимать на низких значениях (200–800), компенсируя недостаток света открытой диафрагмой и длинной выдержкой. Материал предназначен для фотолюбителей, уже знакомых с ручным режимом камеры, и обещает разбор ключевых правил и приёмов для получения качественных снимков в тёмное время суток.</t>
  </si>
  <si>
    <t>photocasa.zip</t>
  </si>
  <si>
    <t>Photocasa #64 (март-апрель 2021)</t>
  </si>
  <si>
    <t>Иван Михайлов; Евгений Крутиков; Ксения Гинцак</t>
  </si>
  <si>
    <t>photocasa_64.pdf</t>
  </si>
  <si>
    <t>Это фрагмент журнала «Фотошкола» (выпуск №2, 2021), посвящённый съёмке городских пейзажей с луной и солнцем на телеобъектив. Автор, фотограф Иван Михайлов, делится практическим опытом: рассказывает о выборе техники (камера с кроп-фактором и объектив 300–600 мм), объясняет, как телеобъектив «сплющивает» пространство за счёт малого угла обзора, и даёт пошаговый алгоритм поиска точки съёмки (через карты и панорамы) и расчёта даты (с помощью сайта Photo Ephemeris). Материал ориентирован на фотографов-любителей и продвинутых новичков, которые хотят научиться планировать и делать сложные астрономические кадры.</t>
  </si>
  <si>
    <t>Уличная фотография - Как начать?</t>
  </si>
  <si>
    <t>Артем Демо</t>
  </si>
  <si>
    <t>Street-Photography-How-to-Start.pdf</t>
  </si>
  <si>
    <t>Эта книга Артема Демо представляет собой практическое руководство для начинающих по уличной фотографии. Автор подчеркивает, что главное — начать снимать на любую камеру, а не искать идеальное оборудование, и делает акцент на практике, а не на теории. Ключевые разделы посвящены выбору фотоаппарата, настройкам, советам по съемке незнакомцев и мотивации. Издание предназначено для новичков, которые хотят освоить уличную фотографию и получать от нее удовольствие.</t>
  </si>
  <si>
    <t>The Nikon Guide to Landscape Photography. 2014</t>
  </si>
  <si>
    <t>The Nikon Guide to Landscape Photography. 2014.pdf</t>
  </si>
  <si>
    <t>Мифология композиции в фотографии</t>
  </si>
  <si>
    <t>Андрей Зейгарник</t>
  </si>
  <si>
    <t>Zeyigarnik_A._Mifologiya_Kompozicii_V_F.a4.pdf</t>
  </si>
  <si>
    <t>Книга Андрея Зейгарника «Мифология композиции в фотографии» посвящена разоблачению распространённых заблуждений и псевдоправил о композиции, которые автор называет мифами. Вместо заучивания догм (например, о золотом сечении или обязательном месте перед движущимся объектом) книга предлагает понимать логику построения кадра в зависимости от целей фотографа. Ключевые разделы включают разбор конкретных мифов о кадрировании и компоновке, а также практические упражнения для развития визуального мышления. Издание предназначено как для начинающих, так и для опытных фотографов, желающих избавиться от шаблонов и развить творческий подход.</t>
  </si>
  <si>
    <t>Композиция в фотографии</t>
  </si>
  <si>
    <t>Николай Жолудев</t>
  </si>
  <si>
    <t>Zholudev_N._Kompoziciya_v_fotografii.pdf</t>
  </si>
  <si>
    <t>Книга Николая Жолудева «Композиция в фотографии» посвящена основам построения выразительного кадра, от технических аспектов до творческих приёмов. Автор подробно разбирает структуру снимка: формат, крупность плана, перспективу, «золотое сечение» и ритм, а также типы композиций (центральная, диагональная, симметричная) и работу со светом (рисующий, заполняющий, контровой). Издание предназначено для широкого круга читателей, интересующихся фотографией, — как для начинающих, так и для практикующих фотографов, желающих углубить понимание композиции.</t>
  </si>
  <si>
    <t>Плоскость и пространство или Жизнь квадратом</t>
  </si>
  <si>
    <t>А. И. Лапин</t>
  </si>
  <si>
    <t>А. И. Лапин. Плоскость и пространство или Жизнь квадратом (психология). 2005.pdf</t>
  </si>
  <si>
    <t>Книга Александра Лапина «Плоскость и пространство или Жизнь квадратом» посвящена психологии восприятия фотографического изображения, а именно тому, как плоскость снимка превращается в иллюзию пространства. Автор подробно разбирает ключевые концепции композиции, такие как роль формата кадра (особенно квадрата), законы перспективы и взаимодействие геометрических элементов на снимке. Издание ориентировано на профессиональных фотографов, художников и искусствоведов, уже знакомых с основами визуального языка, а не на новичков.</t>
  </si>
  <si>
    <t>Антон Вершовский. Стрит-фотография: открытие плоскости. 2011</t>
  </si>
  <si>
    <t>Антон Вершовский</t>
  </si>
  <si>
    <t>Double Vision</t>
  </si>
  <si>
    <t>Антон Вершовский. Стрит-фотография открытие полоскости. 2011.pdf</t>
  </si>
  <si>
    <t>Книга Антона Вершовского «Стрит-фотография: открытие плоскости» посвящена изобразительному языку, истории и эволюции идей непостановочной художественной фотографии, в центре которой — человек в городской среде. Ключевые разделы охватывают визуальный язык фотографии (композиция, структура, семиотика), историю развития от гелиограмм до постмодернизма, а также концепции «открытия плоскости» и «прямой» фотографии. Издание рассчитано на неподготовленного читателя, но требует усилий для освоения, так как знакомит с языком искусства, а не с техническими приемами съемки.</t>
  </si>
  <si>
    <t>Б. В. Раушенбах. Общая теория перспективы. 1986</t>
  </si>
  <si>
    <t>Б. В. Раушенбах</t>
  </si>
  <si>
    <t>1986</t>
  </si>
  <si>
    <t>Б. В. Раушенбах. Общая теория перспективы. 1986.pdf</t>
  </si>
  <si>
    <t>Книга Б. В. Раушенбаха посвящена математическому и философскому обоснованию перспективы в изобразительном искусстве, выходящему за рамки классической линейной перспективы. Автор анализирует различные системы перспективы (обратная, аксонометрия, сферическая) и доказывает, что они не являются ошибками, а отражают особенности зрительного восприятия человека. Ключевая концепция — синтез геометрии и психофизиологии зрения для создания «общей теории», объясняющей, как художники разных эпох передавали пространство. Работа предназначена для специалистов в области теории искусства, математиков и искусствоведов, интересующихся фундаментальными основами визуального восприятия.</t>
  </si>
  <si>
    <t>Джон Фримэн. Фотография. Новое полное руководство по фотосъемке. От основ до новейших цифровых методов</t>
  </si>
  <si>
    <t>Джон Фримэн</t>
  </si>
  <si>
    <t>Джон Фримэн. Фотография. Новое полное руководство по фотосъемке. 2006.pdf</t>
  </si>
  <si>
    <t>Данный фрагмент представляет собой введение к книге Джона Фримэна «Фотография. Новое полное руководство по фотосъемке», которая охватывает как базовые, так и современные цифровые методы фотографии. Ключевые разделы, вероятно, включают основы экспозиции, композиции, работу с освещением и особенности цифровой обработки снимков. Книга предназначена для широкого круга читателей — от новичков, делающих первые шаги, до опытных любителей, желающих освоить новейшие технологии.</t>
  </si>
  <si>
    <t>Дон Марр. Секреты фотосьемки в простых примерах. 2007</t>
  </si>
  <si>
    <t>Дон Марр</t>
  </si>
  <si>
    <t>Дон Марр. Секреты фотосьемки в простых примерах. 2007.pdf</t>
  </si>
  <si>
    <t>Книга Дона Марра представляет собой практическое руководство по фотографии, в котором автор на простых примерах объясняет ключевые техники съемки. Основное внимание уделяется работе с освещением, композицией и настройками камеры, а также разбираются типичные ошибки новичков. Издание разделено на тематические блоки, охватывающие портретную, пейзажную и репортажную съемку. Материал рассчитан на начинающих фотографов, желающих быстро освоить базовые принципы и улучшить качество своих снимков.</t>
  </si>
  <si>
    <t>Photoshop для профессионалов. Классическое руководство по цветокоррекции. 5-е издание</t>
  </si>
  <si>
    <t>Дэн Маргулис</t>
  </si>
  <si>
    <t>Дэн Маргулис. Photoshop для профессионалов. Классическое руководство по цветокоррекции. 5-е издание.pdf</t>
  </si>
  <si>
    <t>Книга Дэна Маргулиса представляет собой классическое руководство по профессиональной цветокоррекции в Photoshop, посвященное работе с цветом, контрастом и каналами (RGB, CMYK, LAB). Ключевые концепции включают коррекцию по числам, использование кривых, нерезкое маскирование, конвертацию в черно-белое и настройку параметров печати (GCR, Custom CMYK). Издание предназначено для опытных пользователей и профессиональных ретушеров, уже знакомых с основами программы, а не для новичков.</t>
  </si>
  <si>
    <t>Решающий момент</t>
  </si>
  <si>
    <t>Картье-Брессон Анри . Решающий момент.pdf</t>
  </si>
  <si>
    <t>В этом фрагменте Анри Картье-Брессон, основоположник жанра фоторепортажа, рассказывает о своем творческом пути: от первых любительских снимков и увлечения живописью до профессионального становления и открытия камеры Leica, которая стала «продолжением его глаза». Ключевая концепция книги — «решающий момент», когда фотограф должен интуитивно уловить суть события в одной композиционно завершенной картинке. Автор также подробно разбирает природу фоторепортажа как «операции, производимой зрением, сознанием и чутьем», и делится опытом основания агентства Magnum Photos. Книга предназначена как для начинающих фотографов, так и для специалистов, интересующихся историей фотографии и философией визуального искусства.</t>
  </si>
  <si>
    <t>Фотокомпозиция</t>
  </si>
  <si>
    <t>Л.П. Дыко; А.Д. Головня</t>
  </si>
  <si>
    <t>1962</t>
  </si>
  <si>
    <t>Л.П. Дыко, А.Д. Головня. Фотокомпозиция. 1962.pdf</t>
  </si>
  <si>
    <t>Книга «Фотокомпозиция» (1962) Л.П. Дыко и А.Д. Головни посвящена теории и практике построения кадра в фотографии. В ней рассматриваются ключевые концепции композиции: законы перспективы, равновесия, ритма, света и тональности, а также роль точки съёмки и формата снимка. Издание предназначено как для начинающих фотографов, осваивающих основы визуального языка, так и для специалистов, желающих углубить понимание формальных приёмов.</t>
  </si>
  <si>
    <t>Беседы о фотомастерстве</t>
  </si>
  <si>
    <t>Л.П. Дыко</t>
  </si>
  <si>
    <t>1977</t>
  </si>
  <si>
    <t>Искусство</t>
  </si>
  <si>
    <t>Л.П. Дыко. Беседы о фотомастерстве. 2-е издание. 1977.pdf</t>
  </si>
  <si>
    <t>Книга Л.П. Дыко «Беседы о фотомастерстве» посвящена изобразительному решению темы в фотографии и предназначена для любителей, уже освоивших техническую сторону съемки. Автор рассматривает ключевые концепции композиции: выбор точки съемки, заполнение картинной плоскости, создание смыслового центра, тональное и световое решение кадра, а также ритм и равновесие. Цель пособия — помочь читателю перейти от технически грамотных снимков к художественным произведениям, подчеркивая, что знание законов композиции необходимо как для их применения, так и для осознанного отступления от них ради творческой выразительности.</t>
  </si>
  <si>
    <t>Основы композиции в фотографии</t>
  </si>
  <si>
    <t>1989</t>
  </si>
  <si>
    <t>Л.П. Дыко. Основы композиции в фотографии. 2-е издание. 1989.pdf</t>
  </si>
  <si>
    <t>Книга Л.П. Дыко посвящена основам композиции в фотографии как ключевой проблеме творчества фотографа. Автор рассматривает общие изобразительные средства (композиция кадра, свет, тон, колорит, перспектива), применимые во всех жанрах, от репортажа до пейзажа, и подчеркивает взаимосвязь различных разделов фотографии. Издание предназначено как для начинающих фотографов-любителей, так и для профессионалов, стремящихся глубже понять выразительные возможности фотоискусства.</t>
  </si>
  <si>
    <t>Ночная и вечерняя фотосъемка. Полное руководство</t>
  </si>
  <si>
    <t>Ли Фрост</t>
  </si>
  <si>
    <t>АРТ-РОДНИК</t>
  </si>
  <si>
    <t>Ли Фрост. Ночная и вечерняя фотосъемка. 2007.pdf</t>
  </si>
  <si>
    <t>Книга Ли Фроста «Ночная и вечерняя фотосъемка» представляет собой полное руководство по фотографированию в условиях слабого освещения. В ней подробно рассматриваются вопросы выбора оборудования (камеры, объективы, вспышки, фильтры), определения экспозиции и обеспечения устойчивости камеры. Основной раздел посвящен практическим техникам съемки различных сюжетов: от городских пейзажей и закатов до портретов в помещении, фейерверков и «рисования светом». Издание предназначено как для начинающих, так и для опытных фотографов, желающих освоить сложные и творческие приемы ночной съемки.</t>
  </si>
  <si>
    <t>Творческая фотография. Идеи, сюжеты, техники съемки</t>
  </si>
  <si>
    <t>Ли Фрост. Творческая фотография. 2003.pdf</t>
  </si>
  <si>
    <t>Книга Ли Фроста «Творческая фотография» представляет собой практическое руководство по фотографии, охватывающее как технические основы (свет, композиция, фокусировка, цвет, обработка в тёмной комнате), так и основные жанры съёмки (портрет, пейзаж, городской пейзаж, природа, движение). Ключевые концепции включают рисование светом, работу со вспышкой, создание композиционного баланса, использование цвета и интерпретацию снимков. Издание предназначено для фотографов-любителей, стремящихся развить творческое видение и освоить новые приёмы, и содержит более 200 иллюстраций с пошаговыми инструкциями.</t>
  </si>
  <si>
    <t>Ли Фрост. Фото на продажу. Пособие для фотографов-фрилансеров. Практическое руководство. 2004</t>
  </si>
  <si>
    <t>Ли Фрост. Фото на продажу. Пособие для фотографов-фрилансеров. Практическое руководство. 2004.pdf</t>
  </si>
  <si>
    <t>Эта книга Ли Фроста представляет собой практическое руководство для фотографов, желающих превратить своё хобби в источник дохода. В ней подробно разбираются ключевые аспекты коммерческой фотографии: от выбора жанра и работы с клиентами до ценообразования и юридических вопросов. Особое внимание уделяется таким разделам, как портфолио, поиск заказчиков и специфика съёмки для стоков и рекламы. Издание ориентировано на начинающих и действующих фотографов-фрилансеров, которые хотят систематизировать свои знания и выйти на профессиональный рынок.</t>
  </si>
  <si>
    <t>Черно-белая фотография. Простые способы получения художественных снимков</t>
  </si>
  <si>
    <t>Ли Фрост. Черно-белая фотография. Простые способы получения художественных снимков. 2004.pdf</t>
  </si>
  <si>
    <t>Книга Ли Фроста посвящена искусству черно-белой фотографии и практическим методам создания художественных снимков. Автор подробно рассматривает весь процесс: от выбора оборудования и пленки до съемки, проявления, качественной печати и тонирования отпечатков. Среди ключевых разделов — работа с контрастом, размытием, жидкой эмульсией и коллекция примеров снимков. Издание ориентировано как на начинающих, так и на опытных фотографов, желающих освоить творческие техники черно-белой фотографии.</t>
  </si>
  <si>
    <t>Понятие фото композиции – 21 совет</t>
  </si>
  <si>
    <t>Александр Андреев; Фото Идея</t>
  </si>
  <si>
    <t>Понятие фотокомпозиции-статья_фотокто.pdf</t>
  </si>
  <si>
    <t>Этот фрагмент статьи Александра Андреева посвящён основам фотокомпозиции и объясняет, почему одни снимки привлекают внимание, а другие нет. Ключевые концепции включают правило третей и золотого сечения, геометрическую композицию, способы передачи объёма через перспективу и тона, а также влияние цвета на восприятие. Материал предназначен для начинающих фотографов, которые хотят освоить базовые правила построения гармоничного кадра.</t>
  </si>
  <si>
    <t>Цифровая фотография. Том 1</t>
  </si>
  <si>
    <t>Скотт Келби</t>
  </si>
  <si>
    <t>Скотт Келби. Цифровая фотография. Том 1. 2011.pdf</t>
  </si>
  <si>
    <t>Книга Скотта Келби «Цифровая фотография. Том 1» представляет собой практическое руководство для начинающих фотографов, желающих освоить съёмку без погружения в сложную теорию. Автор в простой и доступной форме объясняет ключевые концепции: как правильно держать камеру, выбирать настройки экспозиции, работать со вспышкой и компоновать кадр. Отдельные разделы посвящены съёмке портретов, пейзажей, спортивных мероприятий и путешествий, а также основам обработки снимков. Материал построен по принципу «сделай так — получишь результат», что делает книгу идеальной для новичков, которые хотят быстро улучшить свои навыки.</t>
  </si>
  <si>
    <t>Скотт Келби. Цифровая фотография. Том 2. 2011</t>
  </si>
  <si>
    <t>Скотт Келби. Цифровая фотография. Том 2. 2011.pdf</t>
  </si>
  <si>
    <t>Скотт Келби в книге «Цифровая фотография. Том 2» продолжает серию практических руководств, посвящённых профессиональным приёмам съёмки и обработки снимков. Книга охватывает такие ключевые темы, как работа со вспышкой, съёмка портретов, пейзажей и спортивных событий, а также советы по постобработке в Adobe Photoshop и Lightroom. Материал изложен в формате пошаговых инструкций и «секретов» от профи, что делает его доступным для фотографов среднего уровня, уже освоивших основы. Издание ориентировано на любителей и начинающих профессионалов, желающих улучшить качество своих фотографий без углубления в сложную теорию.</t>
  </si>
  <si>
    <t>Цифровая фотография. Том 3</t>
  </si>
  <si>
    <t>Скотт Келби. Цифровая фотография. Том 3. 2011.pdf</t>
  </si>
  <si>
    <t>Книга Скотта Келби «Цифровая фотография. Том 3» посвящена продвинутым техникам и профессиональным секретам обработки фотографий, а также съёмке в сложных условиях. Ключевые разделы охватывают работу со светом, цветокоррекцию, ретушь портретов и создание эффектов в Adobe Photoshop и Lightroom. Издание предназначено для фотографов среднего уровня, которые уже освоили базу и хотят улучшить качество своих снимков до профессионального стандарта.</t>
  </si>
  <si>
    <t>Техника и технология фотосъёмки</t>
  </si>
  <si>
    <t>Я.Д. Фельдман; Л.Д. Курский</t>
  </si>
  <si>
    <t>Легкая и пищевая промышленность</t>
  </si>
  <si>
    <t>Фельдман_Курский.pdf</t>
  </si>
  <si>
    <t>Книга «Техника и технология фотосъемки» представляет собой учебное пособие для техникумов, посвященное профессиональной фотографии, с акцентом на портретную съемку. Ключевые разделы охватывают методику портретирования, композицию, работу с освещением (рисующий, заполняющий, моделирующий свет), а также внепавильонную съемку, включая репортаж, архитектуру и специальные виды. Издание предназначено для учащихся средних учебных заведений и действующих фотографов-профессионалов, желающих повысить квалификацию.</t>
  </si>
  <si>
    <t>Освещение в фотографии. Библия света. 4-е издание</t>
  </si>
  <si>
    <t>Фил Хантер; Стивен Бивер; Пол Фукуа</t>
  </si>
  <si>
    <t>Фил Хантер, Стивен Бивер, Пол Фукуа. Освещение в фотографии. Библия света. 4-е издание. 2014.pdf</t>
  </si>
  <si>
    <t>Книга «Освещение в фотографии. Библия света» представляет собой исчерпывающее руководство по работе со светом в фотографии, охватывающее как теоретические основы, так и практические техники. Ключевые разделы включают физику света, типы источников (естественные и искусственные), схемы постановки света для портретов, предметной съемки и студийной работы. Издание предназначено как для начинающих фотографов, желающих освоить азы, так и для опытных специалистов, стремящихся углубить понимание сложных световых решений.</t>
  </si>
  <si>
    <t>Science &amp; Technology Trends 2020-2040: Exploring the S&amp;T Edge</t>
  </si>
  <si>
    <t>D.F. Reding; J. Eaton</t>
  </si>
  <si>
    <t>NATO Science &amp; Technology Organization</t>
  </si>
  <si>
    <t>Нон-фикшн/Футурология</t>
  </si>
  <si>
    <t>Футурология</t>
  </si>
  <si>
    <t>Science &amp; Technology Trends-2020-2040.pdf</t>
  </si>
  <si>
    <t>C:\Users\alexa\YandexDisk\Книги\Нон-фикшн\Футурология</t>
  </si>
  <si>
    <t>Данный фрагмент представляет собой введение к отчету НАТО «Science &amp; Technology Trends: 2020-2040», который посвящен анализу влияния emerging and disruptive S&amp;T (новых и прорывных научно-технологических трендов) на безопасность и оборону Альянса в ближайшие 20 лет. Ключевые разделы включают оценку развития технологий, контекстуальные тренды (инновации, стратегические драйверы) и детальный анализ конкретных областей, таких как искусственный интеллект, автономия, квантовые технологии и биотехнологии. Отчет предназначен для руководства НАТО и национальных правительств (уровень специалистов и лиц, принимающих решения), а также для оборонного научно-технического сообщества.</t>
  </si>
  <si>
    <t>Неизбежно. 12 технологических трендов, которые определяют наше будущее</t>
  </si>
  <si>
    <t>Кевин Келли</t>
  </si>
  <si>
    <t>Келли-Неизбежно-12-технологических трендов.pdf</t>
  </si>
  <si>
    <t>Книга Кевина Келли «Неизбежно» посвящена двенадцати технологическим трендам, которые, по мнению автора, предопределят развитие общества, экономики и человеческого мышления в ближайшие 30 лет. Ключевые концепции включают трансформацию, искусственный интеллект, эффект потока, сканирование, предоставление доступа, совместное использование, фильтрацию, ремиксы, интерактивность, отслеживание, постановку вопросов и начало. Издание предназначено для широкой аудитории, включая новичков и специалистов, которые хотят понять, куда инвестировать, чему учиться и как адаптироваться к быстро меняющемуся миру.</t>
  </si>
  <si>
    <t>Amazon Web Services in Action, Third Edition MEAP V03</t>
  </si>
  <si>
    <t>Andreas Wittig; Michael Wittig</t>
  </si>
  <si>
    <t>Облачные технологии/AWS</t>
  </si>
  <si>
    <t>Облачные технологии</t>
  </si>
  <si>
    <t>AWS</t>
  </si>
  <si>
    <t>Amazon Web Services in Action 3rd Ed MEAP3.pdf</t>
  </si>
  <si>
    <t>C:\Users\alexa\YandexDisk\Книги\Облачные технологии\AWS</t>
  </si>
  <si>
    <t>Книга «Amazon Web Services in Action, Third Edition» представляет собой практическое руководство по облачной платформе AWS, охватывающее фундаментальные концепции, автоматизацию инфраструктуры и построение отказоустойчивых масштабируемых систем. Ключевые разделы включают работу с виртуальными машинами (EC2), сетевыми настройками (VPC), безопасностью (IAM), хранением данных (S3, EBS, RDS, DynamoDB) и современными архитектурами на контейнерах (ECS, Fargate). Издание предназначено как для новичков, желающих освоить AWS с нуля, так и для специалистов, стремящихся углубить знания и автоматизировать облачные решения.</t>
  </si>
  <si>
    <t>AWS for Non-Engineers</t>
  </si>
  <si>
    <t>Hiroko Nishimura</t>
  </si>
  <si>
    <t>AWS.pdf</t>
  </si>
  <si>
    <t>Эта книга представляет собой введение в облачные вычисления и Amazon Web Services (AWS), ориентированное на читателей без технического бэкграунда. Она охватывает ключевые концепции облака, такие как модели развертывания и преимущества, а также основные сервисы AWS, вопросы безопасности и ценообразования. Структура книги соответствует четырем доменам экзамена AWS Certified Cloud Practitioner (CLF-C01): облачные концепции, безопасность и соответствие требованиям, технологии, а также биллинг и цены. Издание предназначено для новичков, желающих получить базовое понимание AWS и подготовиться к сертификации начального уровня.</t>
  </si>
  <si>
    <t>Spring Boot Microservices on AWS Elastic Kubernetes Services (EKS): With AWD RDS Backend</t>
  </si>
  <si>
    <t>Datta, Binit</t>
  </si>
  <si>
    <t>Spring_Boot_Microservices_on_AWS_Elastic_Kubernetes_Services_EKS.epub</t>
  </si>
  <si>
    <t>Книга посвящена созданию и развертыванию продакшн-микросервисов на Spring Boot в облаке AWS с использованием сервиса Elastic Kubernetes Service (EKS) и базы данных RDS MySQL. В ней рассматриваются ключевые концепции контейнеризации, оркестрации Kubernetes, архитектуры кластера, а также продвинутые темы Spring Boot, такие как АОП и обработка событий. Издание включает практические руководства по настройке инструментов, созданию REST API, работе с AWS ECR, EKS и развертыванию приложений. Книга предназначена для разработчиков, уже знакомых с основами Java и Spring, которые хотят освоить облачную разработку и оркестрацию контейнеров на профессиональном уровне.</t>
  </si>
  <si>
    <t>Бессерверные приложения на JavaScript</t>
  </si>
  <si>
    <t>Бессерверные приложения на JavaScript 2020.pdf</t>
  </si>
  <si>
    <t>Книга посвящена проектированию и созданию бессерверных веб-приложений на платформе AWS с использованием JavaScript, Node.js и библиотеки Claudia.js. В ней рассматриваются ключевые концепции, такие как разработка функций AWS Lambda, работа с API Gateway, аутентификация, базы данных и асинхронные функции, а также создание чат-ботов и интеграция с голосовым помощником Amazon Alexa. Издание предназначено для веб-разработчиков, уже знакомых с JavaScript и Node.js, желающих освоить бессерверную архитектуру.</t>
  </si>
  <si>
    <t>Azure for Developers</t>
  </si>
  <si>
    <t>Mrzyglod, Kamil</t>
  </si>
  <si>
    <t>Облачные технологии/Azure</t>
  </si>
  <si>
    <t>Azure</t>
  </si>
  <si>
    <t>Azure.for.Developers.2nd.Edition.pdf</t>
  </si>
  <si>
    <t>C:\Users\alexa\YandexDisk\Книги\Облачные технологии\Azure</t>
  </si>
  <si>
    <t>Книга «Azure for Developers» (второе издание) Камиля Мжиглода посвящена практическому использованию облачных сервисов Microsoft Azure, в первую очередь технологий PaaS, таких как контейнеры, бессерверные решения и хранилища данных. В рассмотренном фрагменте представлено содержание первых глав, которые охватывают создание и развертывание веб-приложений через Azure App Service, управление образами с помощью Azure Container Registry и развертывание приложений в контейнерах, включая работу с Azure Kubernetes Service. Книга предназначена для разработчиков, уже имеющих базовый опыт, которые хотят углубить свои знания в построении масштабируемых и надежных облачных решений на платформе Azure.</t>
  </si>
  <si>
    <t>Mastering Apache Pulsar. Cloud Native Event Streaming at Scale</t>
  </si>
  <si>
    <t>Jowanza Joseph</t>
  </si>
  <si>
    <t>Облачные технологии/GCP</t>
  </si>
  <si>
    <t>GCP</t>
  </si>
  <si>
    <t>Mastering_Apache_Pulsar_Cloud_Native_Event_Streaming_at_Scale.pdf</t>
  </si>
  <si>
    <t>C:\Users\alexa\YandexDisk\Книги\Облачные технологии\GCP</t>
  </si>
  <si>
    <t>Книга Джованцы Джозефа «Mastering Apache Pulsar» посвящена облачной потоковой обработке событий в масштабе с помощью Apache Pulsar. Автор подробно объясняет мотивацию создания Pulsar, его внутреннее устройство (главы 4–10), а также вопросы развертывания и эксплуатации в production, включая работу с Kubernetes. Издание предназначено как для тех, кто хочет изучить Apache Pulsar с нуля, так и для специалистов, интересующихся архитектурами событийных потоков в целом.</t>
  </si>
  <si>
    <t>Visualizing Google Cloud</t>
  </si>
  <si>
    <t>Priyanka Vergadia</t>
  </si>
  <si>
    <t>Visualizing_Google_Cloud_101_Illustrated_References_for_Cloud_Engineers.pdf</t>
  </si>
  <si>
    <t>Это иллюстрированное справочное пособие по Google Cloud, предназначенное для облачных инженеров и архитекторов. Книга охватывает ключевые концепции и сервисы Google Cloud, разбитые на тематические главы, включая вычисления, хранение данных, сети, безопасность и машинное обучение. Материал рассчитан на специалистов, уже имеющих базовое понимание облачных технологий, и предлагает наглядные объяснения сложных технических тем.</t>
  </si>
  <si>
    <t>Architecting Data and Machine Learning Platforms</t>
  </si>
  <si>
    <t>Marco Tranquillin; Valliappa Lakshmanan; Firat Tekiner</t>
  </si>
  <si>
    <t>Облачные технологии/Общие вопросы</t>
  </si>
  <si>
    <t>Architecting Data and ML Platforms_True.pdf</t>
  </si>
  <si>
    <t>C:\Users\alexa\YandexDisk\Книги\Облачные технологии\Общие вопросы</t>
  </si>
  <si>
    <t>Книга «Architecting Data and Machine Learning Platforms» посвящена проектированию, созданию и модернизации облачных платформ для работы с данными и машинного обучения с использованием AWS, Azure, Google Cloud, Snowflake и Databricks. Авторы охватывают полный жизненный цикл данных — от приёма до активации, включая такие ключевые концепции, как построение управляемых, масштабируемых и отказоустойчивых платформ, демократизация доступа к данным, создание потоковых конвейеров для принятия решений в реальном времени и внедрение MLOps для перехода к предиктивной и прескриптивной аналитике. Издание предназначено для облачных архитекторов и специалистов по данным, стремящихся ускорить инновации и получить конкурентное преимущество с помощью AI/ML.</t>
  </si>
  <si>
    <t>Cloud Native Microservices With Kubernetes</t>
  </si>
  <si>
    <t>Облачные микросервисы.pdf</t>
  </si>
  <si>
    <t>Книга Аймена Эль Амри посвящена созданию, масштабированию и управлению облачными микросервисами с использованием платформы Kubernetes. В ней подробно рассматриваются ключевые концепции, такие как методология двенадцати факторов, архитектура микросервисов, стратегии высокой доступности, CI/CD, GitOps и наблюдаемость, а также приводятся практические примеры с инструментами Docker, Helm, Prometheus и Istio. Издание предназначено для инженеров DevOps, архитекторов ПО, системных администраторов и разработчиков, уже имеющих базовый опыт работы с контейнеризацией и облачными технологиями.</t>
  </si>
  <si>
    <t>Облачные технологии. Практическое руководство по созданию инновационных приложений</t>
  </si>
  <si>
    <t>Джейд Картер</t>
  </si>
  <si>
    <t>Облачные технологии.pdf</t>
  </si>
  <si>
    <t>Этот фрагмент книги Джейд Картер «Облачные технологии. Практическое руководство по созданию инновационных приложений» посвящён введению в облачные технологии и их роли в современном IT-ландшафте. В главе рассматриваются ключевые концепции, такие как гибкость и масштабируемость, экономия затрат за счёт отказа от собственной инфраструктуры, высокая доступность и отказоустойчивость, а также доступ к современным технологиям. Материал ориентирован на широкую аудиторию, включая новичков, желающих понять основы облачных вычислений и их преимущества для бизнеса.</t>
  </si>
  <si>
    <t>Cloud Native Architectures</t>
  </si>
  <si>
    <t>Tom Laszewski; Kamal Arora; Erik Farr; Piyum Zonooz</t>
  </si>
  <si>
    <t>Облачные_архитектуры_разработка_устойчивых_и_экономичных_облачных.pdf</t>
  </si>
  <si>
    <t>Книга «Облачные архитектуры» Тома Лащевски и соавторов посвящена проектированию, разработке и развертыванию устойчивых, высокодоступных и экономически эффективных cloud native приложений. В ней рассматриваются ключевые концепции, такие как микросервисы, бессерверные вычисления, масштабируемость, безопасность и оптимизация затрат, а также практические паттерны облачного проектирования. Издание охватывает процесс организационной трансформации и модернизации развертывания, включая примеры архитектур для AWS, Azure и Google Cloud Platform. Книга предназначена для разработчиков и IT-специалистов среднего уровня, желающих освоить современные подходы к созданию облачных решений.</t>
  </si>
  <si>
    <t>Переход в облако: Практическое руководство по организации облачных вычислений для ученых и IT-специалистов</t>
  </si>
  <si>
    <t>Хуан Аньель; Диего Монтес; Хавьер Родейро Иглесиа</t>
  </si>
  <si>
    <t>СберКлауд Переход в облако.pdf</t>
  </si>
  <si>
    <t>Книга представляет собой практическое руководство по облачным вычислениям, написанное экспертами компании SberCloud. Авторы развенчивают мифы об облаках, объясняя их суть и возможности, выходящие далеко за рамки простого хранения файлов, включая создание виртуальных сетей, тестирование приложений и использование машинного обучения. Ключевой концепцией является идея о том, что для каждой задачи следует выбирать подходящий инструмент, а не слепо следовать новейшим архитектурам. Издание предназначено для широкой аудитории: от студентов и любителей технологий до IT-специалистов, исследователей и руководителей проектов, которым важно понимать преимущества и проблемы облачных стратегий.</t>
  </si>
  <si>
    <t>Electric and Electronic Circuit Simulation using TINA-TI®</t>
  </si>
  <si>
    <t>Asadi, Farzin</t>
  </si>
  <si>
    <t>River Publishers</t>
  </si>
  <si>
    <t>Образование/Физика</t>
  </si>
  <si>
    <t>Образование</t>
  </si>
  <si>
    <t>Физика</t>
  </si>
  <si>
    <t>Electric and Electronic Circuit Simulation using TINA-TI.pdf</t>
  </si>
  <si>
    <t>C:\Users\alexa\YandexDisk\Книги\Образование\Физика</t>
  </si>
  <si>
    <t>Книга Farzin Asadi посвящена практическому моделированию электрических и электронных цепей с помощью бесплатной программы TINA-TI. Она охватывает широкий спектр тем: от базовых схем (резистивные делители, RLC-цепи) до продвинутых методов анализа (частотные характеристики, преобразование Фурье, параметрический анализ и работа с управляемыми источниками). Материал организован в виде пошаговых примеров с подробными инструкциями, включая экспорт данных в MATLAB и измерение фазовых сдвигов. Книга предназначена для студентов, инженеров и специалистов начального и среднего уровня, желающих освоить симуляцию цепей без глубоких теоретических знаний.</t>
  </si>
  <si>
    <t>Абсолютный минимум. Как квантовая теория объясняет наш мир</t>
  </si>
  <si>
    <t>Файер М.</t>
  </si>
  <si>
    <t>Fayer_M_-_Absolyutny_minimum_Kak_kvantovaya_teoria_obyasnyaet_nash_mir_New_Science_-_2016_pdf.pdf</t>
  </si>
  <si>
    <t>Книга Майкла Файера «Абсолютный минимум» представляет собой доступное введение в квантовую физику, объясняющее сложные научные концепции на примерах из повседневной жизни, без углубления в математику. В ней рассматриваются такие ключевые темы, как кот Шрёдингера, природа волн, фотоэлектрический эффект и корпускулярно-волновой дуализм света. Издание предназначено для широкой аудитории новичков, интересующихся наукой, и стремится не упрощать материал, а развивать интеллект читателя, следуя традициям популяризаторов науки вроде Стивена Хокинга.</t>
  </si>
  <si>
    <t>Quantum Mechanics and Bayesian Machines</t>
  </si>
  <si>
    <t>George Chapline</t>
  </si>
  <si>
    <t>Quantum Mechanics And Bayesian Machines (2023).pdf</t>
  </si>
  <si>
    <t>Книга Джорджа Чеплайна «Квантовая механика и байесовские машины» исследует связь между квантовой механикой и байесовским анализом, предлагая квантовую обработку информации как естественную основу для решения задач машинного обучения, таких как распознавание образов и принятие решений в условиях неопределенности. Ключевые концепции включают квантовую самоорганизацию, связь оптимального управления и обучения с подкреплением с интегрируемыми нелинейными дифференциальными уравнениями, а также использование римановых поверхностей для представления байесовского обучения. Книга предназначена для специалистов в области квантовой физики, информатики и когнитивных наук, интересующихся математическими принципами работы мозга и перспективами квантовых вычислений.</t>
  </si>
  <si>
    <t>Космос</t>
  </si>
  <si>
    <t>sb-kosmos.pdf</t>
  </si>
  <si>
    <t>Эта книга — научно-популярное введение в астрономию и космонавтику, охватывающее широкий круг тем: от определения космоса и теории Большого взрыва до современных ракет, телескопов и увлекательных фактов о Вселенной. Особое внимание уделяется размышлениям астронавта об «орбитальной точке зрения» и изменении восприятия Земли из космоса. Издание предназначено для новичков и всех, кто хочет получить базовые, но яркие знания о космосе, включая детей и взрослых, интересующихся темой.</t>
  </si>
  <si>
    <t>Квантовые миры и возникновение пространства-времени</t>
  </si>
  <si>
    <t>Шон Б. Кэрролл</t>
  </si>
  <si>
    <t>Квантовые_миры_и_возникновение_пространства_времени_2022_Кэрролл.pdf</t>
  </si>
  <si>
    <t>Книга Шона Кэрролла посвящена квантовой механике и её самой смелой интерпретации — многомировой, где каждое квантовое событие порождает ветвящиеся реальности. Автор доступно объясняет, как эта теория отказывается от привычных представлений о реальности, объединяя повседневный опыт с головокружительной картиной множества вселенных. Ключевые разделы охватывают фундаментальные принципы квантовой механики, её применение в современных технологиях и философские следствия многомировой интерпретации. Книга предназначена для широкого круга читателей, включая новичков, благодаря доходчивому и увлекательному стилю изложения, но при этом сохраняет глубину, интересную и специалистам.</t>
  </si>
  <si>
    <t>Отличная квантовая механика</t>
  </si>
  <si>
    <t>Александр Львовский</t>
  </si>
  <si>
    <t>Альпина нон-фикшн</t>
  </si>
  <si>
    <t>Львовский_А_Отличная_квантовая_механика_1_Альпина_2019.pdf</t>
  </si>
  <si>
    <t>Это учебное пособие по квантовой механике, в котором наряду с традиционными темами (уравнение Шрёдингера, атом водорода) глубоко рассматриваются концепции гильбертова пространства, квантового измерения, запутанности и декогеренции. Ключевой особенностью книги является использование поляризации фотонов как наглядного инструмента для визуализации квантовых явлений, а также иллюстрация теории примерами из современных квантовых технологий. Материал предназначен для студентов-физиков, аспирантов и всех интересующихся, при этом требуемый математический аппарат не выходит за рамки технического вуза.</t>
  </si>
  <si>
    <t>СМАРТФОНИКА: научные эксперименты со смартфоном</t>
  </si>
  <si>
    <t>Улисс Делябр</t>
  </si>
  <si>
    <t>Смартфоника_Научные_эксперименты_со_смартфоном.pdf</t>
  </si>
  <si>
    <t>Книга «Смартфоника» Улисса Делябра посвящена использованию встроенных датчиков смартфона (акселерометра, гироскопа, камеры, магнитометра) для проведения научных экспериментов. В ней подробно описываются возможности гаджета как мини-лаборатории и приводятся практические опыты, такие как измерение массы Земли, радиуса планеты с помощью маятника, анализ звука и наблюдение микрообъектов. Издание предназначено для широкой аудитории, включая школьников и любителей науки, и не требует сложного оборудования или специальной подготовки.</t>
  </si>
  <si>
    <t>Linux for Small Business Owners: Using Free and Open Source Software to Power Your Dreams</t>
  </si>
  <si>
    <t>David Both; Cyndi Bulka</t>
  </si>
  <si>
    <t>Операционные системы/Linux</t>
  </si>
  <si>
    <t>Операционные системы</t>
  </si>
  <si>
    <t>Linux</t>
  </si>
  <si>
    <t>! Linux for Small Business Owners.pdf</t>
  </si>
  <si>
    <t>C:\Users\alexa\YandexDisk\Книги\Операционные системы\Linux</t>
  </si>
  <si>
    <t>Эта книга посвящена использованию Linux и свободного программного обеспечения с открытым исходным кодом для владельцев малого бизнеса. Авторы делятся личным опытом перехода на Linux, рассматривают историю операционной системы и её преимущества по сравнению с Windows. Ключевые разделы включают практические примеры внедрения Linux в бизнесе и упражнения для закрепления материала. Издание предназначено для владельцев малого бизнеса и начинающих пользователей, желающих освоить бесплатную и гибкую альтернативу коммерческим ОС.</t>
  </si>
  <si>
    <t>Linux. От новичка к профессионалу</t>
  </si>
  <si>
    <t>! Linux. От новичка к профессионалу.pdf</t>
  </si>
  <si>
    <t>Книга Дениса Колисниченко «Linux. От новичка к профессионалу» представляет собой практическое руководство по операционной системе Linux, охватывающее все этапы работы: от установки и настройки дистрибутивов (Fedora, Ubuntu, openSUSE, Slackware) до администрирования сервера, настройки сети, безопасности и резервного копирования. В восьмом издании добавлены темы модуля zRAM, файловой системы Btrfs, настройки Apache и брандмауэра ufw. Материал ориентирован на широкий круг пользователей — от новичков до начинающих системных администраторов.</t>
  </si>
  <si>
    <t>Linux на примерах. Практика, практика и только практика</t>
  </si>
  <si>
    <t>! Linux_на_примерах_Ubunta-AstraLinux 2022 Колиснеченко.pdf</t>
  </si>
  <si>
    <t>Книга Д. Н. Колисниченко является практическим руководством по работе с операционной системой Linux и её администрированию, объединяя теорию с практическими примерами для различных дистрибутивов. Она охватывает широкий спектр тем: от установки системы, настройки и основ командной строки до продвинутых разделов, таких как управление файловой системой, маршрутизация, настройка брандмауэра и системные процессы. Издание предназначено как для новичков, только начинающих знакомство с Linux, так и для опытных пользователей, желающих расширить свои навыки.</t>
  </si>
  <si>
    <t>Astra Linux. Установка, настройка, администрирование</t>
  </si>
  <si>
    <t>Матвеев М. Д.</t>
  </si>
  <si>
    <t>!!!! Astra Linux.pdf</t>
  </si>
  <si>
    <t>Книга М. Д. Матвеева посвящена операционной системе Astra Linux, её установке, настройке и администрированию. В руководстве последовательно рассматриваются такие темы, как подготовка инсталляционного носителя, разметка диска, основы командной строки, настройка сетей и запуск Windows-приложений, а также более сложные задачи, включая настройку веб-сервера. Издание ориентировано как на начинающих пользователей, желающих освоить систему с нуля, так и на опытных линуксоидов, стремящихся углубить знания об Astra Linux.</t>
  </si>
  <si>
    <t>Командная строка Linux. Полное руководство. 2-е международное издание</t>
  </si>
  <si>
    <t>William Shotts</t>
  </si>
  <si>
    <t>!!!_Командная_строка_linux,_2_е_издание,_2020.pdf</t>
  </si>
  <si>
    <t>Книга Уильяма Шоттса «Командная строка Linux» представляет собой полное руководство по работе с командной оболочкой bash, охватывающее навигацию по файловой системе, настройку окружения и создание сценариев. Ключевые разделы включают управление файлами, перенаправление ввода-вывода, регулярные выражения, обработку текста и программирование на bash 4.x с акцентом на современные методы и предотвращение ошибок. Издание предназначено как для новичков, делающих первые шаги в командной строке, так и для опытных специалистов, желающих углубить знания и освоить продвинутые техники.</t>
  </si>
  <si>
    <t>Весь Linux. Для тех, кто хочет стать профессионалом</t>
  </si>
  <si>
    <t>!Весь Linux. Для тех, кто хочет стать профессионалом.pdf</t>
  </si>
  <si>
    <t>Книга представляет собой всеобъемлющее руководство по операционной системе Linux, охватывающее как теоретические основы, так и практические аспекты работы с ней. В издании рассматриваются темы от установки системы и основ командной строки до настройки серверов (DNS, SSH, DHCP, FTP), администрирования, безопасности и резервного копирования, причем примеры приводятся на базе дистрибутивов Ubuntu и российского Astra Linux. Материал ориентирован на широкую аудиторию — от новичков, только начинающих знакомство с Linux, до опытных пользователей, желающих углубить свои навыки администрирования.</t>
  </si>
  <si>
    <t>Bash. Карманный справочник системного администратора</t>
  </si>
  <si>
    <t>Bash_Карманный_справочник_системного.djvu</t>
  </si>
  <si>
    <t>Книга представляет собой карманный справочник по командной оболочке Bash, ориентированный на системных администраторов и пользователей Linux. В ней рассматриваются ключевые концепции работы с оболочкой, включая синтаксис команд, переменные, условные операторы, циклы и функции. Особое внимание уделяется практическим примерам и сценариям автоматизации задач. Издание предназначено для специалистов среднего и продвинутого уровня, желающих углубить знания в администрировании и скриптинге.</t>
  </si>
  <si>
    <t>BPF для мониторинга Linux</t>
  </si>
  <si>
    <t>David Calavera; Lorenzo Fontana</t>
  </si>
  <si>
    <t>BPF для мониторинга Linux.pdf</t>
  </si>
  <si>
    <t>Книга «BPF для мониторинга Linux» Дэвида Калаверы и Лоренцо Фонтаны посвящена виртуальной машине BPF — ключевому компоненту ядра Linux для наблюдения и модификации его поведения. В издании рассматриваются написание программ BPF, работа с картами BPF, трассировка, сетевые возможности (включая Express Data Path) и вопросы безопасности. Материал ориентирован на системных инженеров и специалистов по производительности, желающих углубить знания в оптимизации, сетях и безопасности Linux.</t>
  </si>
  <si>
    <t>BPF: профессиональная оценка производительности</t>
  </si>
  <si>
    <t>Грегг Брендан</t>
  </si>
  <si>
    <t>BPF. Профессиональная оценка производительности.pdf</t>
  </si>
  <si>
    <t>Книга Брендана Грегга посвящена применению технологии BPF для профессиональной оценки производительности Linux-систем и приложений. Она охватывает более 150 готовых инструментов анализа и отладки, а также пошаговые инструкции по созданию собственных, с детальным разбором процессоров, памяти, дисков, сетей, безопасности и контейнеров. Издание предназначено для опытных специалистов (уровень профессионал), стремящихся глубоко понять и улучшить производительность любых Linux-систем.</t>
  </si>
  <si>
    <t>Linux на практике</t>
  </si>
  <si>
    <t>Кристин Бреснахэн; Ричард Блум</t>
  </si>
  <si>
    <t>Bresnakhen_K__Blum_R_-_Linux_na_praktike_-_2017.pdf</t>
  </si>
  <si>
    <t>Книга «Linux на практике» представляет собой учебное пособие по операционной системе Linux, предназначенное для обучения сотрудников. Она охватывает основы работы с системой, включая выбор дистрибутивов, лицензирование, командную строку, управление файлами, процессами, пользователями и группами, а также основы безопасности и сетевых подключений. Материал структурирован по тематическим урокам, что позволяет быстро находить нужную информацию. Книга рассчитана на начинающих пользователей и специалистов, желающих освоить практическую работу с Linux.</t>
  </si>
  <si>
    <t>How Linux Works</t>
  </si>
  <si>
    <t>Brian Ward</t>
  </si>
  <si>
    <t>Brian_Ward_How_Linux_Works,_3rd_Edition_What_Every_Superuser_Should.epub</t>
  </si>
  <si>
    <t>Книга Брайана Уорда «How Linux Works» представляет собой практическое руководство по устройству и администрированию операционной системы Linux. В ней рассматриваются ключевые концепции, такие как уровни абстракции системы, работа ядра, управление процессами и памятью, файловые системы, загрузка системы и инициализация с помощью systemd. Издание предназначено для пользователей, стремящихся стать опытными администраторами (суперпользователями), и требует начальных навыков работы с командной строкой.</t>
  </si>
  <si>
    <t>Learn Linux Quickly</t>
  </si>
  <si>
    <t>Ahmed AlKabary</t>
  </si>
  <si>
    <t>Learn Linux Quickly.pdf</t>
  </si>
  <si>
    <t>Эта книга представляет собой практическое руководство по операционной системе Linux, предназначенное для начинающих пользователей. Автор, Ахмед АльКабари, начинает с краткой истории Linux и установки виртуальной машины, затем знакомит читателя с основами работы в терминале и оболочке. Ключевые разделы включают навигацию по файловой системе, работу с командами, создание файлов и каталогов, а также изучение скрытых файлов. Материал рассчитан на новичков, желающих быстро освоить базовые навыки работы с этой мощной системой.</t>
  </si>
  <si>
    <t>Linux API. Исчерпывающее руководство</t>
  </si>
  <si>
    <t>Керриск Майкл</t>
  </si>
  <si>
    <t>Linux API. Исчерпывающее руководство 2019.pdf</t>
  </si>
  <si>
    <t>Книга «Linux API. Исчерпывающее руководство» Майкла Керриска представляет собой авторитетное руководство по системному программированию для Linux и UNIX, подробно описывающее системные вызовы и библиотечные функции. Ключевые разделы охватывают файловый ввод-вывод, процессы, сигналы, таймеры, потоки выполнения, управление памятью и файловые системы. Издание предназначено для программистов, уже имеющих базовый опыт, и содержит множество примеров полнофункциональных программ для иллюстрации теории.</t>
  </si>
  <si>
    <t>Linux Command Line and Shell Scripting Techniques</t>
  </si>
  <si>
    <t>Vedran Dakic;Jasmin Redzepagic</t>
  </si>
  <si>
    <t>Linux Command Line and Shell Scripting Techniques 2022.pdf</t>
  </si>
  <si>
    <t>Книга «Linux Command Line and Shell Scripting Techniques» (2022) посвящена практическому освоению командной строки Linux и её использованию в процессе написания shell-скриптов. Ключевые разделы охватывают работу с терминалом, автоматизацию задач и применение скриптов для администрирования систем. Издание предназначено для специалистов среднего уровня (системных администраторов, DevOps-инженеров), желающих углубить практические навыки работы с Linux.</t>
  </si>
  <si>
    <t>Linux System Programming</t>
  </si>
  <si>
    <t>Robert Love</t>
  </si>
  <si>
    <t>Linux system program... by Robert Love.pdf</t>
  </si>
  <si>
    <t>Эта книга Роберта Лава посвящена системному программированию в Linux, то есть взаимодействию прикладных программ с ядром операционной системы через системные вызовы. В ней рассматриваются фундаментальные концепции, такие как файловый ввод-вывод, процессы, сигналы и межпроцессное взаимодействие, а также практические аспекты работы с C-библиотекой и компилятором. Издание предназначено для программистов, уже знакомых с основами разработки, которые хотят углубить свои знания в области низкоуровневого взаимодействия с Linux.</t>
  </si>
  <si>
    <t>Linux в действии</t>
  </si>
  <si>
    <t>Дэвид Клинтон</t>
  </si>
  <si>
    <t>Linux в действии.pdf</t>
  </si>
  <si>
    <t>Книга «Linux в действии» Дэвида Клинтона посвящена практическому освоению Linux через выполнение 12 реальных проектов, таких как настройка резервного копирования, создание личного облачного хранилища и веб-сервера MediaWiki. Ключевые разделы охватывают виртуализацию, безопасность, управление сетью, автоматизацию с помощью Ansible и устранение неполадок системы. Издание предназначено для программистов и системных администраторов начального и среднего уровня, желающих получить практические навыки администрирования Linux.</t>
  </si>
  <si>
    <t>Linux глазами хакера. 6-е изд.</t>
  </si>
  <si>
    <t>Linux глазами хакера 6-е изд.pdf</t>
  </si>
  <si>
    <t>Книга Михаила Фленова посвящена настройке операционной системы Linux с акцентом на максимальную производительность и безопасность, рассматривая систему с точки зрения хакера. В издании описаны базовое администрирование, управление доступом, настройка Firewall, WEB-, FTP- и Proxy-серверов, а также политика мониторинга и архивирования данных. Особое внимание уделяется потенциальным уязвимостям, предотвращению атак и действиям при взломе для быстрого восстановления системы. Шестое издание обновлено под последнюю версию Ubuntu и включает описание программ для тестирования безопасности конфигурации. Книга предназначена для пользователей, администраторов и специалистов по безопасности, то есть для читателей от продвинутых новичков до профессионалов.</t>
  </si>
  <si>
    <t>Linux для разработчиков</t>
  </si>
  <si>
    <t>Дэвид Коэн; Кристиан Штурм</t>
  </si>
  <si>
    <t>Linux для разработчиков.pdf</t>
  </si>
  <si>
    <t>Эта книга предназначена для разработчиков, желающих освоить командную строку Linux и повысить свою эффективность. Она охватывает ключевые темы, такие как работа с процессами, управление службами через systemd, настройка прав доступа, автоматизация задач с помощью сценариев оболочки, а также практическое применение Docker и Git. Материал ориентирован на программистов, а не на системных администраторов, и подходит как для новичков, так и для специалистов, стремящихся углубить свои навыки.</t>
  </si>
  <si>
    <t>Linux для сетевых инженеров</t>
  </si>
  <si>
    <t>Роб Ванденбринк</t>
  </si>
  <si>
    <t>Linux для сетевых инженеров.pdf</t>
  </si>
  <si>
    <t>Книга Роба Ванденбринка «Linux для сетевых инженеров» посвящена безопасной настройке и управлению сетевыми службами Linux в корпоративной среде. В ней рассматриваются основы выбора дистрибутива и конфигурации сети, а также ключевые темы: диагностика, брандмауэр, стандарты безопасности и развертывание таких служб, как DNS, DHCP, RADIUS, балансировка нагрузки и системы предотвращения вторжений. Издание предназначено для сетевых инженеров и специалистов, желающих углубить знания в области администрирования Linux и построения защищенной сетевой инфраструктуры.</t>
  </si>
  <si>
    <t>Linux на примерах</t>
  </si>
  <si>
    <t>Linux на примерах.pdf</t>
  </si>
  <si>
    <t>Книга «Linux на примерах» представляет собой практическое руководство по операционной системе Linux, ориентированное на начинающих пользователей. В ней рассматриваются ключевые концепции: работа с командной строкой, управление файлами и процессами, настройка сети и основы администрирования. Материал построен на конкретных примерах и пошаговых инструкциях, что позволяет быстро освоить базовые навыки. Издание подходит для новичков, желающих изучить Linux с нуля, а также для пользователей, переходящих с других операционных систем.</t>
  </si>
  <si>
    <t>LINUX. ПОЛНОЕ РУКОВОДСТВО ПО РАБОТЕ И АДМИНИСТРИРОВАНИЮ</t>
  </si>
  <si>
    <t>LINUX Полное  руководство 2021.pdf</t>
  </si>
  <si>
    <t>Книга представляет собой практическое руководство по операционной системе Linux, объединяющее теорию и практику без разделения на скучные теоретические главы. Она состоит из четырех частей, охватывающих установку и настройку системы, работу с интернетом и программами, локальное администрирование (файловые системы, процессы, пользователи), а также настройку серверов (DNS, SSH, DHCP, FTP) и обеспечение безопасности. Издание будет полезно как новичкам, только знакомящимся с Linux, так и опытным пользователям, желающим расширить свои навыки, причем примеры приводятся на дистрибутивах Ubuntu и российском Astra Linux.</t>
  </si>
  <si>
    <t>Linux. Карманный справочник</t>
  </si>
  <si>
    <t>Скотт Граннеман</t>
  </si>
  <si>
    <t>Linux. Карманный справочник.pdf</t>
  </si>
  <si>
    <t>Этот фрагмент представляет собой выходные данные и оглавление второго издания книги Скотта Граннемана «Linux. Карманный справочник». Книга является практическим руководством по работе с командной строкой Linux, охватывающим такие темы, как основные команды, управление файлами и каталогами, получение справочной информации и объединение команд. Издание предназначено как для новичков, так и для опытных пользователей, желающих иметь под рукой компактный справочник по повседневным задачам администрирования системы.</t>
  </si>
  <si>
    <t>Linux. Книга рецептов</t>
  </si>
  <si>
    <t>Карла Шрёдер</t>
  </si>
  <si>
    <t>Linux. Книга рецептов 2022.pdf</t>
  </si>
  <si>
    <t>Книга представляет собой практическое руководство по администрированию Linux, охватывающее установку, управление системой, сетью и безопасностью. В ней рассматриваются такие ключевые темы, как работа с загрузчиком GRUB, systemd, управление пользователями, файловыми системами, резервное копирование, настройка брандмауэра и удаленный доступ. Издание предназначено как для начинающих пользователей, так и для системных администраторов, желающих освоить работу с Linux через готовые рецепты и примеры.</t>
  </si>
  <si>
    <t>Linux. От новичка к профессионалу.pdf</t>
  </si>
  <si>
    <t>Книга Дениса Колисниченко «Linux. От новичка к профессионалу» представляет собой практическое руководство по операционной системе Linux, охватывающее все этапы работы — от установки и настройки дистрибутивов (Fedora, Ubuntu, openSUSE) до администрирования серверов. Ключевые разделы включают работу с файловой системой ext4, загрузчиком GRUB2, настройку сети, веб-серверов (Apache, Samba, BIND), а также SSL-сертификатов, VPN и систем кэширования. Издание ориентировано на широкий круг пользователей — от новичков до опытных специалистов, желающих углубить знания в администрировании Linux.</t>
  </si>
  <si>
    <t>Linux® All-in-One For Dummies®, 7th Edition</t>
  </si>
  <si>
    <t>Richard Blum</t>
  </si>
  <si>
    <t>Linux_All-In-One_For_Dummies_7Ed.pdf</t>
  </si>
  <si>
    <t>Это фрагмент выходных данных и оглавления книги «Linux® All-in-One For Dummies®», 7-е издание, автора Ричарда Блюма, которая представляет собой практическое руководство для начинающих по операционной системе Linux. Книга охватывает ключевые темы, включая установку системы, работу в виртуальной среде, знакомство с графическими оболочками (GNOME, KDE Plasma) и файловой системой, а также основы настройки сети. Издание предназначено для новичков, желающих освоить Linux с нуля, и написано в доступном стиле серии «Для чайников».</t>
  </si>
  <si>
    <t>Linux System Programming Techniques</t>
  </si>
  <si>
    <t>Jack-Benny Persson</t>
  </si>
  <si>
    <t>Linux_System_Programming_Techniques_Become_a_proficient_Linux_system.pdf</t>
  </si>
  <si>
    <t>Книга Джека-Бенни Перссона посвящена системному программированию в Linux на языке C. Она охватывает такие ключевые темы, как настройка инструментов (GCC, GDB, Make), работа с потоками ввода-вывода, использование системных вызовов, написание программ, удобных для сценариев оболочки, и компиляция проектов. Издание предназначено для программистов, уже имеющих базовые навыки работы с Linux и C, которые хотят углубить свои знания в системном программировании.</t>
  </si>
  <si>
    <t>Linux: The Greatest Guide for Beginners to the Linux Commands and Linux Operating System</t>
  </si>
  <si>
    <t>J. D</t>
  </si>
  <si>
    <t>Linux_The_Greatest_Guide_for_Beginners_to_the_Linux_Commands_and.pdf</t>
  </si>
  <si>
    <t>Эта книга представляет собой руководство для начинающих по операционной системе Linux и её основным командам. В ней объясняются фундаментальные концепции, такие как ядро (kernel), дистрибутивы, открытый исходный код и оболочка, а также рассматриваются различия между серверной и настольной версиями. Ключевые разделы включают установку системы, базовую навигацию, работу с командами (sudo, apt-get) и редактирование файлов в Vim. Материал предназначен для новичков, которые хотят освоить Linux с нуля и научиться управлять собственными системами.</t>
  </si>
  <si>
    <t>Linux. Администрирование и системное программирование</t>
  </si>
  <si>
    <t>Собель М.</t>
  </si>
  <si>
    <t>Linux_Администрирование_и_системное_прграммирование 2010.pdf</t>
  </si>
  <si>
    <t>Эта книга представляет собой всеобъемлющее руководство по работе, настройке, администрированию и системному программированию операционных систем семейства UNIX/Linux, включая Ubuntu, Fedora, Red Hat и Mac OS X. Ключевые разделы охватывают интерфейс командной строки и файловую систему, редакторы vim и emacs, оболочки bash и tcsh, а также средства программирования, такие как Perl, sed и rsync. Издание адресовано широкому кругу читателей: от новичков, желающих освоить командную строку, до системных администраторов и программистов, стремящихся к углубленному пониманию системы.</t>
  </si>
  <si>
    <t>Linux. Книга рецептов. 2-е изд.</t>
  </si>
  <si>
    <t>Linux_Книга_рецептов_2_е_изд_2022_Шрёдер_Карла.pdf</t>
  </si>
  <si>
    <t>Книга представляет собой практическое руководство по администрированию Linux, охватывающее установку системы, управление загрузчиком GRUB, службами systemd, пользователями, файлами, дисковыми разделами, резервным копированием, сетью и безопасностью. Ключевые разделы включают работу с брандмауэрами, удаленным доступом через OpenSSH и OpenVPN, настройку точного времени, а также восстановление системы. Издание предназначено как для начинающих пользователей, так и для системных администраторов, желающих освоить управление Linux с помощью командной строки и графических инструментов на конкретных примерах.</t>
  </si>
  <si>
    <t>Колисниченко Д.Н.</t>
  </si>
  <si>
    <t>Linux_От_новичка_к_профессионалу.pdf</t>
  </si>
  <si>
    <t>Книга Дениса Колисниченко «Linux. От новичка к профессионалу» (6-е издание) представляет собой практическое руководство по операционной системе Linux, охватывающее все этапы работы: от выбора дистрибутива и установки до настройки сервера, сети, безопасности и виртуализации. Ключевые разделы включают установку и настройку дистрибутивов (Fedora, openSUSE, Slackware, Ubuntu), работу с файловой системой, графическим интерфейсом, программным обеспечением, а также темы VPN, виртуальных серверов и резервного копирования. Издание предназначено для широкого круга пользователей — от новичков, впервые устанавливающих Linux, до опытных специалистов, желающих углубить знания в администрировании и настройке серверов.</t>
  </si>
  <si>
    <t>Absolute FreeBSD: The Complete Guide to FreeBSD</t>
  </si>
  <si>
    <t>Michael W. Lucas</t>
  </si>
  <si>
    <t>Lucas,_Michael_Warren_Absolute_FreeBSD_the_complete_guide_to_FreeBSD.pdf</t>
  </si>
  <si>
    <t>Фрагмент представляет собой выходные данные и введение к книге «Absolute FreeBSD, 3rd Edition» Майкла У. Лукаса, которая является исчерпывающим руководством по операционной системе FreeBSD. Ключевые разделы книги охватывают установку, настройку и администрирование системы, а также содержат хвалебные отзывы от экспертов и сообщества. Издание предназначено как для новичков, так и для опытных пользователей, стремящихся глубже освоить возможности FreeBSD в качестве серверной платформы.</t>
  </si>
  <si>
    <t>Packt.Learn.Linux.Quickly.pdf</t>
  </si>
  <si>
    <t>Книга «Learn Linux Quickly» представляет собой практическое руководство для начинающих, знакомящее с операционной системой Linux. В ней рассматриваются основы работы с терминалом и командной оболочкой, навигация по файловой системе, а также базовые команды. Издание предназначено для новичков, желающих быстро освоить работу с этой мощной ОС.</t>
  </si>
  <si>
    <t>Red Hat Enterprise Linux 8.0 RH124: Red Hat System Administration I</t>
  </si>
  <si>
    <t>Fiona Allen; Marc Kesler; Saumik Paul; Snehangshu Karmakar; Victor Costea</t>
  </si>
  <si>
    <t>Red Hat, Inc.</t>
  </si>
  <si>
    <t>Red_Hat_Enterprise_Linux_8_0_RH124_Red_Hat_System_Administration.pdf</t>
  </si>
  <si>
    <t>Этот фрагмент представляет собой введение к официальному учебному курсу Red Hat System Administration I (RH124) для Red Hat Enterprise Linux 8.0. Книга предназначена для начинающих системных администраторов и охватывает такие ключевые темы, как знакомство с Linux, доступ к командной строке и управление файлами. Материал включает теоретические разделы, викторины для самопроверки и практические упражнения.</t>
  </si>
  <si>
    <t>Ubuntu Linux с нуля</t>
  </si>
  <si>
    <t>Сергей Волох</t>
  </si>
  <si>
    <t>Ubuntu Linux с нуля 2021.pdf</t>
  </si>
  <si>
    <t>Книга Сергея Волоха «Ubuntu Linux с нуля» представляет собой практическое руководство по установке, настройке и повседневному использованию операционной системы Ubuntu Linux, охватывающее работу с драйверами, программами, интернетом, командной строкой и системными службами. Во втором издании добавлены главы по созданию сертификатов Let's Encrypt и настройке файлового сервера Samba, а также учтены новшества последней версии ОС. Материал рассчитан на широкий круг пользователей Linux, включая новичков, и применим для работы с другими Linux-подобными системами.</t>
  </si>
  <si>
    <t>Ubuntu and Debian Linux for Power Users</t>
  </si>
  <si>
    <t>Christopher Negus</t>
  </si>
  <si>
    <t>Ubuntu_и_Debian_Linux_для_продвинутых_2014.pdf</t>
  </si>
  <si>
    <t>Книга Кристофера Негуса «Ubuntu и Debian Linux для продвинутых» представляет собой практическое руководство по эффективному использованию операционных систем Ubuntu и Debian через командную строку. Основное содержание включает более 1000 команд для управления программным обеспечением, файловыми системами, сетевыми подключениями, процессами, безопасностью, а также для работы с мультимедиа и виртуализацией. Издание предназначено для опытных пользователей и системных администраторов, желающих углубить навыки администрирования настольных ПК и серверов на базе Linux.</t>
  </si>
  <si>
    <t>UNIX and Linux System Administration Handbook</t>
  </si>
  <si>
    <t>Evi Nemeth; Garth Snyder; Trent R. Hein; Ben Whaley; Dan Mackin</t>
  </si>
  <si>
    <t>Unix и Linux -руководство сис админа.pdf</t>
  </si>
  <si>
    <t>Это пятое издание всеобъемлющего руководства по администрированию операционных систем Unix и Linux, охватывающее все аспекты управления системами — от основ (загрузка, управление пользователями и процессами) до сложных тем, таких как облачные вычисления, контейнеризация, безопасность и управление конфигурацией. Книга разделена на четыре части: основы администрирования, работа в сетях, хранение данных и эксплуатация, включая мониторинг и анализ производительности. Издание предназначено как для начинающих системных администраторов, желающих освоить профессию с нуля, так и для опытных специалистов, стремящихся углубить знания в конкретных областях.</t>
  </si>
  <si>
    <t>UNIX. Профессиональное программирование</t>
  </si>
  <si>
    <t>У. Ричард Стивенс; Стивен А. Раго</t>
  </si>
  <si>
    <t>UNIX_Профессиональное_программирование.pdf</t>
  </si>
  <si>
    <t>Это третье издание классического руководства по программированию в среде UNIX и Linux, охватывающее более 70 системных интерфейсов. Книга последовательно раскрывает темы от основ (файлы, каталоги, процессы) до сложных механизмов, таких как обработка сигналов, многопоточность, межпроцессное взаимодействие и сокеты. Издание предназначено для профессиональных программистов, стремящихся писать эффективный и надежный системный код.</t>
  </si>
  <si>
    <t>Using and Administering Linux: Volume 3: Zero to SysAdmin: Network Services</t>
  </si>
  <si>
    <t>David Both</t>
  </si>
  <si>
    <t>Using and Administer Linux - vol3.pdf</t>
  </si>
  <si>
    <t>Это третий том практического руководства по администрированию Linux, посвящённый настройке сетевых сервисов. Книга начинается с подготовки виртуальной машины и установки системы, затем переходит к конфигурации сети и развёртыванию DHCP-сервера. Материал ориентирован на читателей, стремящихся освоить профессию системного администратора с нуля, и сочетает теоретические основы с пошаговыми инструкциями.</t>
  </si>
  <si>
    <t>Wicked Cool Shell Scripts: 101 Scripts for Linux, OS X, and UNIX Systems</t>
  </si>
  <si>
    <t>Dave Taylor; Brandon Perry</t>
  </si>
  <si>
    <t>Wicked_Cool_Shell_Scripts_101_Scripts_for_Linux,_OS_X,_and_UNIX.pdf</t>
  </si>
  <si>
    <t>Книга «Wicked Cool Shell Scripts» (второе издание) Дэйва Тейлора и Брэндона Перри представляет собой сборник из 101 готового shell-скрипта для Linux, macOS и UNIX. Она охватывает такие разделы, как библиотека полезных функций, улучшение пользовательских команд, создание утилит, настройка системы и администрирование пользователей и обслуживание системы. Издание предназначено для пользователей среднего уровня, желающих углубить знания командной строки и shell-программирования, и содержит практические, готовые к запуску скрипты.</t>
  </si>
  <si>
    <t>Администрирование Astra Linux</t>
  </si>
  <si>
    <t>Андреев Е. Д.</t>
  </si>
  <si>
    <t>Администрирование Astra Linux.pdf</t>
  </si>
  <si>
    <t>Книга Евгения Андреева посвящена администрированию отечественного дистрибутива Astra Linux, включая установку, настройку сети, работу с файловой системой и интеграцию с Windows через Samba. Особый акцент сделан на специфические функции Astra Linux, такие как мандатный контроль целостности, мандатное управление доступом и служба каталогов ALD. Издание ориентировано на системных администраторов, переходящих с Windows, и включает основы работы с Linux для новичков.</t>
  </si>
  <si>
    <t>Безопасность операционной системы специального назначения Astra Linux Special Edition</t>
  </si>
  <si>
    <t>П. В. Буренин; П. Н. Девянин; Е. В. Лебеденко; В. Г. Проскурин; А. Н. Цибуля</t>
  </si>
  <si>
    <t>Горячая линия Телеком</t>
  </si>
  <si>
    <t>Безопасность_ASTRA_LINUX SE.pdf</t>
  </si>
  <si>
    <t>Фрагмент книги посвящён определению и требованиям к защищённым (доверенным) операционным системам, в частности Astra Linux Special Edition. Авторы различают два подхода к безопасности: формальное выполнение стандартов и адекватность реальным угрозам, подчёркивая важность доверия к разработчику и технологической независимости. Рассматриваются предпосылки импортозамещения в РФ и требования к современной отечественной ОС, включая работу с государственной тайной. Книга предназначена для студентов и специалистов в области информационной безопасности, имеющих базовую подготовку.</t>
  </si>
  <si>
    <t>БЕЗОПАСНОСТЬ_операционной_системы_специального_назначения_Astra.pdf</t>
  </si>
  <si>
    <t>Фрагмент учебного пособия посвящён концепции защищённых (доверенных) операционных систем на примере Astra Linux Special Edition. В нём рассматриваются два подхода к обеспечению безопасности ОС, формулируются требования к отечественным защищённым системам в контексте импортозамещения и даётся краткий обзор истории развития Linux. Книга предназначена для студентов и специалистов в области информационной безопасности.</t>
  </si>
  <si>
    <t>Библия Linux</t>
  </si>
  <si>
    <t>Кристофер Негус</t>
  </si>
  <si>
    <t>Библия Linux.pdf</t>
  </si>
  <si>
    <t>Это 10-е издание «Библии Linux» Кристофера Негуса, представляющее собой полное руководство по операционной системе Linux. Книга охватывает широкий спектр тем: от основ работы с командной строкой и файловой системой до администрирования серверов (веб, FTP, Samba) и методов обеспечения безопасности, включая SELinux. Издание предназначено как для начинающих, так и для опытных пользователей, желающих углубить свои знания и подготовиться к сертификационным экзаменам.</t>
  </si>
  <si>
    <t>Время UNIX. A History and a Memoir</t>
  </si>
  <si>
    <t>Брайан Керниган</t>
  </si>
  <si>
    <t>Брайан_Керниган_Время_UNIX.pdf</t>
  </si>
  <si>
    <t>Книга Брайана Кернигана «Время UNIX» представляет собой историю и мемуары о создании и развитии операционной системы Unix, начиная с её зарождения в Bell Labs в 1969 году. Ключевые разделы охватывают этапы эволюции Unix от первых редакций до коммерческих реализаций и её наследия, а также рассказывают о людях, стоявших у истоков, включая Кена Томпсона. Издание предназначено для широкой аудитории, включая новичков и специалистов, интересующихся историей компьютерных технологий, и написано доступным, увлекательным языком без излишней технической сложности.</t>
  </si>
  <si>
    <t>Внутреннее устройство Linux</t>
  </si>
  <si>
    <t>Кетов Д. В.</t>
  </si>
  <si>
    <t>Внутренне устройство Linux 2021.pdf</t>
  </si>
  <si>
    <t>Книга представляет собой введение во внутреннее устройство операционной системы Linux, охватывая такие ключевые концепции, как файловые системы, виртуальная память, процессы, межпроцессное взаимодействие, механизмы контроля доступа и сетевая подсистема. Во втором издании добавлены главы о графической системе Wayland, контейнерах и виртуализации. Издание предназначено для студентов, пользователей, программистов и системных администраторов Linux.</t>
  </si>
  <si>
    <t>Уорд Б.</t>
  </si>
  <si>
    <t>Внутреннее устройство Linux.pdf</t>
  </si>
  <si>
    <t>Книга Брайана Уорда «Внутреннее устройство Linux» представляет собой подробное руководство по работе с операционной системой Linux, охватывающее системное администрирование, низкоуровневые механизмы ядра и принципы эксплуатации сетей. Ключевые разделы включают управление процессами и памятью, драйверы устройств, файловые системы, загрузку системы, конфигурацию сети, а также введение в написание сценариев оболочки и компиляцию кода на языке C. Издание предназначено для профессионалов и специалистов, уже имеющих базовые знания, желающих углубиться в тонкости работы Linux.</t>
  </si>
  <si>
    <t>Astra Linux. Руководство по национальной операционной системе и совместимым офисным программам</t>
  </si>
  <si>
    <t>Вовк Елена</t>
  </si>
  <si>
    <t>Е Вовк - Astra Linux.pdf</t>
  </si>
  <si>
    <t>Книга представляет собой руководство по российской операционной системе Astra Linux и совместимым офисным программам, предназначенное для широкой аудитории. В ней рассматриваются основы работы с системой: включение компьютера, ввод текста в редакторе LibreOffice Writer, организация хранения файлов и папок, а также настройка интерфейса. Издание ориентировано на новичков, желающих самостоятельно освоить отечественную платформу, и может использоваться в рамках образовательных программ по информатике.</t>
  </si>
  <si>
    <t>Защита в операционных системах</t>
  </si>
  <si>
    <t>Защита в операционных системах.pdf</t>
  </si>
  <si>
    <t>Книга посвящена вопросам обеспечения безопасности в операционных системах. В ней рассматриваются ключевые концепции защиты, такие как управление доступом, аутентификация, изоляция процессов и аудит безопасности. Издание предназначено для специалистов в области информационной безопасности и системных администраторов, имеющих базовые знания об устройстве ОС.</t>
  </si>
  <si>
    <t>Идиомы bash</t>
  </si>
  <si>
    <t>Карл Олбинг; Джей Пи Фоссен</t>
  </si>
  <si>
    <t>Идиомы bash.pdf</t>
  </si>
  <si>
    <t>Эта книга посвящена написанию эффективных, читаемых и безопасных сценариев на языке командной оболочки bash с использованием идиом — устойчивых конструкций кода. Авторы на практических примерах разбирают ключевые темы: условные операторы (большой if), циклы (for, while, until) и оператор выбора case, акцентируя внимание на стиле и удобочитаемости. Издание предназначено как для новичков, желающих освоить bash, так и для опытных специалистов, стремящихся углубить знания и писать код на экспертном уровне.</t>
  </si>
  <si>
    <t>Изучаем vi и Vim. Не просто редакторы</t>
  </si>
  <si>
    <t>Арнольд Роббинс; Элберт Ханна</t>
  </si>
  <si>
    <t>Изучаем vi и Vim.pdf</t>
  </si>
  <si>
    <t>Книга Арнольда Роббинса и Элберта Ханны «Изучаем vi и Vim. Не просто редакторы» (8-е издание) представляет собой исчерпывающее руководство по текстовым редакторам vi и Vim, используемым программистами и системными администраторами. Издание охватывает как основы редактирования и навигации, так и продвинутые возможности Vim, включая многооконный режим, глобальный поиск/замену, написание макросов и сценариев, а также использование Vim в качестве интегрированной среды разработки (IDE). Книга предназначена для широкого круга читателей — от новичков, только знакомящихся с редакторами, до опытных специалистов, желающих освоить мощные инструменты для повышения эффективности работы.</t>
  </si>
  <si>
    <t>Как освоить современный Linux</t>
  </si>
  <si>
    <t>Как освоить современный Linux.pdf</t>
  </si>
  <si>
    <t>Книга посвящена освоению современной операционной системы Linux, её ключевых возможностей и инструментов. В представленном фрагменте рассматриваются основы работы с системой, включая управление файлами, процессы и настройку окружения. Материал ориентирован на новичков, желающих перейти от базового использования к уверенной работе в командной строке и администрированию.</t>
  </si>
  <si>
    <t>Часто задаваемые вопросы о Debian GNU/Linux</t>
  </si>
  <si>
    <t>Kamaraju Kusumanchi</t>
  </si>
  <si>
    <t>Книга по Debian 2016.pdf</t>
  </si>
  <si>
    <t>Фрагмент представляет собой официальную документацию Debian GNU/Linux — сборник часто задаваемых вопросов (FAQ). Книга охватывает ключевые темы: определение и особенности Debian, способы получения и установки системы, а также подробное сравнение стабильного, тестируемого и нестабильного дистрибутивов с рекомендациями по их выбору. Материал предназначен как для новичков, желающих понять основы, так и для администраторов, которым важно разобраться в нюансах обновления и совместимости.</t>
  </si>
  <si>
    <t>Командная строка Linux</t>
  </si>
  <si>
    <t>Командная строка Linux.pdf</t>
  </si>
  <si>
    <t>Книга Д. Н. Колисниченко посвящена работе в командной строке операционной системы Linux, рассматривая задачи от входа в консоль до написания сценариев автоматизации. Ключевые разделы охватывают особенности файловой системы, полезные команды для работы с текстом и сетью, а также настройку оболочек bash и tcsh с использованием перенаправления ввода-вывода, масок и псевдонимов. Издание предназначено для системных администраторов, программистов и квалифицированных пользователей Linux, то есть для специалистов среднего и продвинутого уровня.</t>
  </si>
  <si>
    <t>Командная строка Linux. Полное руководство</t>
  </si>
  <si>
    <t>Командная_строка_linux,_2_е_издание,_2020.pdf</t>
  </si>
  <si>
    <t>Книга Уильяма Шоттса «Командная строка Linux. Полное руководство» представляет собой всестороннее введение в работу с командной оболочкой bash, охватывающее навигацию по файловой системе, управление файлами, перенаправление ввода-вывода и написание сценариев. Ключевые разделы включают основы командной оболочки, настройку окружения, типичные задачи (поиск, архивация, обработка текста) и создание сценариев с современными методами программирования. Издание предназначено для новичков, желающих освоить командную строку, а также для специалистов, стремящихся углубить знания и перейти от базовых операций к уверенному созданию программ.</t>
  </si>
  <si>
    <t>Linux Command Line and Shell Scripting Bible</t>
  </si>
  <si>
    <t>Richard Blum; Christine Bresnahan</t>
  </si>
  <si>
    <t>ООО "И.Д. Вильямс"</t>
  </si>
  <si>
    <t>Командная_строка_Linux_и_сценарии_оболочки_Библия_пользователя.pdf</t>
  </si>
  <si>
    <t>Фрагмент представляет собой выходные данные книги «Командная строка Linux и сценарии оболочки. Библия пользователя» (второе издание) Ричарда Блума и Кристины Бреснахэн. Книга является всеобъемлющим руководством по работе с командной строкой Linux и написанию сценариев оболочки, охватывая темы от базовых команд и переменных среды до продвинутых инструментов вроде sed, gawk и работы с базами данных. Издание структурировано в четыре части, включая основы командной строки, создание сценариев, усовершенствованные сценарии и расширенные средства, такие как работа в Интернете и электронная почта. Материал рассчитан на широкий круг пользователей — от новичков, только начинающих осваивать Linux, до опытных специалистов, желающих углубить навыки автоматизации и администрирования.</t>
  </si>
  <si>
    <t>Linux. Полное руководство</t>
  </si>
  <si>
    <t>Михаэль Кофлер</t>
  </si>
  <si>
    <t>Кофлер linux-polnoe-rukovodstvo 2011.pdf</t>
  </si>
  <si>
    <t>Эта книга представляет собой фундаментальное руководство по операционной системе Linux, охватывающее широкий спектр тем: от виртуализации и работы с ядром до настройки сети, серверов и администрирования. Ключевые разделы включают управление файлами, работу в командной строке (Bash), настройку графической подсистемы X и сетевое взаимодействие. Издание предназначено как для новичков, желающих освоить Linux на ПК, так и для специалистов, работающих с серверами.</t>
  </si>
  <si>
    <t>Linux. Установка, настройка, администрирование</t>
  </si>
  <si>
    <t>М. Кофлер</t>
  </si>
  <si>
    <t>Кофлер Linux_Ustanovka_nastroyka_administrirovanie 2013.pdf</t>
  </si>
  <si>
    <t>Книга Михаэля Кофлера представляет собой универсальное руководство по операционной системе Linux, охватывающее установку, настройку и администрирование без привязки к конкретному дистрибутиву. В издании рассматриваются ключевые концепции, такие как работа с графическими оболочками Gnome и KDE, управление файлами и процессами, настройка сети, администрирование файловой системы, а также работа с загрузчиком GRUB и ядром. Книга предназначена как для новичков, желающих перейти с Windows, так и для специалистов, стремящихся углубить понимание системы и освоить выполнение задач «по-линуксовски».</t>
  </si>
  <si>
    <t>Локальная сеть под Linux</t>
  </si>
  <si>
    <t>Поляк-Брагинский А. В.</t>
  </si>
  <si>
    <t>Локальная_сеть_под_Linux 2010.pdf</t>
  </si>
  <si>
    <t>Книга представляет собой практическое руководство по созданию локальной вычислительной сети под управлением Linux для дома или небольшого офиса. В ней рассматриваются вопросы маршрутизации, удаленного администрирования, настройки почтового сервера и совместного использования ресурсов, а также применение виртуальных технологий для экономии средств. Издание содержит описания команд, процедур установки и настройки на примерах различных дистрибутивов Linux, включая Mandriva, Debian, OpenSUSE и CentOS. Книга предназначена для опытных пользователей и начинающих системных администраторов.</t>
  </si>
  <si>
    <t>Операционная система специального назначения «Astra Linux Special Edition». Руководство администратора. Часть 1</t>
  </si>
  <si>
    <t>ОПЕРАЦИОННАЯ СИСТЕМА СПЕЦИАЛЬНОГО НАЗНАЧЕНИЯ.pdf</t>
  </si>
  <si>
    <t>Это первая часть руководства администратора для операционной системы специального назначения «Astra Linux Special Edition». Документ описывает назначение и настройку ОС, включая системные компоненты, базовые сетевые службы, управление пакетами, резервное копирование и средства контроля целостности, а также содержит разделы по администрированию, установке и обновлению системы с различными уровнями защищенности («Орел», «Воронеж», «Смоленск»). Руководство предназначено для администраторов системы и сети, то есть для специалистов, а не для новичков.</t>
  </si>
  <si>
    <t>Operating Systems: Internals and Design Principles</t>
  </si>
  <si>
    <t>Операционные системы-принципы построения и проектирования.pdf</t>
  </si>
  <si>
    <t>Данный фрагмент представляет собой титульную страницу и оглавление девятого издания учебника Вильяма Столлингса по операционным системам. Книга посвящена внутренней структуре и принципам проектирования операционных систем, охватывая такие ключевые темы, как управление процессами и потоками, параллельные вычисления, управление памятью, планирование, ввод-вывод и файловые системы, а также дополнительные темы, включая виртуальные машины, безопасность и облачные системы. Издание предназначено для студентов и специалистов в области компьютерных наук, имеющих базовую подготовку, и содержит обширный справочный материал, приложения и проектные задания.</t>
  </si>
  <si>
    <t>Поляк_Брагинский_А_В_Локальная_сеть_под_Linux.pdf</t>
  </si>
  <si>
    <t>Книга представляет собой практическое руководство по созданию локальной сети под управлением Linux для дома или небольшого офиса. В ней рассматриваются вопросы маршрутизации, удаленного администрирования, настройки почтового сервера и совместного использования ресурсов, а также применение виртуальных технологий для удешевления сети. Особое внимание уделяется выбору дистрибутива (Mandriva, Debian, CentOS, SLES) и пошаговой установке системы в зависимости от назначения (рабочая станция или сервер). Издание предназначено для опытных пользователей и начинающих системных администраторов.</t>
  </si>
  <si>
    <t>The Practice of System and Network Administration</t>
  </si>
  <si>
    <t>Thomas A. Limoncelli; Christina J. Hogan; Strata R. Chalup</t>
  </si>
  <si>
    <t>Практика_системного_и_сетевого_администрирования.pdf</t>
  </si>
  <si>
    <t>Это третье издание фундаментального руководства по системному и сетевому администрированию, охватывающее стратегии управления инфраструктурой, серверами, рабочими станциями и службами. Ключевые концепции включают инновационные подходы (например, «инфраструктура как код» и «домашние животные и крупный рогатый скот»), управление изменениями, мониторинг, отказоустойчивость, а также методы организации работы и этику. Книга предназначена для практикующих специалистов среднего и продвинутого уровня, стремящихся систематизировать и улучшить процессы администрирования.</t>
  </si>
  <si>
    <t>Программирование в Linux. Самоучитель</t>
  </si>
  <si>
    <t>Иванов Н. Н.</t>
  </si>
  <si>
    <t>Программирование в Linux Самоучитель 2012.pdf</t>
  </si>
  <si>
    <t>Книга Николая Иванова «Программирование в Linux. Самоучитель» (2-е издание) представляет собой практическое руководство по основам разработки в операционной системе Linux. В ней рассматриваются фундаментальные темы: инструментарий (компиляция, компоновка, автосборка с make), низкоуровневый ввод-вывод, многозадачность, файловая система, межпроцессное взаимодействие и обработка ошибок. Издание ориентировано как на начинающих, так и на опытных программистов, а каждая тема сопровождается примерами на языках C, C++ и Python.</t>
  </si>
  <si>
    <t>Shell Programming in Unix, Linux and OS X</t>
  </si>
  <si>
    <t>Stephen G. Kochan; Patrick Wood</t>
  </si>
  <si>
    <t>Программирование_командных_оболочек_в_Unix,_Linux_и_OS_X,_4_е_издание.pdf</t>
  </si>
  <si>
    <t>Эта книга представляет собой практическое руководство по программированию командных оболочек (shell) в операционных системах Unix, Linux и macOS. Она охватывает ключевые концепции, такие как работа с файлами и каталогами, переадресация ввода-вывода, конвейеры, регулярные выражения и написание сценариев с использованием условных операторов и циклов. Издание предназначено как для начинающих, желающих освоить основы работы в командной строке, так и для опытных специалистов, стремящихся углубить знания в области автоматизации задач.</t>
  </si>
  <si>
    <t>Производительность систем</t>
  </si>
  <si>
    <t>Брендан Грегг</t>
  </si>
  <si>
    <t>Производительность систем.pdf</t>
  </si>
  <si>
    <t>Книга Брендана Грегга «Производительность систем» посвящена концепциям, стратегиям и инструментам анализа и настройки производительности операционных систем и приложений на примере Linux. Ключевые разделы охватывают методологии анализа, работу процессоров, памяти, файловых систем, дисков, сети и облачных вычислений, а также современные инструменты, включая расширенный BPF. Издание предназначено для перформанс-инженеров и специалистов, стремящихся улучшить взаимодействие с пользователями и снизить затраты, особенно в облачных средах.</t>
  </si>
  <si>
    <t>Разработка Linux-приложений</t>
  </si>
  <si>
    <t>Разработка Linux приожений 2012.pdf</t>
  </si>
  <si>
    <t>Книга Дениса Колисниченко «Разработка Linux-приложений» посвящена основам программирования в операционной системе Linux. В ней рассматриваются ключевые темы: создание сценариев на языках командных оболочек bash и tcsh, программирование на C/C++ с использованием компилятора gcc, разработка многопоточных и сетевых приложений, а также создание графического интерфейса с помощью библиотек GTK+ и Tk. Особое внимание уделяется отладке и оптимизации кода с помощью инструментов gdb и gprof. Издание предназначено для программистов, уже имеющих базовые навыки разработки.</t>
  </si>
  <si>
    <t>Learning the vi and Vim Editors</t>
  </si>
  <si>
    <t>Arnold Robbins; Elbert Hannah; Linda Lamb</t>
  </si>
  <si>
    <t>Редакторы Vi и Vim 2013.pdf</t>
  </si>
  <si>
    <t>Это седьмое издание классического руководства по текстовым редакторам vi и Vim, которое охватывает как базовые, так и продвинутые техники работы, включая перемещение по тексту, редактирование, использование буферов, глобальный поиск и замену, а также написание скриптов. Книга предназначена для пользователей Linux и UNIX любого уровня — от новичков до опытных специалистов, желающих освоить мощные возможности Vim, такие как работа в нескольких окнах, подсветка синтаксиса и расширенные регулярные выражения.</t>
  </si>
  <si>
    <t>А. М. Кенин; Д. Н. Колисниченко</t>
  </si>
  <si>
    <t>Самоучитель_системного_администратора (2).pdf</t>
  </si>
  <si>
    <t>Это шестое издание практического руководства по системному администрированию, в котором изложены основные задачи, базовые протоколы и рекомендации по выбору оборудования для построения и обслуживания информационных систем. Ключевые разделы охватывают централизованное управление, мониторинг сетей, обеспечение безопасности и защиту данных, с параллельным рассмотрением решений на Windows и Linux. Книга предназначена для начинающих системных администраторов.</t>
  </si>
  <si>
    <t>Системное администрирование в LINUX 2010</t>
  </si>
  <si>
    <t>Серега</t>
  </si>
  <si>
    <t>Системное администрирование в LINUX 2010.pdf</t>
  </si>
  <si>
    <t>Системное и сетевое администрирование 2009.pdf</t>
  </si>
  <si>
    <t>Это книга представляет собой практическое руководство по системному и сетевому администрированию, которое фокусируется не на управлении конкретными системами, а на общих принципах эффективной работы. Ключевые разделы охватывают основные элементы инфраструктуры (рабочие станции, серверы, сети), процессы изменений (отладка, управление обновлениями) и предоставление услуг (мониторинг, резервное копирование). Издание предназначено как для новичков, желающих стать профессиональными администраторами, так и для продвинутых специалистов, а также для руководителей IT-отделов, стремящихся повысить эффективность работы.</t>
  </si>
  <si>
    <t>Современное системное администрирование</t>
  </si>
  <si>
    <t>Дэвис Д.</t>
  </si>
  <si>
    <t>Современное системное администрирование.pdf</t>
  </si>
  <si>
    <t>Книга Дженнифер Дэвис «Современное системное администрирование» посвящена современным практикам и технологиям управления ИТ-инфраструктурой. В ней рассматриваются ключевые концепции: архитектуры систем, методы контроля версий, тестирования, мониторинга, обеспечения безопасности, а также вопросы масштабирования и управления инцидентами. Издание предназначено для системных администраторов, инженеров службы поддержки и других ИТ-специалистов, желающих освоить устойчивые и надежные подходы к администрированию.</t>
  </si>
  <si>
    <t>Справочник линуксоида. Все, что нужно, под рукой.</t>
  </si>
  <si>
    <t>Справочник Линуксоида.pdf</t>
  </si>
  <si>
    <t>Этот справочник содержит ключевую информацию об операционной системе Linux, охватывая широкий спектр тем: от основ работы с командной строкой, файловой системой и локальной сетью до продвинутых разделов, таких как управление загрузкой, ядро, маршрутизация и настройка брандмауэра. Книга структурирована для быстрого поиска данных и включает множество примеров использования команд и элементов системы. Издание будет полезно как начинающим пользователям, так и опытным линуксоидам, которым необходим компактный справочный материал под рукой.</t>
  </si>
  <si>
    <t>Справочник системного администратора</t>
  </si>
  <si>
    <t>Справочник_системного_администратора.pdf</t>
  </si>
  <si>
    <t>Книга представляет собой практическое руководство по администрированию компьютерных сетей, охватывающее настройку, диагностику и поддержку сетевой инфраструктуры. Ключевые разделы включают работу с протоколами TCP/IP, управление сетевыми устройствами (маршрутизаторами, коммутаторами) и обеспечение безопасности сети. Издание предназначено для системных администраторов и IT-специалистов среднего уровня, уже имеющих базовые знания в области сетевых технологий.</t>
  </si>
  <si>
    <t>Сценарии командной оболочки. Linux, OS X и Unix. 2-е изд.</t>
  </si>
  <si>
    <t>Тейлор Дейв; Перри Брендон</t>
  </si>
  <si>
    <t>Сценарии_командной_оболочки_Linux,_OS_X_и_Unix.pdf</t>
  </si>
  <si>
    <t>Книга Дейва Тейлора и Брендона Перри посвящена практическому программированию сценариев командной оболочки bash в средах Linux, OS X и Unix. В ней на компактных примерах разбираются типичные задачи системного администрирования, автоматизации, работы с интернетом и обработки данных, включая такие разделы, как управление пользователями, настройка веб-серверов и работа с графикой. Издание предназначено для системных администраторов, инженеров и программистов, уже имеющих базовый опыт, и предлагает готовые решения, которые можно адаптировать под свои нужды.</t>
  </si>
  <si>
    <t>Самоучитель системного администратора. 5-е изд.</t>
  </si>
  <si>
    <t>Операционные системы/Windows</t>
  </si>
  <si>
    <t>Windows</t>
  </si>
  <si>
    <t>!Самоучитель_системного_администратора.pdf</t>
  </si>
  <si>
    <t>C:\Users\alexa\YandexDisk\Книги\Операционные системы\Windows</t>
  </si>
  <si>
    <t>Это пятое издание практического руководства по системному администрированию, охватывающее базовые протоколы, выбор оборудования и ежедневные задачи управления IT-инфраструктурой. Ключевые разделы включают сравнение Windows и Linux, настройку подсистем аутентификации (Kerberos) и совместного доступа к ресурсам через Samba, а также облачные технологии и мониторинг сетей. Книга предназначена для начинающих системных администраторов и содержит множество практических инструкций, основанных на многолетнем опыте авторов.</t>
  </si>
  <si>
    <t>Active Directory: проектирование, развертывание и защита</t>
  </si>
  <si>
    <t>Дишан Фрэнсис</t>
  </si>
  <si>
    <t>Active Directory проектирование, развертывание и защита.pdf</t>
  </si>
  <si>
    <t>Это третье издание практического руководства по Active Directory, полностью обновлённое для Windows Server 2022. Книга охватывает полный цикл работы с корпоративной инфраструктурой идентификации: от проектирования и развёртывания до защиты и гибридной интеграции с облаком Azure AD. Среди ключевых разделов — управление групповыми политиками, службы сертификатов и федерации, аудит, а также расширенное администрирование с помощью PowerShell. Издание предназначено для ИТ-специалистов, стремящихся углубить знания об Active Directory и освоить современные методы защиты от новых угроз безопасности.</t>
  </si>
  <si>
    <t>Microsoft Windows 11. Первое знакомство</t>
  </si>
  <si>
    <t>Microsoft Windows 11.pdf</t>
  </si>
  <si>
    <t>Книга Д. Н. Колисниченко «Microsoft Windows 11. Первое знакомство» посвящена обзору нововведений операционной системы Windows 11, включая установку системы, обновленный интерфейс с измененной кнопкой «Пуск» и схемой разметки окон Snap Layouts, а также новые стандартные приложения и браузер Edge. В издании рассматриваются полезные файловые операции, средства настройки компьютера, управление учетными записями и функции администрирования. Книга предназначена для широкого круга пользователей, включая новичков, желающих освоить новую систему.</t>
  </si>
  <si>
    <t>PowerShell 101</t>
  </si>
  <si>
    <t>Mike F. Robbins</t>
  </si>
  <si>
    <t>PowerShell 101.pdf</t>
  </si>
  <si>
    <t>Это руководство представляет собой практическое введение в PowerShell для начинающих. Книга охватывает базовые темы, включая запуск оболочки, работу со справочной системой, изучение объектов, свойств и методов, а также использование конвейера и однострочных команд. Материал предназначен для новичков, желающих освоить PowerShell с нуля.</t>
  </si>
  <si>
    <t>PowerShell для сисадминов</t>
  </si>
  <si>
    <t>Адам Бертрам</t>
  </si>
  <si>
    <t>PowerShell_для_сисадминов.pdf</t>
  </si>
  <si>
    <t>Книга «PowerShell для сисадминов» Адама Бертрама посвящена автоматизации задач системного администрирования с помощью языка сценариев и командной оболочки PowerShell. Ключевые концепции включают основы работы с командами, потоком управления и обработкой ошибок, а также практическое применение для управления Active Directory, Azure, Amazon Web Services и создания систем мониторинга. Издание предназначено для ИТ-специалистов и сисадминов, стремящихся перейти от базового уровня к профессиональной автоматизации рутинных процессов.</t>
  </si>
  <si>
    <t>Introducing Windows 10 for IT Professionals</t>
  </si>
  <si>
    <t>Ed Bott</t>
  </si>
  <si>
    <t>Microsoft Press</t>
  </si>
  <si>
    <t>Windows 10 для IT-специалистов.pdf</t>
  </si>
  <si>
    <t>Книга Эда Ботта «Windows 10 для IT-специалистов» представляет собой техническое руководство по операционной системе Windows 10, ориентированное на профессионалов в области информационных технологий. В ней рассматриваются ключевые концепции, такие как новый подход к обновлениям, улучшения безопасности (включая Device Guard), варианты развертывания в организациях и управление учетными записями пользователей. Издание охватывает темы от установки и активации до виртуализации и защиты данных, делая акцент на инструментах для IT-администраторов. Книга предназначена для специалистов среднего и продвинутого уровня, занимающихся администрированием, развертыванием и поддержкой Windows 10 в корпоративной среде.</t>
  </si>
  <si>
    <t>Администрирование локально-вычислительных сетей под управлением MS Windows Server</t>
  </si>
  <si>
    <t>Цыдыпов С. Г.</t>
  </si>
  <si>
    <t>Издательство Бурятского госуниверситета</t>
  </si>
  <si>
    <t>Администрирование_локально_вычислительных_сетей_под_управлением.pdf</t>
  </si>
  <si>
    <t>Данное учебно-методическое пособие посвящено основам администрирования локально-вычислительных сетей на платформе MS Windows Server. В книге подробно рассматриваются этапы развертывания и конфигурирования виртуальных машин в среде Oracle VirtualBox, а также настройка сервера, выполняющего функции контроллера домена, DNS, DHCP и файлового сервера. Пособие предназначено для студентов, обучающихся по направлениям «Прикладная информатика» и «Математическое обеспечение и администрирование информационных систем», то есть для начинающих специалистов.</t>
  </si>
  <si>
    <t>Windows Internals</t>
  </si>
  <si>
    <t>Pavel Yosifovich; Alex Ionescu; Mark E. Russinovich; David A. Solomon</t>
  </si>
  <si>
    <t>Внутренне устройство_Windows10.pdf</t>
  </si>
  <si>
    <t>Книга «Внутреннее устройство Windows. 7-е издание» посвящена архитектуре и внутренним механизмам работы операционной системы Windows 10. В ней подробно рассматриваются такие ключевые концепции, как процессы, потоки, управление виртуальной памятью, режимы ядра и пользовательский режим, а также работа гипервизора. Издание предназначено для профессионалов — разработчиков, системных администраторов и специалистов по безопасности, желающих глубоко разобраться в поведении системы для решения задач проектирования, диагностики и повышения производительности.</t>
  </si>
  <si>
    <t>Основы администрирования информационных систем</t>
  </si>
  <si>
    <t>Д. О. Бобынцев; А. Л. Марухленко; Л. О. Марухленко; С. А. Кужелева; Л. А. Лисицын</t>
  </si>
  <si>
    <t>Основы_администрированияинформационных_систем_2021.pdf</t>
  </si>
  <si>
    <t>Это учебное пособие посвящено основам администрирования информационных систем, компьютерных сетей и баз данных, преимущественно на базе продуктов Microsoft. Ключевые разделы охватывают введение в администрирование, работу с вычислительными сетями и моделью OSI, доменную модель безопасности и Active Directory, службы DNS и DHCP, удалённое администрирование, а также администрирование серверов баз данных и веб-служб. Книга предназначена для студентов бакалавриата и магистратуры, а также для начинающих специалистов, желающих сформировать теоретическую базу для работы системным администратором.</t>
  </si>
  <si>
    <t>Работа с ядром Windows</t>
  </si>
  <si>
    <t>Павел Йосифович</t>
  </si>
  <si>
    <t>Работа с ядром Windows [2021] Павел Йосифович.pdf</t>
  </si>
  <si>
    <t>Книга Павла Йосифовича посвящена программированию драйверов Windows и работе с ядром операционной системы. В ней рассматриваются ключевые концепции внутреннего устройства Windows, такие как процессы, потоки, виртуальная память и системные сервисы, а затем даются практические инструкции по созданию, установке и отладке драйверов. Издание предназначено для специалистов, начинающих осваивать разработку на уровне ядра, и содержит пошаговые примеры кода.</t>
  </si>
  <si>
    <t>Скрипты. Сценарии автоматизации</t>
  </si>
  <si>
    <t>Валентин Юльевич Арьков</t>
  </si>
  <si>
    <t>Скрипты. Сценарии автоматизации.pdf</t>
  </si>
  <si>
    <t>Это учебное пособие посвящено автоматизации рутинных задач в операционных системах с помощью скриптов и пакетных файлов. Ключевые разделы охватывают пакетные файлы BAT/CMD, скрипты VBS, макросы VBA, системные вызовы API и PowerShell. Книга предназначена для начинающих пользователей и программистов, желающих повысить компьютерную грамотность и освоить основы программирования через создание сценариев автоматизации.</t>
  </si>
  <si>
    <t>Современный PowerShell</t>
  </si>
  <si>
    <t>Попов А. В.</t>
  </si>
  <si>
    <t>Современный PowerShell.pdf</t>
  </si>
  <si>
    <t>Книга Андрея Попова «Современный PowerShell» посвящена возможностям объектно-ориентированной командной оболочки Microsoft PowerShell для автоматизации задач. В ней рассматриваются основы языка, работа с файловой системой и структурированными данными (CSV, JSON), управление процессами и службами, а также создание графического интерфейса с помощью Windows Forms и WPF. Отдельное внимание уделено кросс-платформенным возможностям PowerShell в macOS и Linux. Издание предназначено для начинающих системных администраторов и опытных пользователей.</t>
  </si>
  <si>
    <t>Справочник системного администратора 2020</t>
  </si>
  <si>
    <t>Справочник_системного_администратора_2020.pdf</t>
  </si>
  <si>
    <t>Данный фрагмент книги представляет собой справочное руководство по сетевым технологиям для системных администраторов. Ключевые разделы, вероятно, охватывают настройку сетевого оборудования, протоколы передачи данных и администрирование сетевой инфраструктуры. Издание предназначено для практикующих специалистов среднего и продвинутого уровня, желающих углубить знания в области управления сетями.</t>
  </si>
  <si>
    <t>Справочник сисадмина. Все, что нужно, под рукой</t>
  </si>
  <si>
    <t>Левицкий Н.Д.</t>
  </si>
  <si>
    <t>Операционные системы/Windows; Операционные системы_Linux</t>
  </si>
  <si>
    <t>Windows; Операционные системы_Linux</t>
  </si>
  <si>
    <t>Справочник сисадмина.pdf</t>
  </si>
  <si>
    <t>C:\Users\alexa\YandexDisk\Книги\Операционные системы\Windows; Операционные системы_Linux</t>
  </si>
  <si>
    <t>Книга представляет собой практический справочник для системных администраторов, охватывающий администрирование двух основных платформ: Windows Server и Linux. Первый блок посвящен управлению Windows Server, включая мониторинг, безопасность, работу с учетными записями, сетью TCP/IP, DNS, DHCP и развертывание Active Directory. Второй блок фокусируется на Linux, рассматривая командную строку, управление процессами, хранилищем, маршрутизацию, настройку брандмауэра и файловую систему. Издание предназначено как для специалистов разного уровня, так и для обычных пользователей, желающих освоить серверные и сетевые технологии.</t>
  </si>
  <si>
    <t>Agile. Практическое руководство</t>
  </si>
  <si>
    <t>Олимп–Бизнес</t>
  </si>
  <si>
    <t>Организация производства/Agile</t>
  </si>
  <si>
    <t>Организация производства</t>
  </si>
  <si>
    <t>Agile</t>
  </si>
  <si>
    <t>!!!Agile - PMI. Практическое руководство.pdf</t>
  </si>
  <si>
    <t>C:\Users\alexa\YandexDisk\Книги\Организация производства\Agile</t>
  </si>
  <si>
    <t>Данный фрагмент представляет собой введение к практическому руководству по Agile-методологиям, разработанному Институтом управления проектами (PMI) совместно с Agile Alliance. Книга посвящена применению гибких подходов в управлении проектами и содержит стандарты, основанные на добровольном участии и консенсусе экспертов. Издание предназначено для профессиональных руководителей проектов и специалистов в области управления, интересующихся внедрением Agile-практик.</t>
  </si>
  <si>
    <t>Все об Agile. Искусство создания эффективной команды</t>
  </si>
  <si>
    <t>Клод Обри</t>
  </si>
  <si>
    <t>!!Все об Agile.pdf</t>
  </si>
  <si>
    <t>Эта книга посвящена философии Agile (Agility) как искусству создания эффективной команды, а не как набору технических инструкций. Автор подчеркивает, что истинная гибкость не достигается принудительным внедрением фреймворков, а требует осознанного и творческого подхода, сравнивая этот процесс с созданием произведения искусства. Ключевые разделы посвящены критике поверхностного внедрения Agile, разбору типичных ошибок (например, слепое следование практикам без пересмотра процессов) и демонстрации применения Agility в различных сферах, включая написание книг и организацию мероприятий. Издание адресовано новичкам, которые слышали об Agile, но не знают, как его применить, а также специалистам, столкнувшимся с трудностями при внедрении и ищущим пути их преодоления.</t>
  </si>
  <si>
    <t>Agile for Everybody</t>
  </si>
  <si>
    <t>Matt LeMay</t>
  </si>
  <si>
    <t>!Agile для всех.pdf</t>
  </si>
  <si>
    <t>Книга Мэтта Лемея «Agile для всех» посвящена применению гибкой методологии Agile для создания быстрых, гибких и клиентоориентированных организаций, выходя за рамки IT-сферы. Ключевые концепции включают основополагающие принципы Agile (ценности и цели), практики быстрого выигрыша и глубинного погружения (например, работа в спринтах), а также признаки успеха и тревожные сигналы для оценки внедрения. Издание предназначено для широкого круга практиков — от менеджеров по продукту и разработчиков до маркетологов и руководителей, включая новичков, желающих освоить Agile без сложного сленга.</t>
  </si>
  <si>
    <t>Время быть Agile</t>
  </si>
  <si>
    <t>Марина Феликсовна Михайленко</t>
  </si>
  <si>
    <t>!Время быть Agile.pdf</t>
  </si>
  <si>
    <t>Книга Марины Михайленко «Время быть Agile» посвящена адаптации философии гибкого менеджмента (Agile) для российских реалий, выходя за рамки традиционной IT-сферы. Автор рассматривает ключевые концепции, такие как SCRUM-методология (спринты, бэклоги, ретроспективы), и подчеркивает важность преодоления психологических барьеров и иерархических систем для внедрения Agile. Издание предназначено для руководителей, собственников бизнеса и специалистов, которые хотят перестроить корпоративную культуру и получить практические результаты, опираясь на реальные российские кейсы.</t>
  </si>
  <si>
    <t>Agile Software Development: Trends, Challenges and Applications</t>
  </si>
  <si>
    <t>Susheela Hooda; Vandana Mohindru Sood; Yashwant Singh; Sandeep Dalal; Manu Sood</t>
  </si>
  <si>
    <t>Agile Software Development.pdf</t>
  </si>
  <si>
    <t>Данный фрагмент представляет собой выходные данные и оглавление коллективной монографии «Agile Software Development: Trends, Challenges and Applications» под редакцией Сушейлы Худы и других, опубликованной в 2023 году. Книга посвящена современным тенденциям, проблемам и практическим применениям гибкой (Agile) методологии разработки программного обеспечения, включая её адаптацию в различных секторах, интеграцию с Интернетом вещей (IoT), управление требованиями и безопасностью. Ключевые разделы охватывают архитектурные тренды, проблемы масштабирования, адаптацию фреймворков и инструменты оценки уязвимостей. Издание предназначено для специалистов в области разработки ПО, исследователей и студентов, интересующихся углублённым анализом Agile-практик.</t>
  </si>
  <si>
    <t>Agile Software Engineering Skills</t>
  </si>
  <si>
    <t>Julian Michael Bass</t>
  </si>
  <si>
    <t>Agile Software Engeneerig Skils.pdf</t>
  </si>
  <si>
    <t>Эта книга представляет собой введение в гибкие методологии разработки программного обеспечения (Agile), предназначенное для начинающих специалистов. Автор структурирует материал вокруг трёх ключевых концепций: ролей (люди), артефактов (продукт) и церемоний (процесс), а также затрагивает продвинутые темы, такие как работа нескольких команд и облачные сервисы. Издание ориентировано на студентов и практикующих разработчиков начального уровня, желающих освоить навыки командной работы, итеративной разработки и управления процессами.</t>
  </si>
  <si>
    <t>Навигатор цифровой трансформации: Agile-подход в государственном управлении</t>
  </si>
  <si>
    <t>под ред. Е. Г. Потаповой</t>
  </si>
  <si>
    <t>РАНХиГС</t>
  </si>
  <si>
    <t>Agile в государственном управлении.pdf</t>
  </si>
  <si>
    <t>Методические рекомендации посвящены применению гибких (Agile) подходов в проектном управлении органов государственной власти, особенно в контексте цифровой трансформации. Ключевые концепции включают влияние организационной культуры на внедрение Agile, критерии готовности (Definition of Done) и практические инструменты, такие как спринты и бэклог. Книга предназначена для руководителей и специалистов федеральных и региональных органов исполнительной власти, начиная от новичков, желающих получить общее представление, до практиков, ищущих конкретные методики.</t>
  </si>
  <si>
    <t>Agile, который работает. Как правильно трансформировать бизнес во времена радикальных перемен</t>
  </si>
  <si>
    <t>Даррелл Ригби; Сара Элк; Стив Берез</t>
  </si>
  <si>
    <t>Agile, который работает.pdf</t>
  </si>
  <si>
    <t>Книга «Agile, который работает» посвящена практической трансформации бизнеса с помощью методологии Agile в условиях нестабильного рынка. Авторы объясняют, как гибкие, самоуправляемые команды помогают преодолевать бюрократию, ускорять инновации и улучшать клиентский опыт, приводя примеры компаний Bosch, Saab и Amazon. Ключевые разделы включают определение уровней внедрения Agile, масштабирование гибких команд и баланс между регламентированными и гибкими процессами. Книга предназначена для бизнес-лидеров, руководителей высшего звена и специалистов, ответственных за организационные изменения, но будет полезна как новичкам, так и скептикам.</t>
  </si>
  <si>
    <t>Agile-тестирование</t>
  </si>
  <si>
    <t>Джанет Грегори; Лайза Криспин</t>
  </si>
  <si>
    <t>agile-testirovanie.epub</t>
  </si>
  <si>
    <t>Книга «Agile-тестирование» Джанет Грегори и Лайзы Криспин посвящена процессу тестирования программного обеспечения в рамках гибких методологий (Agile). В ней подробно рассматриваются ключевые концепции, такие как спецификация по образцу, автоматизированное тестирование и интеграция тестирования в общий рабочий процесс команды. Издание предназначено как для начинающих тестировщиков, так и для опытных специалистов, включая разработчиков, бизнес-аналитиков и менеджеров, желающих улучшить качество продуктов и процессов.</t>
  </si>
  <si>
    <t>agile-testirovanie</t>
  </si>
  <si>
    <t>agile-testirovanie.mobi</t>
  </si>
  <si>
    <t>Книга посвящена внедрению тестирования в гибкие (Agile) методологии разработки программного обеспечения. В ней рассматриваются ключевые концепции, такие как роль тестировщика в кросс-функциональной команде, автоматизация тестирования, работа с пользовательскими историями и непрерывная интеграция. Издание предназначено для практикующих тестировщиков, разработчиков и менеджеров, уже знакомых с основами Agile, которые хотят повысить качество продукта и эффективность процессов.</t>
  </si>
  <si>
    <t>Agile. Основы</t>
  </si>
  <si>
    <t>Коробейник Андрей Николаевич</t>
  </si>
  <si>
    <t>ООО «ЛАБОРАТОРИЯ ЗНАНИЙ»</t>
  </si>
  <si>
    <t>Agile. Основы.pdf</t>
  </si>
  <si>
    <t>Этот электронный учебник Андрея Коробейника посвящен основам Agile-подхода к управлению проектами. Ключевые разделы включают ценности и принципы Agile, сравнение с традиционным подходом, а также практики Scrum и Kanban. Материал рассчитан на новичков, желающих получить краткое и емкое представление о гибких методологиях за 40 минут.</t>
  </si>
  <si>
    <t>Agile Model-Based Systems Engineering Cookbook</t>
  </si>
  <si>
    <t>Dr. Bruce Powel Douglass</t>
  </si>
  <si>
    <t>Agile.Model-Based.Systems.Engineering.Cookbook.pdf</t>
  </si>
  <si>
    <t>Эта книга представляет собой практическое руководство по внедрению гибких (agile) методов в модельно-ориентированный системный инжиниринг (MBSE). Ключевые концепции включают пошаговые рецепты для функционального анализа, архитектуры, оценки альтернатив, верификации и валидации, а также особое внимание уделяется безопасности и защите систем. Издание предназначено для практикующих системных инженеров и специалистов, стремящихся повысить гибкость процессов разработки сложных систем, и требует базового понимания системной инженерии.</t>
  </si>
  <si>
    <t>Agile in Practice: Practical Use-cases on Project Management Methods including Agile, Kanban and Scrum</t>
  </si>
  <si>
    <t>Sudipta Malakar</t>
  </si>
  <si>
    <t>AGILE_in_Practice_Practical_Use_cases_on_Project_Management_Methods.pdf</t>
  </si>
  <si>
    <t>Книга «Agile in Practice» Суддипты Малакара посвящена практическим аспектам управления проектами с использованием гибких методологий, включая Agile, Kanban и Scrum. В ней рассматриваются ключевые концепции и реальные примеры применения этих фреймворков для повышения бизнес-гибкости и качества продуктов. Издание ориентировано на практикующих специалистов и менеджеров, стремящихся углубить свои знания в области Agile-практик и Lean-подхода.</t>
  </si>
  <si>
    <t>Agile-трансформация. Готовый план перехода к гибкой бизнес-модели организации</t>
  </si>
  <si>
    <t>Саймон Хейворд</t>
  </si>
  <si>
    <t>Agile_трансформация_Готовый_план_перехода_к_гибкой_бизнес_м.pdf</t>
  </si>
  <si>
    <t>Книга Саймона Хейворда «Agile-трансформация» посвящена практическому руководству по внедрению гибких методов управления в бизнесе, где ключевым фактором успеха является гибкость самого руководителя. Автор рассматривает Agile не только как творческий процесс, но и как систему жесткой расстановки приоритетов, управления рисками и умения вовремя остановиться, а также делает акцент на важности культуры, сотрудничества и ориентации на клиента. Книга предназначена для руководителей и топ-менеджмента компаний, стремящихся адаптироваться к цифровой эпохе и преодолеть бюрократию, и будет полезна как специалистам, так и тем, кто только начинает знакомство с Agile-методологией.</t>
  </si>
  <si>
    <t>Практика управления процессами и проектами с применением Agile (Scrum, Kanban)</t>
  </si>
  <si>
    <t>Исаев Р.А.</t>
  </si>
  <si>
    <t>Book_agile_747400.pdf</t>
  </si>
  <si>
    <t>Данное электронное пособие Р.А. Исаева посвящено практическому применению гибких методологий управления Agile, в частности Scrum и Kanban. Ключевые разделы книги охватывают сравнение директивных и адаптивных подходов, недостатки каскадной модели Waterfall, а также детальное описание самих методологий и их автоматизации. Пособие предназначено для широкого круга руководителей и специалистов, особенно в ИТ, консалтинге и финансах, и будет полезно как новичкам, так и практикующим специалистам.</t>
  </si>
  <si>
    <t>12 Steps to Flow: The New Framework for Business Agility</t>
  </si>
  <si>
    <t>Haydn Shaughnessy; Fin Goulding</t>
  </si>
  <si>
    <t>cleverics_12_steps_to_flow.pdf</t>
  </si>
  <si>
    <t>Книга «12 шагов к гибкому бизнесу» посвящена внедрению Agile-подхода и методологии Flow для повышения гибкости и конкурентоспособности организаций в условиях цифровой трансформации. Ключевые концепции включают «Круги Flow» как первый шаг к гибкости, динамическую сегментацию клиентов, матричные инновации и создание культуры поиска ценности через эксперименты и обучение. Издание предназначено для специалистов в области информационных технологий, руководителей бизнес-подразделений и владельцев компаний, то есть для практикующих специалистов и управленцев.</t>
  </si>
  <si>
    <t>The Age of Agile: How Smart Companies Are Transforming the Way Work Gets Done</t>
  </si>
  <si>
    <t>Stephen Denning</t>
  </si>
  <si>
    <t>AMACOM</t>
  </si>
  <si>
    <t>Denning_S._Yepoha_Agile.a4.pdf</t>
  </si>
  <si>
    <t>Книга Стивена Деннинга «Эпоха Agile» посвящена внедрению гибких методов управления в компаниях и трансформации бизнеса для достижения выдающихся результатов. Ключевые концепции включают три закона Agile-менеджмента: закон микрокоманды, закон потребителя и закон сети, а также анализ ловушек традиционного управления, таких как ориентация на акционерную стоимость и ретроспективная стратегия. Издание предназначено для руководителей, менеджеров проектов и специалистов, стремящихся понять, как крупные международные компании переходят на Agile-подход и ставят амбициозные цели.</t>
  </si>
  <si>
    <t>Extreme Programming Explained</t>
  </si>
  <si>
    <t>Kent Beck</t>
  </si>
  <si>
    <t>1999</t>
  </si>
  <si>
    <t>First Edition</t>
  </si>
  <si>
    <t>extreme programming explained.pdf</t>
  </si>
  <si>
    <t>Книга Кента Бека «Extreme Programming Explained» посвящена методологии экстремального программирования (XP), разработанной для небольших команд в условиях нестабильных требований. Ключевые концепции включают отказ от традиционного разделения ролей, написание тестов до кода, парное программирование, частую интеграцию и эволюционное проектирование вместо детального предварительного анализа. Издание предназначено для специалистов в области разработки программного обеспечения, включая программистов, менеджеров и аналитиков, готовых пересмотреть устоявшиеся подходы к созданию ПО.</t>
  </si>
  <si>
    <t>Agile: оценка и планирование проектов</t>
  </si>
  <si>
    <t>Майк Кон</t>
  </si>
  <si>
    <t>Kon_M._Agile_Ocenka_I_Planirovan.a4.pdf</t>
  </si>
  <si>
    <t>Книга Майка Кона посвящена практическим методам оценки и планирования в Agile-проектах, где автор предлагает инструменты для создания реалистичных планов, которые можно корректировать в процессе работы. Ключевые концепции включают использование относительных показателей (пункты и идеальные дни), покер планирования, приоритизацию функций, разбивку пользовательских историй, а также планирование релизов и итераций с учетом неопределенности и буферов. Издание предназначено для специалистов любого уровня, от новичков до опытных менеджеров, которые хотят научиться выполнять проекты в срок и в рамках бюджета с помощью гибких методологий.</t>
  </si>
  <si>
    <t>Management 3.0: Leading Agile Developers, Developing Agile Leaders</t>
  </si>
  <si>
    <t>management_3_0_leading_agile_developers_developing.pdf</t>
  </si>
  <si>
    <t>Этот фрагмент представляет собой введение к книге Юргена Аппело «Management 3.0», посвященной современным подходам к управлению agile-командами и развитию лидерских качеств. В первой главе автор обсуждает сложность управления, противопоставляя линейное мышление и редукционизм целостному подходу (холизму), и представляет свою «теорию всего» для agile-менеджмента. Книга предназначена для руководителей и специалистов, уже знакомых с основами Agile, которые хотят перейти от традиционного иерархического управления к более гибким и эффективным практикам.</t>
  </si>
  <si>
    <t>Mihaylenko_Vremya-byt-Agile.653375 (1).pdf.pdf</t>
  </si>
  <si>
    <t>Книга Марины Михайленко «Время быть Agile» посвящена адаптации гибкого менеджмента (Agile) в российских компаниях, особенно в нетехнологичных сферах. Автор объясняет, как выйти за рамки привычных иерархических систем, используя философию Agile, и приводит реальные кейсы внедрения. В тексте рассматриваются ключевые концепции SCRUM (спринты, бэклоги, ретроспективы), а также подчеркивается важность преодоления психологических барьеров и корпоративных традиций. Книга предназначена для руководителей, собственников бизнеса и специалистов, которые уже имеют базовое представление об управлении и хотят перейти к гибким методологиям, избегая типичных ошибок.</t>
  </si>
  <si>
    <t>User Stories Applied: For Agile Software Development</t>
  </si>
  <si>
    <t>Mike Cohn</t>
  </si>
  <si>
    <t>pol_zovatel_skie_istorii_gibkaya_razrabotka_programmno.pdf</t>
  </si>
  <si>
    <t>Данный фрагмент книги Майка Кона посвящён методологии гибкой разработки программного обеспечения, а именно — работе с пользовательскими историями. Ключевые концепции включают структуру и написание пользовательских историй, их оценку и приоритизацию, а также интеграцию в процесс Scrum. Книга предназначена для специалистов в области разработки ПО, включая как новичков, желающих освоить гибкие подходы, так и опытных практиков, стремящихся углубить понимание работы с требованиями.</t>
  </si>
  <si>
    <t>A User Story Primer</t>
  </si>
  <si>
    <t>Dean Leffingwell; Pete Behrens</t>
  </si>
  <si>
    <t>Leffingwell, LLC</t>
  </si>
  <si>
    <t>User-Story-Primer.pdf</t>
  </si>
  <si>
    <t>Этот фрагмент представляет собой введение к техническому документу Дина Леффингуэлла, посвящённому пользовательским историям (user stories) — основному инструменту гибкой разработки (Agile) для передачи требований заказчика. Ключевые концепции включают описание пользовательских историй как лёгкой альтернативы традиционным спецификациям, их роль в обеспечении ценности для пользователя, а также упоминаются такие разделы, как форма историй, критерии приёмки и принцип INVEST. Документ предназначен для специалистов в области разработки программного обеспечения, уже знакомых с Agile-методологиями, и рассматривается как часть более крупной работы по масштабируемым требованиям для предприятий.</t>
  </si>
  <si>
    <t>Блистательный Agile. Гибкое управление проектами с помощью Agile, Scrum и Kanban</t>
  </si>
  <si>
    <t>Коул Роб; Скотчер Эдвард</t>
  </si>
  <si>
    <t>Блистательный_Agile_IT_для_бизнеса_2019.pdf</t>
  </si>
  <si>
    <t>Книга «Блистательный Agile» посвящена практическому применению гибких методологий управления проектами, таких как Agile, Scrum и Kanban, в бизнес-среде. Авторы фокусируются не на теории, а на реальных примерах и конкретных техниках внедрения, начиная с основ Agile и Манифеста, переходя к формированию команды, управлению рисками и работе с изменениями. Издание предназначено для широкого круга читателей — от новичков, желающих понять суть гибкого управления, до специалистов, ищущих практические советы для успешной реализации проектов в организации.</t>
  </si>
  <si>
    <t>Время быть Agile.pdf</t>
  </si>
  <si>
    <t>Книга Марины Михайленко «Время быть Agile» посвящена адаптации гибкого менеджмента (Agile) для российских реалий в нетехнологичных сферах — от маркетинга до науки. Автор объясняет ключевые концепции, такие как итерации (спринты), бэклог проекта и спринта, ретроспективы и SCRUM-доску, подчеркивая, что методология — лишь инструмент, а главное — философия гибкости. Книга будет полезна как начинающим руководителям, так и опытным специалистам, которые хотят преодолеть сопротивление иерархических систем и внедрить Agile в корпоративную культуру, опираясь на реальные российские кейсы и опыт таких компаний, как Сбер.</t>
  </si>
  <si>
    <t>Гибкие методологии разработки</t>
  </si>
  <si>
    <t>Борис Вольфсон</t>
  </si>
  <si>
    <t>Гибкие методологии разработки.pdf</t>
  </si>
  <si>
    <t>Книга Бориса Вольфсона посвящена гибким методологиям разработки программного обеспечения (Agile), в частности фреймворкам Scrum, XP, Канбан и принципам Lean. Автор подробно разбирает управление продуктом и командой, инженерные практики, контроль качества, масштабирование Agile и практическое внедрение методологий за 14 недель. Издание предназначено для широкого круга ИТ-специалистов — от разработчиков и тестировщиков до владельцев продуктов и руководителей отделов, то есть как для новичков, так и для опытных практиков.</t>
  </si>
  <si>
    <t>Agile-тестирование: Обучающий курс для всей команды</t>
  </si>
  <si>
    <t>Джанет_Грегори,_Лайза_Криспин_Agile_тестирование_Обучающий_курс.pdf</t>
  </si>
  <si>
    <t>Книга «Agile-тестирование. Обучающий курс для всей команды» Джанет Грегори и Лайзы Криспин посвящена процессу тестирования в рамках гибкой методологии разработки (Agile). Ключевые разделы охватывают корпоративную культуру, роли и компетенции тестировщика, техническую подготовку, планирование, тестирование бизнес-ценности, исследовательское тестирование и автоматизацию. Издание предназначено для специалистов IT-отрасли, желающих перейти на гибкий метод управления и улучшить показатели, и будет полезно как практикующим тестировщикам, так и всей команде разработки.</t>
  </si>
  <si>
    <t>Еще более эффективный Agile</t>
  </si>
  <si>
    <t>Стив Макконнелл</t>
  </si>
  <si>
    <t>Еще_более_эффективный_Agile_2021_Стив_Макконнелл.pdf</t>
  </si>
  <si>
    <t>Книга Стива Макконнелла «Еще более эффективный Agile» посвящена практическому повышению эффективности гибких методологий разработки, рассматривая Agile не как набор догматических ритуалов, а как гибкий инструментарий, ориентированный на бизнес-ценность. Ключевые концепции включают 28 принципов эффективности, преодоление разрыва между теорией и практикой, а также вопросы управления крупными проектами, предсказуемости и адаптации методов под конкретные потребности. Издание адресовано как новичкам, только внедряющим Agile, так и опытным специалистам и руководителям, стремящимся углубить свои знания и решить реальные организационные проблемы.</t>
  </si>
  <si>
    <t>Искусство Agile-разработки</t>
  </si>
  <si>
    <t>Джеймс Шор; Шэйн Уорден</t>
  </si>
  <si>
    <t>Искусство Agile-разработки.pdf</t>
  </si>
  <si>
    <t>Книга «Искусство Agile-разработки» Джеймса Шора и соавторов представляет собой практическое руководство по гибкой разработке программного обеспечения, объединяющее идеи экстремального программирования, Scrum, Lean и DevOps. В ней подробно разбираются конкретные техники освоения, планирования, разработки и управления проектами, а также объясняется, как адаптировать Agile под нужды команды и организации. Ключевые разделы охватывают суть Agile, его происхождение и принципы, а также реальные решения для повышения гибкости. Книга предназначена для специалистов любого уровня — от новичков до опытных практиков, желающих глубже понять и эффективно внедрить Agile.</t>
  </si>
  <si>
    <t>Кон Agile_оценка_и_планирование_проектов.pdf</t>
  </si>
  <si>
    <t>Книга Майка Кона посвящена практическому применению agile-подхода для оценки и планирования проектов любого масштаба. В ней рассматриваются ключевые вопросы, такие как размер итераций, приоритизация пользовательских историй и представление данных о прогрессе, а также даются конкретные инструменты, методы и аргументированные рекомендации. Издание предназначено для руководителей проектов, разработчиков и директоров, то есть для практикующих специалистов, а не для новичков.</t>
  </si>
  <si>
    <t>Пользовательские_истории_Гибкая_разработка_ПО.pdf</t>
  </si>
  <si>
    <t>Книга Майка Кона «Пользовательские истории: гибкая разработка программного обеспечения» посвящена методике использования пользовательских историй для сбора и управления требованиями в гибких методологиях разработки. В ней подробно рассматриваются ключевые концепции: написание и оценка историй, моделирование пользовательских ролей, планирование выпусков и итераций, а также приемочное тестирование. Издание предназначено для широкого круга специалистов в области разработки ПО — от новичков, желающих освоить гибкие подходы, до опытных практиков, стремящихся систематизировать свои знания.</t>
  </si>
  <si>
    <t>Постигая Agile</t>
  </si>
  <si>
    <t>Дженнифер Грин</t>
  </si>
  <si>
    <t>Постигая Agile.pdf</t>
  </si>
  <si>
    <t>Эта книга посвящена гибким методологиям разработки (Agile), а именно Scrum, XP, Lean и Kanban, и объясняет их базовые ценности и принципы. Ключевые разделы охватывают Agile-манифест, 12 принципов гибкой разработки, а также детальное рассмотрение каждой методологии с практическими примерами. Издание предназначено как для новичков, желающих понять основы Agile, так и для специалистов, стремящихся улучшить командную работу и внедрить гибкие подходы на практике.</t>
  </si>
  <si>
    <t>Scaling Software Agility: Best Practices for Large Enterprises</t>
  </si>
  <si>
    <t>Dean Leffingwell</t>
  </si>
  <si>
    <t>Презентация- Леффингвелл - 2004.pdf</t>
  </si>
  <si>
    <t>Этот фрагмент книги Дина Леффингвелла «Scaling Software Agility: Best Practices for Large Enterprises» посвящён внедрению гибких (Agile) методологий в крупных компаниях. Ключевые разделы включают введение в Agile, семь масштабируемых командных практик и построение Agile-предприятия, а также приводятся примеры успешного применения (BMC Software, Medtronic, Ping Identity) с доказательствами повышения качества, производительности и ROI. Материал ориентирован на руководителей и специалистов, уже знакомых с основами разработки, которые ищут способы масштабирования Agile за пределы одной команды.</t>
  </si>
  <si>
    <t>Managing Software Requirements: A Unified Approach</t>
  </si>
  <si>
    <t>Dean Leffingwell; Don Widrig</t>
  </si>
  <si>
    <t>Принципы_работы_с_требованиями_Леффингуэлл.pdf</t>
  </si>
  <si>
    <t>Книга посвящена управлению требованиями при разработке программного обеспечения, рассматривая проблемы, связанные с их выявлением, документированием и реализацией. Ключевые разделы охватывают анализ проблемы, понимание потребностей пользователей, определение системы, управление масштабом проекта и уточнение требований с использованием прецедентов и спецификаций. Издание предназначено для всех участников проекта — от разработчиков до заказчиков, включая как новичков, так и опытных специалистов, стремящихся создавать качественные системы в рамках бюджета и сроков.</t>
  </si>
  <si>
    <t>Improving Agile Retrospectives: helping teams become more efficient</t>
  </si>
  <si>
    <t>Marc Loeffler</t>
  </si>
  <si>
    <t>Ретроспектива в Agile - 2020.pdf</t>
  </si>
  <si>
    <t>Книга Марка Лоффлера посвящена ретроспективам в Agile — методу анализа командных побед и поражений для поиска эффективных решений. Ключевые концепции включают использование ретроспектив как части управления рисками, необходимость остановки и критической оценки выбранного пути, а также применение как классических, так и инновационных инструментов для непрерывного обучения. Издание будет полезно как scrum-мастерам и руководителям проектов, так и новичкам, только начинающим знакомство с Agile.</t>
  </si>
  <si>
    <t>Сара_Элк,_Даррелл_Ригби,_Стив_Берез_Agile,_который_работает_Как.pdf</t>
  </si>
  <si>
    <t>Книга «Agile, который работает» посвящена трансформации бизнеса с помощью методологии Agile в условиях нестабильного рынка. Авторы объясняют, как гибкие самоуправляющиеся команды помогают ускорить инновации, улучшить клиентский опыт и преодолеть бюрократию, приводя примеры крупных компаний (Bosch, Saab, Amazon). Ключевые концепции включают масштабирование Agile на все уровни организации, баланс между гибкими и регламентированными процессами, а также практические шаги по внедрению. Книга предназначена для бизнес-лидеров, руководителей и специалистов, ответственных за изменения в компании, и будет полезна как новичкам, так и опытным практикам.</t>
  </si>
  <si>
    <t>Head First Agile. Гибкое управление проектами</t>
  </si>
  <si>
    <t>Эндрю Стиллмен; Дженифер Грин</t>
  </si>
  <si>
    <t>Стилмен Agile управление проектами.pdf</t>
  </si>
  <si>
    <t>Фрагмент представляет собой выходные данные книги «Head First Agile. Гибкое управление проектами» Эндрю Стиллмена и Дженифер Грин. Книга посвящена внедрению гибких методологий разработки, объясняя, почему одни и те же практики работают по-разному в разных командах из-за различий в мышлении и подходе. Ключевая идея — для успешного перехода на Agile необходимо изменить отношение к проектам и погрузиться в философию гибкой разработки. Издание предназначено для широкого круга IT-специалистов, включая разработчиков, руководителей проектов и менеджеров, как начального, так и продвинутого уровня.</t>
  </si>
  <si>
    <t>Экстремальное программирование. Разработка через тестирование</t>
  </si>
  <si>
    <t>Экстремальное_программирование_Разработка_через_тестирование.pdf</t>
  </si>
  <si>
    <t>Книга Кента Бека посвящена методологии разработки через тестирование (TDD), в основе которой лежит парадоксальная идея написания тестов до того, как написан сам код. Ключевые концепции включают циклический процесс «красный-зеленый-рефакторинг», устранение дублирования и создание чистого, работающего кода. Структура книги состоит из двух практических проектов (мультивалютные деньги и xUnit) и обширного каталога шаблонов TDD, тестирования и рефакторинга. Издание предназначено для программистов любого уровня, желающих повысить производительность и получать удовольствие от работы.</t>
  </si>
  <si>
    <t>Канбан: краткое руководство</t>
  </si>
  <si>
    <t>Дэвид Дж. Андерсон; Энди Кармайкл</t>
  </si>
  <si>
    <t>LeanKanban University</t>
  </si>
  <si>
    <t>Организация производства/Kanban</t>
  </si>
  <si>
    <t>Kanban</t>
  </si>
  <si>
    <t>!__Канбан краткое руководство.pdf</t>
  </si>
  <si>
    <t>C:\Users\alexa\YandexDisk\Книги\Организация производства\Kanban</t>
  </si>
  <si>
    <t>Это краткое руководство по Канбан-методу, описывающее его как способ визуализации работы, управления потоком и повышения предсказуемости процессов. Ключевые разделы включают ценности, принципы управления изменениями и предоставления сервисов, основные практики (визуализация, ограничение незавершённой работы, управление потоком) и внедрение метода через системный подход STATIK. Книга предназначена для специалистов, желающих освоить Канбан для повышения гибкости организации и улучшения совместной работы.</t>
  </si>
  <si>
    <t>Program &amp; Portfolio Management using Kanban</t>
  </si>
  <si>
    <t>Gina Loreno</t>
  </si>
  <si>
    <t>Davisbase Consulting</t>
  </si>
  <si>
    <t>Program &amp; Portfolio! Management using! Kanban! Copyright 2013 Davisbase Consulting. Limited Display License Provided to ASPE.pdf</t>
  </si>
  <si>
    <t>Этот фрагмент книги посвящён внедрению Agile-подходов и Kanban в управление программами и портфелями проектов (PPM). Ключевые концепции включают Agile Portfolio Management (APM), который решает проблему несоответствия между гибкими командами и традиционным PMO, а также три правила Kanban: визуализация потока, ограничение незавершённой работы (WIP) и вытягивающая система. Материал предназначен для специалистов в области управления проектами, руководителей и Agile-коучей, знакомых с основами гибких методологий.</t>
  </si>
  <si>
    <t>Kanban: Successful Evolutionary Change for Your Technology Business</t>
  </si>
  <si>
    <t>David J. Anderson</t>
  </si>
  <si>
    <t>Blue Hole Press</t>
  </si>
  <si>
    <t>Канбан Альтернативный путь в Agile.pdf</t>
  </si>
  <si>
    <t>Книга Дэвида Андерсона «Канбан. Альтернативный путь в Agile» посвящена внедрению канбан-метода в технологические разработки и IT-операции как эволюционного подхода к управлению изменениями. Ключевые концепции включают визуализацию процесса, ограничение незавершенной работы, управление потоком, типизацию задач и использование метрик для анализа. Издание предназначено для специалистов и менеджеров, знакомых с Agile, которые ищут способы повысить эффективность и устойчивость процессов без радикальных изменений.</t>
  </si>
  <si>
    <t>Канбан гайд</t>
  </si>
  <si>
    <t>Mauvius Group Inc.</t>
  </si>
  <si>
    <t>Канбан гайд.pdf</t>
  </si>
  <si>
    <t>Это официальное руководство по Канбан-методу, предназначенное для управления интеллектуальной работой и профессиональными сервисами. Ключевые концепции включают визуализацию работы, ограничение незавершённой работы (WIP-лимиты), управление потоком, явные правила, циклы обратной связи и экспериментальное совершенствование. Документ также описывает принципы управления изменениями и предоставления сервисов, а также практики вроде STATIK и каденций Канбана. Материал ориентирован на новичков, желающих изучить основы метода, но также может служить справочником для выпускников курсов.</t>
  </si>
  <si>
    <t>Стандарт управления проектом и Руководство к своду знаний по управлению проектом (Руководство PMBOK)</t>
  </si>
  <si>
    <t>Project Management Institute</t>
  </si>
  <si>
    <t>Project Management Institute, Inc.</t>
  </si>
  <si>
    <t>Организация производства/PMBOK</t>
  </si>
  <si>
    <t>PMBOK</t>
  </si>
  <si>
    <t>PMBoK Руководство_к_своду_знаний_по_управлению_проектами 2021.pdf</t>
  </si>
  <si>
    <t>C:\Users\alexa\YandexDisk\Книги\Организация производства\PMBOK</t>
  </si>
  <si>
    <t>Это руководство представляет седьмое издание свода знаний по управлению проектами (PMBOK®), в котором описываются 12 принципов управления проектом и 8 доменов исполнения проекта, необходимых для успешной поставки результатов. Книга охватывает весь спектр подходов к разработке (предиктивный, адаптивный, гибридный, agile) и делает акцент на конечных результатах, а не только на поставляемых продуктах. Издание предназначено для практикующих специалистов по управлению проектами любого уровня, от новичков до опытных профессионалов, стремящихся адаптировать свои подходы к современным вызовам.</t>
  </si>
  <si>
    <t>Руководство к своду знаний по управлению проектами (Руководство PMBOK®)</t>
  </si>
  <si>
    <t>PMBOK_4th_edition_Russian_full_opt.pdf</t>
  </si>
  <si>
    <t>Это фрагмент титульной страницы и юридической информации четвёртого издания «Руководства к Своду знаний по управлению проектами (Руководство PMBOK®)», выпущенного Институтом управления проектами (PMI). Книга представляет собой международный стандарт и свод лучших практик в области управления проектами, описывающий ключевые процессы, области знаний и терминологию. Основное содержание структурировано по частям, начиная с «Структуры управления проектами», и включает описание процессов инициации, планирования, исполнения, мониторинга и завершения. Руководство предназначено для практикующих специалистов, менеджеров проектов и всех, кто готовится к сертификации PMP, и требует базового понимания проектной деятельности.</t>
  </si>
  <si>
    <t>Rally Agile Portfolio Management (rev7final).pptx</t>
  </si>
  <si>
    <t>Организация производства/SAFE</t>
  </si>
  <si>
    <t>SAFE</t>
  </si>
  <si>
    <t>About Dean Leffingwell.pdf</t>
  </si>
  <si>
    <t>C:\Users\alexa\YandexDisk\Книги\Организация производства\SAFE</t>
  </si>
  <si>
    <t>Фрагмент представляет собой презентацию Дина Леффингуэлла, посвящённую трансформации традиционного проектного офиса (PMO) в Agile-структуру (Agile PPMO) с помощью Scaled Agile Framework (SAFe). Ключевые концепции включают критику устаревших подходов (водопадное планирование, максимизация загрузки, контроль через детальные отчёты) и описание восьми трансформационных паттернов, таких как ограничение незавершённой работы, инкрементальное финансирование и децентрализованное планирование. Материал предназначен для специалистов и руководителей, уже знакомых с Agile, которые хотят масштабировать гибкие практики на уровень портфеля и предприятия.</t>
  </si>
  <si>
    <t>Agile Software Requirements (Agile Denver).pptx</t>
  </si>
  <si>
    <t>Leffingwell, LLC.</t>
  </si>
  <si>
    <t>agile-software-requirements-agile-denver-pptx.pdf</t>
  </si>
  <si>
    <t>Фрагмент книги Дина Леффингуэлла посвящён масштабированию гибкой разработки программного обеспечения в крупных предприятиях. Ключевые концепции включают иерархическую модель требований (истории пользователей, функциональные возможности и нефункциональные требования), а также организацию работы через Agile Release Train и управление портфелем проектов. Материал предназначен для специалистов и руководителей, уже знакомых с Agile, которые сталкиваются с необходимостью координации десятков команд и сотен историй в рамках одного релиза.</t>
  </si>
  <si>
    <t>SAFe 5.0 Glossary</t>
  </si>
  <si>
    <t>Scaled Agile, Inc.</t>
  </si>
  <si>
    <t>SAFe5Glossary-Russian.pdf</t>
  </si>
  <si>
    <t>Этот фрагмент представляет собой глоссарий терминов методологии Scaled Agile Framework (SAFe) версии 5.0. В нём даются определения ключевых концепций, таких как Agile Release Train (ART), Built-In Quality, Continuous Delivery Pipeline и Core Values, а также расшифровываются основные аббревиатуры. Материал предназначен для специалистов, уже знакомых с Agile-подходом, и служит справочным инструментом для практикующих участников масштабируемых Agile-команд.</t>
  </si>
  <si>
    <t>Scaling Software Agility: Agile Software Requirements</t>
  </si>
  <si>
    <t>Scaling Software Agility_ Agile Software Requirements. About Dean Leffingwell.pdf</t>
  </si>
  <si>
    <t>Книга Дина Леффингуэлла посвящена масштабированию гибких методологий разработки программного обеспечения в крупных предприятиях. Автор предлагает модель управления требованиями, включающую пользовательские истории (stories) для команд и функции (features) для планирования релизов, а также рассматривает концепции Agile Release Train, реархитектуру с помощью потока и портфельное управление. Ключевая идея заключается в необходимости дополнительного уровня планирования (релизного цикла) для координации работы множества команд, которые оперируют сотнями и тысячами историй. Материал предназначен для специалистов и руководителей, уже знакомых с Agile и сталкивающихся с проблемами его внедрения в масштабах организации.</t>
  </si>
  <si>
    <t>Закон Амдела</t>
  </si>
  <si>
    <t>Закон Амдела.docx</t>
  </si>
  <si>
    <t>Фрагмент книги посвящен закону Амдала, который описывает ограничения ускорения работы системы при параллельных вычислениях. Ключевая концепция заключается в том, что прирост производительности ограничен той частью задачи, которая не поддается распараллеливанию. Материал предназначен для специалистов в области управления проектами и разработки, знакомых с основами масштабирования систем и Agile-методологий.</t>
  </si>
  <si>
    <t>Материалы тренинга SAfe</t>
  </si>
  <si>
    <t>Материалы тренинга SAfe.zip</t>
  </si>
  <si>
    <t>Данный фрагмент текста отсутствует, поэтому невозможно определить содержимое книги. Пожалуйста, предоставьте текст для анализа.</t>
  </si>
  <si>
    <t>Обзор SAFe® 5.1 и кейсы РФ</t>
  </si>
  <si>
    <t>Руслан Юсупов</t>
  </si>
  <si>
    <t>Обзор SAFe® 5.1 и кейсы РФ.pdf</t>
  </si>
  <si>
    <t>Данный фрагмент не является содержанием книги, а представляет собой рекламную страницу или слайд-презентацию, описывающую компанию ScrumTrek и её специалиста Руслана Юсупова. В тексте упоминаются услуги Agile-провайдера, тренинги и конференции, но отсутствует какое-либо изложение концепций SAFe 5.1 или кейсов. Не удалось определить содержимое.</t>
  </si>
  <si>
    <t>Essential Scrum</t>
  </si>
  <si>
    <t>Kenneth S. Rubin</t>
  </si>
  <si>
    <t>Организация производства/Scrum</t>
  </si>
  <si>
    <t>Scrum</t>
  </si>
  <si>
    <t>!!Основы Scrum - 2020.pdf</t>
  </si>
  <si>
    <t>C:\Users\alexa\YandexDisk\Книги\Организация производства\Scrum</t>
  </si>
  <si>
    <t>Книга Кеннета С. Рубина «Основы Scrum» представляет собой практическое руководство по гибкой разработке программного обеспечения, подробно описывающее фреймворк Scrum. Ключевые разделы охватывают роли (Владелец продукта, Scrum-мастер, Команда), артефакты (задел продукта, результаты спринта) и виды деятельности (спринты, ежедневные летучки, ретроспективы), а также принципы управления изменчивостью и неопределенностью. Издание предназначено для новичков и специалистов, желающих освоить или углубить понимание Scrum для эффективного управления проектами.</t>
  </si>
  <si>
    <t>Scrum Guide</t>
  </si>
  <si>
    <t>Кен Швабер; Джефф Сазерленд</t>
  </si>
  <si>
    <t>2020-Scrum-Guide-Russian.pdf</t>
  </si>
  <si>
    <t>Этот фрагмент представляет собой введение к официальному «Руководству по Scrum» (версия 2020 года), которое определяет правила и структуру фреймворка Scrum для управления комплексной работой. Ключевые концепции, затронутые в отрывке, включают назначение руководства, определение Scrum, его теоретические основы (прозрачность, инспекция, адаптация), ценности, а также анонс основных элементов: Scrum-команды, событий и артефактов. Книга предназначена для широкого круга специалистов — от новичков до опытных практиков, включая разработчиков, исследователей и аналитиков, работающих в различных областях.</t>
  </si>
  <si>
    <t>Agile Software Development with Scrum</t>
  </si>
  <si>
    <t>agile-software-development-with-scrum-9780130676344.pdf</t>
  </si>
  <si>
    <t>Книга посвящена практическому применению гибкой методологии Scrum в разработке программного обеспечения. В ней подробно разбираются ключевые концепции: роли (владелец продукта, скрам-мастер, команда), артефакты (бэклог продукта, бэклог спринта) и события (спринт, ежедневные встречи, обзор и ретроспектива). Издание ориентировано на специалистов в области управления проектами и разработчиков, имеющих базовый опыт, но желающих углубить понимание Scrum для повышения эффективности работы.</t>
  </si>
  <si>
    <t>Scrum. Революционный метод управления проектами</t>
  </si>
  <si>
    <t>Джефф Сазерленд</t>
  </si>
  <si>
    <t>Sazerlend_D._Scrum_Revolyucionnyiyi_Me.a4.pdf</t>
  </si>
  <si>
    <t>Книга Джеффа Сазерленда «Scrum. Революционный метод управления проектами» посвящена гибкой методологии управления проектами, которая пришла на смену неэффективному каскадному подходу. Ключевые концепции включают итеративную работу через спринты, ежедневные собрания, фокус на приоритетах и постоянную обратную связь от заказчика для быстрого получения работающего продукта. Издание предназначено как для новичков, так и для специалистов, желающих повысить продуктивность команды и освоить современный инструмент управления.</t>
  </si>
  <si>
    <t>Sazerlend_D._Scrum_Revolyucionnyiyi_Me.a6.pdf</t>
  </si>
  <si>
    <t>Книга Джеффа Сазерленда посвящена методологии Scrum — гибкому итеративному подходу к управлению проектами, который позволяет выполнять работу вдвое быстрее и с меньшими затратами, в отличие от традиционной каскадной модели. Ключевые концепции включают спринты (короткие циклы работы), ежедневные собрания, роли скрам-мастера и владельца продукта, а также принципы приоритизации задач и постоянной адаптации к обратной связи клиента. Издание будет полезно как новичкам, желающим освоить современные методы управления, так и опытным специалистам, стремящимся повысить продуктивность команд в любой сфере — от IT до государственного управления.</t>
  </si>
  <si>
    <t>Scrum: The Complete Guide to the Agile Project Management Framework that Helps the Software Development Lean Team to Efficiently Structure and Simplify the Work &amp; Solve Problems in Half the Time</t>
  </si>
  <si>
    <t>Josh Wright</t>
  </si>
  <si>
    <t>Scrum (Josh Wright).epub</t>
  </si>
  <si>
    <t>Книга Джоша Райта представляет собой полное руководство по фреймворку Scrum — гибкой методологии управления проектами, ориентированной на разработку программного обеспечения. Ключевые концепции включают спринты (короткие итерации от 2 до 4 недель), три основные роли (Scrum-мастер, владелец продукта и команда), а также артефакты и этапы процесса, описанные в таких разделах, как основы Scrum, инструменты, масштабирование и сертификация. Материал предназначен для новичков и практикующих специалистов, желающих упростить работу, ускорить решение проблем и повысить эффективность команды.</t>
  </si>
  <si>
    <t>Scrum без ошибок. Инструменты, техники и советы для тех, кто работает по Agile</t>
  </si>
  <si>
    <t>Илан Голдштейн</t>
  </si>
  <si>
    <t>Scrum без ошибок.pdf</t>
  </si>
  <si>
    <t>Книга Илана Голдштейна «Scrum без ошибок» посвящена практическому применению фреймворка Scrum и раскрывает его фундаментальные механизмы, которые часто искажаются при внедрении. Автор, сертифицированный scrum-тренер, предлагает 30 автономных лайфхаков, инструментов и техник, основанных на реальном опыте, и четко разделяет, какие элементы Scrum можно адаптировать, а какие должны оставаться неизменными. Издание предназначено как для новичков, так и для опытных практиков, стремящихся повысить эффективность своих agile-команд и избежать типичных ошибок.</t>
  </si>
  <si>
    <t>Scrum: гибкая разработка ПО</t>
  </si>
  <si>
    <t>Scrum гибкая разработка ПО (2011 г.).pdf</t>
  </si>
  <si>
    <t>Книга Майка Кона «Scrum: гибкая разработка ПО» представляет собой практическое руководство по внедрению и использованию гибкой методологии Scrum в разработке программного обеспечения. В издании подробно рассматриваются ключевые концепции: роли (владелец продукта, скрам-мастер, команда), артефакты (журнал запросов, спринты) и процессы планирования, а также вопросы преодоления сопротивления изменениям, организации самоорганизующихся команд и масштабирования Scrum в крупных и распределённых коллективах. Книга предназначена как для новичков, желающих освоить основы гибкой разработки, так и для опытных специалистов и менеджеров, стремящихся эффективно внедрить Scrum в своей организации.</t>
  </si>
  <si>
    <t>Все о SCRUM. Изучение, разработка, интеграция</t>
  </si>
  <si>
    <t>Все о SCRUM 2020.pdf</t>
  </si>
  <si>
    <t>Книга Клода Обри посвящена методике Scrum, её применению в сложных и неопределённых условиях, а также её эволюции и месту среди других Agile-подходов. Автор рассматривает не только базовые принципы Scrum, но и парадоксы его внедрения, предостерегая от поверхностного понимания и призывая к адаптации и фокусу на ценностях. Издание предназначено как для новичков, желающих освоить методологию с нуля, так и для опытных специалистов, ищущих углублённые рекомендации и анализ практического опыта.</t>
  </si>
  <si>
    <t>Гибкое управление: как перевести компанию на SCRUM</t>
  </si>
  <si>
    <t>Гибкое управление-как перевести команию на SCRUM.pdf</t>
  </si>
  <si>
    <t>Эта книга посвящена внедрению методологии Scrum в масштабах всей компании для повышения эффективности разработки продуктов. Ключевая концепция: Scrum — это не свод жестких правил, а инструмент для выявления проблем и среда для их систематического устранения через изменение привычек и корпоративной культуры. Книга разделена на части: план внедрения (первые три главы), описание мешающих привычек и способы их преодоления, а также решение сложных проблем. Издание предназначено для руководителей и специалистов, уже знакомых с основами Scrum и желающих перевести на него всю организацию.</t>
  </si>
  <si>
    <t>Основы Scrum.pdf</t>
  </si>
  <si>
    <t>Книга Кеннета Рубина «Основы Scrum» представляет собой практическое руководство по гибкой разработке программного обеспечения с использованием фреймворка Scrum. В ней подробно разбираются ключевые концепции: роли (Владелец продукта, Scrum-мастер, Команда), артефакты (задел продукта, результаты спринта) и события (спринты, планирование, ежедневные летучки, ретроспективы), а также принципы управления сложностью и неопределенностью. Издание предназначено как для новичков, желающих освоить основы Scrum, так и для практикующих специалистов, стремящихся углубить понимание методологии и улучшить свои процессы.</t>
  </si>
  <si>
    <t>Рубин_К_Основы_Scrum_Практическое_руководство_по_гибкой_разработке.pdf</t>
  </si>
  <si>
    <t>Книга Кеннета Рубина «Основы Scrum» представляет собой практическое руководство по гибкой разработке программного обеспечения с использованием методологии Scrum. В ней подробно разбираются ключевые концепции: роли (Владелец продукта, Scrum-мастер, Команда), артефакты (задел продукта, спринты) и процессы (планирование, ежедневные летучки, ретроспективы), а также принципы управления изменчивостью и неопределенностью. Издание предназначено для широкого круга читателей — от новичков, желающих освоить основы Scrum, до опытных специалистов, стремящихся углубить понимание гибких подходов.</t>
  </si>
  <si>
    <t>Манн, Иванов и Фербер (МИФ)</t>
  </si>
  <si>
    <t>Сазерленд Scrum революционный метод управ проектами.pdf</t>
  </si>
  <si>
    <t>Книга Джеффа Сазерленда посвящена методологии Scrum — гибкому итеративному подходу к управлению проектами, который призван заменить неэффективную каскадную модель. Ключевые концепции включают работу короткими спринтами, ежедневные собрания команды, приоритизацию задач через бэклог и фокус на постоянной обратной связи от заказчика для быстрой адаптации продукта. Издание будет полезно как новичкам, желающим понять основы гибкого управления, так и опытным специалистам, стремящимся повысить продуктивность команды и сократить издержки.</t>
  </si>
  <si>
    <t>Учитесь видеть бизнес-процессы: Построение карт потоков создания ценности</t>
  </si>
  <si>
    <t>Организация производства/Бережливое производство</t>
  </si>
  <si>
    <t>Бережливое производство</t>
  </si>
  <si>
    <t>uchites-videt-biznes-processy-38394.pdf</t>
  </si>
  <si>
    <t>C:\Users\alexa\YandexDisk\Книги\Организация производства\Бережливое производство</t>
  </si>
  <si>
    <t>Эта книга представляет собой практическое руководство по систематическому описанию и визуализации бизнес-процессов, основанное на методологии бережливого производства и опыте компании Toyota. Ключевая концепция заключается в том, что наглядное «рисование картинки» процессов (карт потоков создания ценности) снижает неопределенность, дисциплинирует мышление и позволяет менеджерам увидеть потери и пути совершенствования. Издание предназначено для практикующих менеджеров и специалистов, стремящихся перейти от функционального к процессному управлению и улучшить эффективность бизнеса.</t>
  </si>
  <si>
    <t>Бережливая разработка ПО</t>
  </si>
  <si>
    <t>Бережливая разработка ПО.docx</t>
  </si>
  <si>
    <t>Фрагмент книги посвящен применению принципов бережливого производства в разработке программного обеспечения, рассматривая методологию Lean Software Development. Ключевые концепции включают устранение потерь, создание ценности для заказчика и оптимизацию потока создания продукта. Материал ориентирован на специалистов в области разработки ПО, менеджеров проектов и руководителей, уже знакомых с основами Agile и стремящихся углубить свои знания в области эффективного управления процессами.</t>
  </si>
  <si>
    <t>Бережливая разработка программ</t>
  </si>
  <si>
    <t>Сергей Колесников; Майкл Кузумано; Мэри Поппендик</t>
  </si>
  <si>
    <t>Открытые системы</t>
  </si>
  <si>
    <t>Бережливая разработка программ.pdf</t>
  </si>
  <si>
    <t>Фрагмент книги посвящен истории и основным принципам бережливой (lean) разработки программного обеспечения, прослеживая её корни от производственной системы Toyota (методы «точно в срок», канбан, вытягивание вместо выталкивания) до адаптации в IT-среде. Ключевые концепции включают устранение потерь, минимизацию бюрократии, быстрые итерации, ежедневные сборки и принцип «вытягивания» на основе обратной связи. Материал ориентирован на специалистов в области управления разработкой ПО и менеджеров, интересующихся эффективной организацией процессов.</t>
  </si>
  <si>
    <t>Бережливое производство - статьи</t>
  </si>
  <si>
    <t>Бережливое производство - статьи.zip</t>
  </si>
  <si>
    <t>Бережливое производство программного обеспечения</t>
  </si>
  <si>
    <t>Мэри Поппендик; Том Поппендик</t>
  </si>
  <si>
    <t>ООО «И.Д. Вильямс»</t>
  </si>
  <si>
    <t>Бережливое производство ПО.pdf</t>
  </si>
  <si>
    <t>Книга Мэри и Тома Поппендик «Бережливое производство программного обеспечения: от идеи до прибыли» посвящена применению принципов бережливого производства (Lean) к разработке ПО. Авторы выделяют семь ключевых принципов: ликвидация потерь, встраивание качества, создание знания, отсрочка необратимых решений, быстрая доставка, уважение к людям и оптимизация целого. Книга предназначена для специалистов в области разработки программного обеспечения, менеджеров и руководителей проектов, стремящихся повысить эффективность процессов.</t>
  </si>
  <si>
    <t>Lean Six Sigma for Service</t>
  </si>
  <si>
    <t>Michael L. George</t>
  </si>
  <si>
    <t>McGraw-Hill</t>
  </si>
  <si>
    <t>Дж Майкл - Бережливое производство+6 сигм.pdf</t>
  </si>
  <si>
    <t>Книга Майкла Л. Джорджа посвящена синтезу двух методологий — бережливого производства (скорость и снижение затрат) и шести сигм (качество и устранение дефектов) — для повышения эффективности в сфере услуг и сервисных подразделениях. Ключевые концепции включают рентабельность инвестиций, картирование потоков создания ценности, ориентацию на «голос потребителя» и стратегический отбор проектов. Издание предназначено для руководителей высшего и среднего звена, а также специалистов по качеству, маркетингу и IT, то есть для практикующих менеджеров и консультантов.</t>
  </si>
  <si>
    <t>Встроенное качество</t>
  </si>
  <si>
    <t>Филипп Семенычев</t>
  </si>
  <si>
    <t>ЛитРес: Самиздат</t>
  </si>
  <si>
    <t>Семенычев Втроенное качество.pdf</t>
  </si>
  <si>
    <t>Книга Филиппа Семенычева «Встроенное качество» посвящена применению принципов Бережливого производства (lean) для встраивания методов контроля качества непосредственно в производственные процессы, чтобы исключить или минимизировать дефекты и брак. Ключевые концепции включают понимание качества как соответствия требованиям с первого раза, а также четыре принципа встроенного качества: «3Не», прозрачность процессов, перенос выявления дефекта к месту его возникновения и обеспечение быстрой обратной связи. Материал ориентирован на руководителей и специалистов, уже знакомых с основами улучшения процессов и стремящихся выйти из зоны комфорта для внедрения новых подходов.</t>
  </si>
  <si>
    <t>1С:Предприятие 8.3. Практическое пособие разработчика. Примеры и типовые приемы</t>
  </si>
  <si>
    <t>Радченко М. Г.; Хрусталева Е. Ю.</t>
  </si>
  <si>
    <t>Программирование/1С</t>
  </si>
  <si>
    <t>Программирование</t>
  </si>
  <si>
    <t>1С</t>
  </si>
  <si>
    <t>1С Предприятие 8.3.pdf</t>
  </si>
  <si>
    <t>C:\Users\alexa\YandexDisk\Книги\Программирование\1С</t>
  </si>
  <si>
    <t>Книга «1С:Предприятие 8.3. Практическое пособие разработчика» представляет собой практическое руководство по разработке и модификации прикладных решений на платформе 1С. На примере создания реального прикладного решения для фирмы, оказывающей бытовые услуги, в книге подробно разбираются такие ключевые объекты системы, как справочники, документы, регистры, отчеты, а также механизмы бухгалтерского учета и расчета зарплаты. Материал рассчитан на начинающих разработчиков, не знакомых с системой «1С:Предприятие 8», и может использоваться как практическое, так и справочное пособие.</t>
  </si>
  <si>
    <t>1С:Бухгалтерия 8.3 с нуля. 100 уроков для начинающих</t>
  </si>
  <si>
    <t>Гартвич А. В.</t>
  </si>
  <si>
    <t>1СБухгалтерия 8.3 с нуля. 100 уроков для начинающих.pdf</t>
  </si>
  <si>
    <t>Книга представляет собой практическое руководство для начинающих по работе с программой «1С:Бухгалтерия 8.3», охватывающее основы бухгалтерского и налогового учета. В ней рассматриваются ключевые разделы, такие как управление денежными средствами, продажи, производство, начисление зарплаты, квартальная и годовая отчетность, а также актуальные налоговые режимы. Издание предназначено для новичков, желающих с нуля освоить программу и научиться эффективно решать типичные бухгалтерские задачи.</t>
  </si>
  <si>
    <t>Знакомство с разработкой мобильных приложений на платформе «1С:Предприятие 8»</t>
  </si>
  <si>
    <t>Хрусталева Е. Ю.</t>
  </si>
  <si>
    <t>Знакомство_с_разработкой_мобильных_приложений_на_платформе_«1С_Предприятие.pdf</t>
  </si>
  <si>
    <t>Книга Е. Ю. Хрусталевой посвящена разработке мобильных приложений на платформе «1С:Предприятие 8» для устройств под управлением Android, iOS и Windows. В третьем издании рассматриваются ключевые концепции: создание мобильного клиента, работа в автономном режиме, адаптация интерфейса для мобильных устройств и использование облачного сервиса сборки. Издание содержит практические примеры с кодом и подробные комментарии, а также описывает подготовку оборудования и установку необходимых платформ. Книга адресована разработчикам прикладных решений на «1С:Предприятие 8», желающим освоить создание мобильных приложений, и предполагает наличие базовых навыков работы с платформой.</t>
  </si>
  <si>
    <t>Настольная книга по оплате труда и ее расчету в "1С:Зарплата и управление персоналом 8", редакция 3. Издание 19</t>
  </si>
  <si>
    <t>Харитонов С. А.</t>
  </si>
  <si>
    <t>Настольная книга по оплате труда и ее расчету в программе 1С.pdf</t>
  </si>
  <si>
    <t>Книга представляет собой практическое пособие по кадровому учету и расчету заработной платы в программе «1С:Зарплата и управление персоналом 8» (редакция 3), с учетом изменений в законодательстве на 2023 год. В ней рассматриваются ключевые разделы: начальная настройка программы, ввод информации об организации, штатное расписание, графики работы и ввод данных на начало эксплуатации. Пособие предназначено для бухгалтеров-расчетчиков, главных бухгалтеров, руководителей, а также для специалистов, готовящихся к сертификации 1С:Профессионал и 1С:Специалист.</t>
  </si>
  <si>
    <t>Программировать в 1С за 11 шагов</t>
  </si>
  <si>
    <t>Низамутдинов Ильяс</t>
  </si>
  <si>
    <t>Программировать в 1С за 11 шагов.pdf</t>
  </si>
  <si>
    <t>Эта книга представляет собой пошаговое руководство по обучению программированию в среде 1С, начиная с установки платформы и заканчивая работой с объектными типами. Ключевые разделы охватывают примитивные типы данных, основные операторы (условия, циклы), конфигурирование справочников и документов, а также создание управляемых форм. Материал предназначен для новичков, желающих освоить программирование в 1С с нуля, и построен в формате простого курса из 11 шагов.</t>
  </si>
  <si>
    <t>Разработка и реализация конфигураций в системе 1С:Предприятие</t>
  </si>
  <si>
    <t>Филимонова Е. В.</t>
  </si>
  <si>
    <t>Университет «Синергия»</t>
  </si>
  <si>
    <t>Разработка_и_реализация_конфигураций_в_системе_1СПредприятие.pdf</t>
  </si>
  <si>
    <t>Учебник Е. В. Филимоновой посвящен разработке и реализации конфигураций в системе «1С:Предприятие» версий 8.2 и 8.3. Ключевые концепции включают описание архитектуры системы, где платформа выступает основой для создания прикладных решений (конфигураций), а также интеграцию информационных технологий с экономическими дисциплинами. Издание содержит теоретический материал, практические примеры хозяйственных ситуаций и задания для самостоятельной работы. Книга предназначена для студентов высших и средних специальных учебных заведений, а также для начинающих специалистов (бухгалтеров, менеджеров, экономистов), желающих самостоятельно освоить работу с программой.</t>
  </si>
  <si>
    <t>Разработка интерфейса прикладных решений на платформе "1С:Предприятие 8"</t>
  </si>
  <si>
    <t>В.А. Ажеронок; А.В. Островерх; М.Г. Радченко; Е.Ю. Хрусталева</t>
  </si>
  <si>
    <t>Разработка_интерфейса_прикладных_решений_на_платформе_1С.pdf</t>
  </si>
  <si>
    <t>Книга посвящена разработке интерфейса прикладных решений на платформе «1С:Предприятие 8.3» в интерфейсе «Такси». Ключевые концепции включают самостоятельное формирование интерфейса платформой на основе декларативного описания разработчика и необходимость явного программирования клиентской и серверной частей. Издание состоит из пяти частей, охватывающих командный интерфейс, конструирование и программирование форм, оптимизацию клиент-серверного взаимодействия и адаптацию для мобильного клиента. Книга адресована специалистам с опытом разработки на платформе «1С:Предприятие 8.3», но будет полезна и всем программистам, желающим освоить создание прикладных решений.</t>
  </si>
  <si>
    <t>Сборник задач по разработке на платформе 1С:Предприятие</t>
  </si>
  <si>
    <t>moiseenko_n</t>
  </si>
  <si>
    <t>Сборник_задач_про_разработке_на_платформе_1СПредприятие.pdf</t>
  </si>
  <si>
    <t>Данный фрагмент представляет собой сборник задач по разработке на платформе «1С:Предприятие». Ключевое содержание направлено на отработку практических навыков программирования и конфигурирования в среде 1С. Книга предназначена для специалистов, уже имеющих базовые знания и желающих повысить свой уровень через решение конкретных задач.</t>
  </si>
  <si>
    <t>Технологии интеграции 1С:Предприятия 8.3</t>
  </si>
  <si>
    <t>Технологии_интеграции_1С_Предприятия_8_3.pdf</t>
  </si>
  <si>
    <t>Данный фрагмент книги посвящён технологиям интеграции платформы «1С:Предприятие 8.3» с внешними системами. В нём рассматриваются ключевые механизмы обмена данными, такие как использование COM-соединений, Web-сервисов, HTTP-запросов и форматов XML/JSON. Издание предназначено для разработчиков и специалистов по внедрению, уже имеющих опыт работы с платформой 1С и желающих освоить методы построения распределённых информационных систем.</t>
  </si>
  <si>
    <t>Введение в язык программирования Ada</t>
  </si>
  <si>
    <t>Raphaël Amiard; Gustavo A. Hoffmann</t>
  </si>
  <si>
    <t>Программирование/Ada</t>
  </si>
  <si>
    <t>Ada</t>
  </si>
  <si>
    <t>Введение_в_язык_программирования_Ada.pdf</t>
  </si>
  <si>
    <t>C:\Users\alexa\YandexDisk\Книги\Программирование\Ada</t>
  </si>
  <si>
    <t>Данный фрагмент представляет собой оглавление учебного пособия по языку программирования Ada, охватывающего его историю, философию и практическое применение. Ключевые разделы включают императивные конструкции (циклы, условия), подпрограммы, модульное программирование через пакеты, систему строгой типизации, а также работу с записями и массивами. Книга предназначена для новичков и специалистов, желающих изучить Ada с нуля или систематизировать знания, включая аспекты безопасного программирования (SPARK).</t>
  </si>
  <si>
    <t>Основы программирования на Ассемблере для ОС Windows</t>
  </si>
  <si>
    <t>Черкасова Н.И.</t>
  </si>
  <si>
    <t>МГТУ ГА</t>
  </si>
  <si>
    <t>Программирование/Assembler</t>
  </si>
  <si>
    <t>Assembler</t>
  </si>
  <si>
    <t>Черкасова_Н_И_Основы_программирования_на_Ассемблере_для_OS_Windows.pdf</t>
  </si>
  <si>
    <t>C:\Users\alexa\YandexDisk\Книги\Программирование\Assembler</t>
  </si>
  <si>
    <t>Учебное пособие Н.И. Черкасовой посвящено основам программирования на языке Ассемблер для операционной системы Windows. Ключевые разделы охватывают организацию памяти (реальный и защищенный режимы), систему регистров микропроцессора, особенности разработки оконных и консольных приложений, а также практическое использование компиляторов TASM и MASM. Материал предназначен для студентов вузов, изучающих машинно-ориентированное программирование, то есть для новичков, осваивающих низкоуровневую разработку.</t>
  </si>
  <si>
    <t>C for Programmers with an Introduction to C11</t>
  </si>
  <si>
    <t>Paul Deitel; Harvey Deitel</t>
  </si>
  <si>
    <t>Программирование/C</t>
  </si>
  <si>
    <t>C</t>
  </si>
  <si>
    <t>!С_для_программистов_с_введением_в_С11 2014.pdf</t>
  </si>
  <si>
    <t>C:\Users\alexa\YandexDisk\Книги\Программирование\C</t>
  </si>
  <si>
    <t>Книга посвящена обучению языку программирования C и стандартной библиотеке C, включая особенности новой ревизии стандарта C11. Ключевые концепции включают создание собственных структур данных, безопасное программирование, многопоточность, а также практическое освоение материала на тщательно протестированных примерах с выделением синтаксиса. Издание предназначено для программистов, уже имеющих опыт работы на высокоуровневых языках, то есть для специалистов, желающих изучить C на промышленном уровне.</t>
  </si>
  <si>
    <t>Экстремальный Cи. Параллелизм, ООП и продвинутые возможности</t>
  </si>
  <si>
    <t>Камран Амини</t>
  </si>
  <si>
    <t>!Экстремальный_Cи_Параллелизм,ООП_продвинутые_возможности_2021.pdf</t>
  </si>
  <si>
    <t>Книга Камрана Амини «Экстремальный Cи» посвящена углубленному изучению языка C, с фокусом на продвинутые низкоуровневые возможности, параллелизм и реализацию принципов объектно-ориентированного программирования. Ключевые разделы охватывают компиляцию, управление памятью (стек и куча), ООП (инкапсуляция, наследование, полиморфизм), многопоточность, синхронизацию, сокеты и интеграцию с другими языками. Издание предназначено для опытных разработчиков и специалистов, стремящихся поднять свои знания C на экспертный уровень для создания эффективных систем.</t>
  </si>
  <si>
    <t>C Programming</t>
  </si>
  <si>
    <t>Dr. Manmohan Singh; Rahul Sharma; Dr. Neeraj Kumar Rathore; Dr. Urmila S Soni</t>
  </si>
  <si>
    <t>C Programming 2024.pdf</t>
  </si>
  <si>
    <t>Книга «C Programming» представляет собой учебное пособие по языку программирования C, охватывающее фундаментальные концепции и практические аспекты разработки. Судя по профилям авторов, издание включает темы, связанные с алгоритмами, структурами данных и системным программированием, а также может содержать разделы по параллельным вычислениям и базам данных. Материал ориентирован на студентов и начинающих специалистов в области компьютерных наук, стремящихся освоить язык C с нуля или углубить свои знания.</t>
  </si>
  <si>
    <t>C Programming: A Self-Teaching Introduction</t>
  </si>
  <si>
    <t>R. Chopra</t>
  </si>
  <si>
    <t>Chopra_R_-_C_Programming_A_Self-Teaching_Introduction_-_2018.pdf</t>
  </si>
  <si>
    <t>Этот фрагмент содержит лицензионное соглашение, выходные данные и оглавление книги Р. Чопры «C Programming: A Self-Teaching Introduction», которая представляет собой учебное пособие по языку программирования C. Книга охватывает фундаментальные концепции, включая алгоритмы, компиляцию, типы данных, управляющие конструкции, массивы, указатели, структуры, объединения и работу с файлами. Издание предназначено для начинающих программистов, желающих самостоятельно освоить язык C с нуля.</t>
  </si>
  <si>
    <t>C How to Program, Global Edition, 9/ed</t>
  </si>
  <si>
    <t>Pearson Education Limited</t>
  </si>
  <si>
    <t>C_How_to_Program_Case_Studies_in_Applications_and_Systems_2023.pdf</t>
  </si>
  <si>
    <t>Это фрагмент титульной страницы и оглавления девятого издания учебника «C How to Program» Пола и Харви Дейтелов. Книга представляет собой всестороннее руководство по языку программирования C, охватывающее как основы (аппаратное и программное обеспечение, иерархия данных, машинные и высокоуровневые языки), так и практические аспекты разработки приложений и системного программирования. Среди ключевых разделов — введение в компьютеры и C, работа со стандартной библиотекой C, а также тест-драйв приложений в средах Windows, Linux и macOS. Учебник предназначен для начинающих программистов и студентов, изучающих язык C с нуля или на промежуточном уровне.</t>
  </si>
  <si>
    <t>An Introduction to C &amp; GUI Programming</t>
  </si>
  <si>
    <t>Simon Long</t>
  </si>
  <si>
    <t>Raspberry Pi Trading Ltd</t>
  </si>
  <si>
    <t>Introduction to C &amp; GUI Programming -2019.pdf</t>
  </si>
  <si>
    <t>Книга представляет собой введение в язык программирования C и создание графических интерфейсов с помощью библиотеки GTK для операционной системы Raspbian на Raspberry Pi. Первая часть посвящена основам C для абсолютных новичков, включая переменные, указатели, функции и работу с файлами, а вторая — разработке оконных приложений с кнопками, меню и диалогами. Издание предназначено для начинающих программистов, не имеющих опыта, и требует только Raspberry Pi с Raspbian для начала работы.</t>
  </si>
  <si>
    <t>Modern C</t>
  </si>
  <si>
    <t>Jens Gustedt</t>
  </si>
  <si>
    <t>Modern C [2020].pdf</t>
  </si>
  <si>
    <t>Книга «Modern C» Йенса Густедта представляет собой современное введение и справочное руководство по языку программирования C, охватывающее как базовые, так и продвинутые темы. Ключевые разделы включают управление потоком выполнения, работу с базовыми и производными типами данных (массивы, структуры, указатели), функции, библиотечные функции ввода-вывода и математики, а также вопросы стиля, организации кода, управления памятью и производительности. Издание предназначено для программистов, уже знакомых с основами программирования, которые хотят углубить свои знания в современном C, от уровня начального знакомства до профессионального опыта.</t>
  </si>
  <si>
    <t>Pointers in C Programming: A Modern Approach to Memory Management, Recursive Data Structures, Strings, and Arrays</t>
  </si>
  <si>
    <t>Thomas Mailund</t>
  </si>
  <si>
    <t>Pointers in C Programming [2021] Mailund Thomas.pdf</t>
  </si>
  <si>
    <t>Книга Томаса Майлунда «Pointers in C Programming» посвящена углублённому изучению указателей в языке C, управлению памятью, работе с рекурсивными структурами данных, строками и массивами. Ключевые разделы охватывают память и адресацию объектов, выравнивание, стеки вызовов, а также различные аспекты работы с указателями, включая передачу по ссылке, NULL-указатели, квалификаторы const и приведение типов. Издание предназначено для программистов, уже знакомых с основами C, которые хотят освоить современные подходы к эффективному управлению памятью и низкоуровневой работе с данными.</t>
  </si>
  <si>
    <t>Practical System Programming with C: Pragmatic Example Applications in Linux and Unix-Based Operating Systems</t>
  </si>
  <si>
    <t>Sri Manikanta Palakollu</t>
  </si>
  <si>
    <t>Practical_System Linux Programming_with_C-2021.pdf</t>
  </si>
  <si>
    <t>Эта книга посвящена системному программированию на языке C в операционных системах Linux и Unix. В ней рассматриваются такие ключевые концепции, как архитектура Linux (ядро, оболочка, системные библиотеки), типы файлов и утилиты для работы с ними. Издание предназначено для разработчиков среднего уровня, желающих освоить практическое системное программирование с примерами приложений.</t>
  </si>
  <si>
    <t>Smaller C</t>
  </si>
  <si>
    <t>Marc Loy</t>
  </si>
  <si>
    <t>Smaller C Lean Code for Small Machines -2021.pdf</t>
  </si>
  <si>
    <t>Книга Марка Лоя «Smaller C» посвящена написанию эффективного и компактного кода на языке C для систем с ограниченными ресурсами, таких как микроконтроллеры и встраиваемые устройства. В ней рассматриваются основы синтаксиса, типы данных, управляющие конструкции, а также работа с вводом-выводом через функции printf() и scanf(). Издание предназначено для программистов, уже знакомых с основами C, которые хотят освоить методы оптимизации кода для маломощных платформ.</t>
  </si>
  <si>
    <t>Writing a C Compiler: Build a Real Programming Language</t>
  </si>
  <si>
    <t>Nora Sandler</t>
  </si>
  <si>
    <t>Writing_a_C_Compiler_Build_a_Real_Programming_Language.pdf</t>
  </si>
  <si>
    <t>Этот фрагмент представляет собой введение к книге «Writing a C Compiler» Норы Сандлер, которая посвящена созданию компилятора для языка C с нуля. В отрывке описываются четыре базовых этапа компиляции: лексический анализ, синтаксический анализ (построение абстрактного синтаксического дерева), генерация кода и эмиссия ассемблерного кода. Книга предназначена для программистов, уже знакомых с C и ассемблером, которые хотят углубить понимание работы компиляторов на практическом уровне.</t>
  </si>
  <si>
    <t>Безопасное программирование на C и C++</t>
  </si>
  <si>
    <t>Безопасное_программирование_на_C_и_C++ 2015.pdf</t>
  </si>
  <si>
    <t>Язык С в XXI веке</t>
  </si>
  <si>
    <t>Бен Клеменс</t>
  </si>
  <si>
    <t>Бен_Клеменс_Авт_А_Слинкин_Пер_Язык_С_в_XXI_веке_ДМК_Пресс_2015.pdf</t>
  </si>
  <si>
    <t>Книга Бена Клеменса «Язык С в XXI веке» посвящена современным возможностям языка С, его инструментарию и экосистеме, которые изменились с момента принятия оригинального стандарта ANSI. Ключевые разделы охватывают настройку среды компиляции, отладку, тестирование и документирование кода, а также работу с библиотеками для связанных списков и XML. Издание предназначено для программистов, уже имеющих опыт работы на каком-либо языке и обладающих базовыми знаниями о С.</t>
  </si>
  <si>
    <t>Изучаем программирование на C</t>
  </si>
  <si>
    <t>Дэвид Гриффитс; Дон Гриффитс</t>
  </si>
  <si>
    <t>Изучаем программирование на C [2013] Дэвид Гриффитс, Дон Гриффитс.djvu</t>
  </si>
  <si>
    <t>Книга «Изучаем программирование на C» Дэвида и Дона Гриффитс посвящена основам языка C и предназначена для новичков, желающих освоить программирование с нуля. Ключевые концепции включают работу с переменными, циклами, условиями, функциями и указателями, а также основы управления памятью. Материал подается в визуально насыщенном, интерактивном стиле с примерами и упражнениями, что делает обучение доступным для начинающих.</t>
  </si>
  <si>
    <t>Полный справочник по С</t>
  </si>
  <si>
    <t>Герберт Шилдт</t>
  </si>
  <si>
    <t>Поный справочник по языку_C-2002.pdf</t>
  </si>
  <si>
    <t>Это четвёртое издание полного справочника по языку C, охватывающее как стандарт C89, так и новейший на момент выхода книги стандарт C99. Книга подробно описывает все аспекты языка, включая ключевые слова, указатели, функции, структуры, файловый ввод/вывод и работу препроцессора, а также содержит разделы по стандартной библиотеке и прикладным алгоритмам. Издание предназначено для программистов, уже знакомых с основами разработки, и служит авторитетным справочным пособием для углублённого изучения и практической работы.</t>
  </si>
  <si>
    <t>Программирование на языке Си</t>
  </si>
  <si>
    <t>С. М. Рацеев</t>
  </si>
  <si>
    <t>Программирование на языке Си. Учебник ВУЗ-2022.pdf</t>
  </si>
  <si>
    <t>Учебное пособие С. М. Рацеева представляет собой курс программирования, ориентированный на язык Си, и охватывает такие ключевые разделы, как типы данных, операторы, ввод-вывод, циклы, массивы, указатели и строки. Особое внимание уделяется алгоритмам сортировки различных объектов (массивы, матрицы, строки, файлы) и эффективным способам решения задач. Книга предназначена для преподавателей, магистрантов и студентов физико-математических и информационных специальностей, то есть для читателей, уже имеющих базовую подготовку.</t>
  </si>
  <si>
    <t>Решение задач на языках программирования Си и Си++</t>
  </si>
  <si>
    <t>Быков, А. Ю.</t>
  </si>
  <si>
    <t>Издательство МГТУ им. Н.Э. Баумана</t>
  </si>
  <si>
    <t>Решение задач на C.pdf</t>
  </si>
  <si>
    <t>Это методическое пособие для студентов МГТУ им. Н.Э. Баумана по решению практических задач на языках программирования Си и Си++. Книга состоит из двух частей: первая посвящена изучению базовых конструкций языка Си (циклы, массивы, структуры, файлы), вторая — объектно-ориентированным возможностям Си++ и библиотеке MFC. Пособие предназначено для студентов, изучающих программирование, в том числе по специальностям «Компьютерная безопасность» и «Информационная безопасность». Уровень материала рассчитан на начинающих и продолжающих обучение, предполагает выполнение лабораторных работ с отчетами.</t>
  </si>
  <si>
    <t>Си на примерах</t>
  </si>
  <si>
    <t>Си на примерах -2019.pdf</t>
  </si>
  <si>
    <t>Книга «Си на примерах» представляет собой практическое руководство по языку программирования C, ориентированное на начинающих. Основное содержание построено на разборе конкретных примеров кода, которые иллюстрируют ключевые концепции языка: типы данных, управляющие конструкции, функции, массивы и указатели. Материал предназначен для новичков, желающих освоить программирование на C с нуля через решение задач и работу с готовыми листингами.</t>
  </si>
  <si>
    <t>Advanced Data Structures</t>
  </si>
  <si>
    <t>Peter Brass</t>
  </si>
  <si>
    <t>Усовершенствованные_структуры_данных(примеры кода на С).pdf</t>
  </si>
  <si>
    <t>Книга Петера Брасса «Усовершенствованные структуры данных» представляет собой всесторонний анализ структур данных как ключевого элемента разработки алгоритмов, рассматривая их не просто как вспомогательный материал, а как основу для эффективных вычислений. В издании подробно разбираются такие концепции, как деревья поиска (включая выровненные и красно-черные), множества интервалов, кучи, хеш-таблицы, а также динамизация и персистентность структур. Книга предназначена для специалистов и продвинутых разработчиков, так как содержит многочисленные примеры кода на языке C и более 500 ссылок на первоисточники, углубляясь в детали реализации и сложные алгоритмические темы.</t>
  </si>
  <si>
    <t>Фундаментальные алгоритмы, структуры данных и примеры приложений на C</t>
  </si>
  <si>
    <t>Хэзфилд</t>
  </si>
  <si>
    <t>Фундаментальные алгоритмы, структуры данных и примеры приложений на C [2001] Хэзфилд.djvu</t>
  </si>
  <si>
    <t>Книга посвящена фундаментальным алгоритмам и структурам данных, с акцентом на их практическую реализацию на языке C. В представленном фрагменте рассматриваются базовые концепции, такие как массивы, указатели и управление памятью, а также, вероятно, более сложные темы вроде сортировки и поиска. Издание ориентировано на программистов среднего уровня и студентов, желающих углубить понимание алгоритмов через примеры приложений.</t>
  </si>
  <si>
    <t>Эффективный C. Профессиональное программирование</t>
  </si>
  <si>
    <t>Роберт С. Сикорд</t>
  </si>
  <si>
    <t>Эффективный C Профессиональное_программирование 2022.pdf</t>
  </si>
  <si>
    <t>Книга Роберта Сикорда «Эффективный C. Профессиональное программирование» посвящена современному профессиональному программированию на языке C, охватывая стандарты C17 и перспективы C2x. Ключевые разделы включают работу с объектами, функциями, типами, динамической памятью, строками, вводом/выводом, препроцессором и отладкой. Издание предназначено для программистов, желающих углубить свои знания C и научиться писать надежный, профессиональный код для реальных задач.</t>
  </si>
  <si>
    <t>C Primer Plus</t>
  </si>
  <si>
    <t>Stephen Prata</t>
  </si>
  <si>
    <t>Язык программирования C 6 изд Прата.pdf</t>
  </si>
  <si>
    <t>Фрагмент представляет собой выходные данные и оглавление шестого издания книги Стивена Праты «Язык программирования С. Лекции и упражнения». Книга является фундаментальным учебным пособием по языку C, охватывающим все ключевые темы: от основ синтаксиса и типов данных до указателей, структур, файлового ввода-вывода и препроцессора. Издание предназначено для новичков и программистов, желающих систематизировать знания, и включает теоретические лекции, вопросы для самоконтроля и практические упражнения.</t>
  </si>
  <si>
    <t>Язык С. Мастерство программирования. Принципы, практики и паттерны</t>
  </si>
  <si>
    <t>Прешерн К.</t>
  </si>
  <si>
    <t>Язык С. Патерны. Мастерство программирования-2023.pdf</t>
  </si>
  <si>
    <t>Книга Кристофера Прешерна «Язык С. Мастерство программирования» посвящена проектным решениям, практикам и паттернам программирования на языке C. Ключевые разделы охватывают обработку ошибок, возврат информации об ошибках, управление памятью и возврат данных из функций. Издание предназначено как для начинающих, так и для опытных программистов, желающих освоить проверенные подходы к организации кода и проектированию гибких интерфейсов.</t>
  </si>
  <si>
    <t>Язык С. Самое необходимое</t>
  </si>
  <si>
    <t>Язык С. Самое необходимое 2020.pdf</t>
  </si>
  <si>
    <t>Книга Николая Прохоренка «Язык С. Самое необходимое» представляет собой практическое руководство по базовому синтаксису современного языка C, охватывающее типы данных, операторы, условия, циклы, работу с числами, строками, массивами и указателями, а также создание функций, модулей и библиотек. В издании рассматриваются основные функции стандартной библиотеки и специфические для Windows возможности, а для компиляции и запуска программ используется редактор Eclipse и компилятор gcc из набора MinGW-W64. Материал тщательно структурирован, содержит множество примеров и подходит как для самостоятельного изучения новичками, так и в качестве компактного справочника для программистов.</t>
  </si>
  <si>
    <t>Язык С. Учебник ВУЗ. Кратко и ясно-2023</t>
  </si>
  <si>
    <t>Язык С. Учебник ВУЗ. Кратко и ясно-2023.pdf</t>
  </si>
  <si>
    <t>Данный фрагмент книги представляет собой учебное пособие по языку программирования C, предназначенное для студентов вузов. Ключевые концепции, вероятно, включают синтаксис языка, работу с памятью, указатели и структуры данных, изложенные в сжатой и доступной форме. Материал ориентирован на новичков и студентов, желающих быстро освоить основы языка C без углубления в излишние детали.</t>
  </si>
  <si>
    <t>Код, который умещается в голове: эвристики для разработчиков</t>
  </si>
  <si>
    <t>Марк Симан</t>
  </si>
  <si>
    <t>Программирование/C#</t>
  </si>
  <si>
    <t>C#</t>
  </si>
  <si>
    <t>!!!Код,_который_умещается_в_голове_Эвристики_для_разработчиков_2023.pdf</t>
  </si>
  <si>
    <t>C:\Users\alexa\YandexDisk\Книги\Программирование\C#</t>
  </si>
  <si>
    <t>Эта книга Марка Симана из серии «Библиотека программиста» посвящена практическим эвристикам и методам управления сложностью программного кода, позволяющим писать его в устойчивом темпе и избегать выхода проектов из-под контроля. Ключевые разделы охватывают такие темы, как использование чек-листов, инкапсуляция, декомпозиция, проектирование API, модульное тестирование и организация командной работы. Издание предназначено для разработчиков, использующих объектно-ориентированные языки (C#, Java, C++, TypeScript), и будет полезно как специалистам, стремящимся улучшить свои навыки, так и новичкам, желающим освоить эффективные подходы к разработке.</t>
  </si>
  <si>
    <t>ASP.Net Core в действии</t>
  </si>
  <si>
    <t>Эндрю Лок</t>
  </si>
  <si>
    <t>ASP.Net Core в действии [2021] Эндрю Лок.pdf</t>
  </si>
  <si>
    <t>Книга Эндрю Лока «ASP.Net Core в действии» представляет собой практическое руководство по фреймворку ASP.NET Core, охватывающее такие ключевые концепции, как промежуточное ПО, внедрение зависимостей, конфигурация, аутентификация и авторизация. Основное внимание уделяется созданию серверных приложений с использованием Razor Pages, веб-API и контроллеров MVC, а также тестированию и развертыванию. Издание подойдет как новичкам в веб-разработке, так и опытным разработчикам, желающим освоить или углубить знания в ASP.NET Core.</t>
  </si>
  <si>
    <t>C# 10 Pocket Reference</t>
  </si>
  <si>
    <t>Joseph Albahari; Ben Albahari</t>
  </si>
  <si>
    <t>C# 10 Pocket Reference.pdf</t>
  </si>
  <si>
    <t>Эта книга представляет собой краткий справочник по языку C# версии 10, предназначенный для программистов, уже имеющих опыт разработки. В ней освещаются ключевые концепции языка, включая синтаксис, типы данных, классы, наследование, интерфейсы, обобщения, делегаты и лямбда-выражения. Издание охватывает как базовые, так и продвинутые темы, такие как работа с nullable-типами, кортежи, записи и сопоставление с образцом. Материал структурирован для быстрого поиска ответов и подходит для специалистов среднего и продвинутого уровня, которым требуется компактное, но полное описание возможностей C# 10.</t>
  </si>
  <si>
    <t>C# 9.0 Pocket Reference: Instant Help for C# 9.0 Programmers</t>
  </si>
  <si>
    <t>C# 9.0. Карманный справочник.pdf</t>
  </si>
  <si>
    <t>Это карманный справочник по языку C# версии 9.0, охватывающий синтаксис, типы данных, классы, наследование, обобщения, LINQ, асинхронное программирование и другие ключевые возможности языка. Книга предназначена для программистов, уже знакомых с основами C#, которые хотят получить краткое и структурированное описание языка для быстрой справки.</t>
  </si>
  <si>
    <t>C# 9 и .NET 5. Разработка и оптимизация</t>
  </si>
  <si>
    <t>Марк Прайс</t>
  </si>
  <si>
    <t>C#_9_и_NET_5_Разработка_и_оптимизация.pdf</t>
  </si>
  <si>
    <t>Книга Марка Прайса «C# 9 и .NET 5. Разработка и оптимизация» представляет собой полное руководство по созданию современных кросс-платформенных приложений с использованием последних версий языка C# и платформы .NET. Издание разделено на три части: основы C# (включая новые возможности версии 9, такие как ключевое слово record), API .NET для работы с данными, файлами, шифрованием и многозадачностью, а также практическое создание веб-приложений на ASP.NET Core и мобильных приложений на Xamarin Forms. Книга предназначена для профессиональных разработчиков, уже имеющих опыт программирования, и помогает углубить знания для разработки сервисов, веб- и мобильных решений.</t>
  </si>
  <si>
    <t>LINQ. Карманный справочник</t>
  </si>
  <si>
    <t>Джозеф Албахари;Бен Албахари</t>
  </si>
  <si>
    <t>LINQ. Карманный справочник.pdf</t>
  </si>
  <si>
    <t>Книга представляет собой справочник по технологии LINQ для языка C# 3.0 и платформы .NET, описывающий написание безопасных запросов к коллекциям и удаленным источникам данных. В ней рассматриваются ключевые концепции: отложенное выполнение, цепочки итераторов, лямбда-выражения, синтаксис запросов, а также работа с LINQ to SQL и XML. Издание предназначено для программистов, уже знакомых с основами C# и желающих углубить знания в области структурированных запросов.</t>
  </si>
  <si>
    <t>Mastering ABP Framework</t>
  </si>
  <si>
    <t>Halil İbrahim Kalkan</t>
  </si>
  <si>
    <t>Mastering ABP Framework by Halil Ibrahim Kalkan.pdf</t>
  </si>
  <si>
    <t>Книга «Mastering ABP Framework» посвящена созданию поддерживаемых .NET-решений с использованием фреймворка ABP, который автоматизирует реализацию лучших практик разработки. В ней рассматриваются ключевые концепции, такие как модульность, работа с Entity Framework Core и MongoDB, построение UI на ASP.NET Core MVC и Blazor, а также поддержка мультитенантности и написание тестов. Издание предназначено для разработчиков, стремящихся освоить создание надежных, масштабируемых и легко тестируемых веб-приложений, и предполагает наличие опыта работы с .NET.</t>
  </si>
  <si>
    <t>Изучаем C# через разработку игр на Unity</t>
  </si>
  <si>
    <t>Харрисон Ферроне</t>
  </si>
  <si>
    <t>Изучаем_C#_через_разработку_игр_на_Unity 2022.pdf</t>
  </si>
  <si>
    <t>Книга посвящена изучению языка программирования C# через разработку игр в среде Unity 2020. Ключевые разделы охватывают основы программирования (переменные, классы, ООП), работу с игровым движком, механику игры, искусственный интеллект врагов, а также продвинутые темы вроде коллекций, обобщений и делегатов. Издание предназначено для новичков, желающих освоить C# с нуля без сложной терминологии, и включает лучшие практики для создания реальных игровых проектов.</t>
  </si>
  <si>
    <t>Искусство автономного тестирования с примерами на C#</t>
  </si>
  <si>
    <t>Рой Ошероув</t>
  </si>
  <si>
    <t>Ошероув_Рой_Искусство_автономного_тестирования_с_примерами_на_С# (2).pdf</t>
  </si>
  <si>
    <t>Книга Роя Ошероува «Искусство автономного тестирования с примерами на C#» (второе издание) посвящена основам и продвинутым техникам написания качественных модульных (автономных) тестов. Ключевые разделы охватывают определение и свойства хороших тестов, работу с изолирующими каркасами (Moq, FakeItEasy), паттерны тестирования, рефакторинг «нетестопригодного» кода, а также интеграционное тестирование и тестирование баз данных. Книга предназначена для разработчиков, владеющих статически типизированными языками (C#, Java, C++), от новичков до опытных специалистов, желающих систематизировать знания.</t>
  </si>
  <si>
    <t>Программирование. Базовый курс С#</t>
  </si>
  <si>
    <t>Подбельский В.В.</t>
  </si>
  <si>
    <t>Программирование_Базовый_курс_С#.pdf</t>
  </si>
  <si>
    <t>Учебник Вадима Подбельского посвящён базовому курсу программирования на языке C# в контексте платформы .NET Framework. Ключевые разделы охватывают объектную ориентацию языка, типы данных (ссылочные и значимые), операции и выражения, а также операторы управления. Книга предназначена для студентов вузов, обучающихся по IT-специальностям, и программистов, желающих освоить C# с нуля.</t>
  </si>
  <si>
    <t>Программирование на C# для начинающих</t>
  </si>
  <si>
    <t>Васильев А.Н.</t>
  </si>
  <si>
    <t>Программирование_на_С#_для_начинающих 2019.pdf</t>
  </si>
  <si>
    <t>Книга А. Н. Васильева посвящена углубленному изучению языка программирования C# и его расширенных возможностей. В ней подробно рассматриваются такие ключевые концепции, как абстрактные классы и интерфейсы, делегаты и события, перечисления и структуры, а также работа с указателями. Издание предназначено для читателей, уже имеющих базовые навыки программирования на C или C#, и стремящихся освоить более сложные механизмы языка.</t>
  </si>
  <si>
    <t>Профессиональный бенчмарк: искусство измерения производительности</t>
  </si>
  <si>
    <t>Андрей Акиньшин</t>
  </si>
  <si>
    <t>Профессиональный бенчмарк 2022.pdf</t>
  </si>
  <si>
    <t>Книга Андрея Акиньшина «Профессиональный бенчмарк» посвящена искусству измерения производительности приложений .NET. В ней подробно разбираются методология бенчмаркинга, подводные камни, влияние окружения, статистический анализ, а также аппаратные и программные ограничения. Ключевые разделы охватывают введение в бенчмаркинг, статистику для специалистов по производительности, инструменты диагностики и работу с таймерами. Издание предназначено для опытных разработчиков и специалистов по производительности, стремящихся к точным и достоверным измерениям.</t>
  </si>
  <si>
    <t>Modern CMake for C++</t>
  </si>
  <si>
    <t>Rafał Świdziński</t>
  </si>
  <si>
    <t>Программирование/C++</t>
  </si>
  <si>
    <t>C++</t>
  </si>
  <si>
    <t>!_Modern_CMake_for_C++_Discover_a_better_approach_to_building,_tes.pdf</t>
  </si>
  <si>
    <t>C:\Users\alexa\YandexDisk\Книги\Программирование\C++</t>
  </si>
  <si>
    <t>Книга «Modern CMake for C++» Рафала Свидзиньского посвящена современному подходу к сборке, тестированию и упаковке C++-проектов с помощью инструмента CMake. В ней рассматриваются основы работы с CMake, его синтаксис, управление переменными и ключевые файлы проекта, такие как CMakeLists.txt и CMakeCache.txt. Издание предназначено для разработчиков на C++ разного уровня, от новичков до опытных специалистов, желающих освоить эффективные методы автоматизации сборки.</t>
  </si>
  <si>
    <t>Программирование на языке С++ в среде Qt Creator</t>
  </si>
  <si>
    <t>Е. Р. Алексеев; Г. Г. Злобин; Д. А. Костюк; О. В. Чеснокова; А. С. Чмыхало</t>
  </si>
  <si>
    <t>ALT Linux</t>
  </si>
  <si>
    <t>!Программирование_на_С++_в_среде_Qt_Creator 2015.pdf</t>
  </si>
  <si>
    <t>Книга представляет собой учебное пособие по алгоритмизации и программированию на языке C++, а также по разработке визуальных приложений в кроссплатформенной среде Qt Creator. В ней рассматриваются основы языка, операторы управления, функции, массивы, матрицы, организация ввода-вывода, работа со строками и структурами. Издание предназначено для студентов, аспирантов и преподавателей вузов, а также для всех, кто начинает изучать программирование на C++ и осваивает инструментарий Qt.</t>
  </si>
  <si>
    <t>Modern C++ for Absolute Beginners: A Friendly Introduction to the C++ Programming Language and C++11 to C++23 Standards</t>
  </si>
  <si>
    <t>Slobodan Dmitrović</t>
  </si>
  <si>
    <t>Apress.Modern.Cplusplus.for.Absolute.Beginners.pdf</t>
  </si>
  <si>
    <t>Книга «Modern C++ for Absolute Beginners» представляет собой дружественное введение в язык программирования C++, охватывающее стандарты от C++11 до C++23. В ней рассматриваются фундаментальные типы, компиляторы, написание первой программы и другие базовые концепции. Издание предназначено для абсолютных новичков, желающих освоить современный C++ с нуля.</t>
  </si>
  <si>
    <t>Programming: Principles and Practice Using C++</t>
  </si>
  <si>
    <t>Bjarne Stroustrup</t>
  </si>
  <si>
    <t>AW.Programming.Principles.and.Practice.Using.Cplusplus.pdf</t>
  </si>
  <si>
    <t>Эта книга представляет собой учебник по программированию на языке C++ от его создателя Бьярне Страуструпа, предназначенный для начинающих. Она охватывает фундаментальные концепции, начиная с основ (типы данных, переменные, вычисления, обработка ошибок) и переходя к более сложным темам, таким как классы, ввод-вывод и работа с графикой. Ключевые разделы включают изучение структуры программы, функций, пользовательских типов и потоков ввода-вывода. Материал рассчитан на новичков, желающих освоить принципы программирования с нуля, используя современный C++.</t>
  </si>
  <si>
    <t>C++20 STL Cookbook</t>
  </si>
  <si>
    <t>Bill Weinman</t>
  </si>
  <si>
    <t>C++ Cookbook STL 2022.pdf</t>
  </si>
  <si>
    <t>Эта книга представляет собой практическое руководство по использованию Стандартной библиотеки шаблонов (STL) в C++20, предназначенное для решения реальных задач. Ключевые разделы охватывают новые возможности C++20 (форматирование, ranges, концепты), общие возможности STL, контейнеры и совместимые итераторы. Издание рассчитано на разработчиков, уже знакомых с языком C++, которые хотят углубить свои знания и освоить современные возможности STL.</t>
  </si>
  <si>
    <t>C++ на примерах</t>
  </si>
  <si>
    <t>C++ на примерах.pdf</t>
  </si>
  <si>
    <t>Книга «C++ на примерах» посвящена практическому изучению языка программирования C++. В ней рассматриваются ключевые концепции языка, такие как типы данных, управляющие конструкции, функции, массивы, указатели и объектно-ориентированное программирование, с акцентом на решение конкретных задач. Материал представлен в виде примеров кода и пошаговых инструкций, что делает издание подходящим для начинающих программистов, желающих освоить C++ с нуля или закрепить базовые навыки.</t>
  </si>
  <si>
    <t>C++17 STL. Стандартная библиотека шаблонов</t>
  </si>
  <si>
    <t>Галовиц Я.</t>
  </si>
  <si>
    <t>C++17_STL_Стандартная_библиотека_шаблонов.pdf</t>
  </si>
  <si>
    <t>Книга Я. Галовица посвящена стандартной библиотеке шаблонов (STL) языка C++17 и предназначена для программистов, желающих углубить свои знания в промышленной разработке ПО. В ней подробно рассматриваются контейнеры, итераторы, алгоритмы, лямбда-выражения, а также новые возможности стандарта, такие как структурированные привязки и выражения свертки. Издание содержит более 90 практических примеров, которые демонстрируют применение STL для создания высокопроизводительных приложений. Материал ориентирован на специалистов, уже знакомых с основами C++, и позволяет эффективно использовать современные инструменты языка.</t>
  </si>
  <si>
    <t>C++ для инженерных и научных расчетов</t>
  </si>
  <si>
    <t>Питер Готтшлинг</t>
  </si>
  <si>
    <t>C++_для_инженерных_и_научных_расчетов.pdf</t>
  </si>
  <si>
    <t>Книга Питера Готтшлинга «C++ для инженерных и научных расчетов» представляет собой интенсивный курс по современному C++ (стандарт C++11 и новее), ориентированный на применение языка в научных и инженерных задачах. Ключевые разделы охватывают основы языка, классы, обобщенное программирование (шаблоны), метапрограммирование и объектно-ориентированное программирование, а также работу с библиотеками. Издание предназначено для программистов, ученых и инженеров, уже имеющих базовый опыт программирования, которые хотят освоить продвинутые возможности C++ для эффективных вычислений.</t>
  </si>
  <si>
    <t>C++. Практика многопоточного программирования</t>
  </si>
  <si>
    <t>Энтони Уильямс</t>
  </si>
  <si>
    <t>C++_Практика_многопоточного_программирования.pdf</t>
  </si>
  <si>
    <t>Книга Энтони Уильямса посвящена практическому применению многопоточного и конкурентного программирования на языке C++17. В ней подробно рассматриваются управление потоками, синхронизация данных, атомарные операции, разработка структур данных с блокировками и без них, а также алгоритмы параллельных вычислений. Издание предназначено для опытных разработчиков и профессионалов, стремящихся освоить современные возможности C++ для создания высокопроизводительных приложений.</t>
  </si>
  <si>
    <t>Язык программирования C++. Полное руководство</t>
  </si>
  <si>
    <t>Стенли Б. Липпман; Жози Лажойе</t>
  </si>
  <si>
    <t>Невский диалект; ДМК Пресс</t>
  </si>
  <si>
    <t>C++Полное руководство.pdf</t>
  </si>
  <si>
    <t>Фрагмент представляет собой выходные данные книги «Язык программирования C++. Полное руководство, 3-е издание» Стенли Липпмана и Жози Лажойе. Это исчерпывающее руководство по современной версии языка C++, охватывающее как основы (структура программы, препроцессор), так и сложные конструкции (исключения, классы, шаблоны, перегрузка операторов, множественное наследование). Книга предназначена как для начинающих изучение C++, так и для опытных программистов, желающих углубить знания о сложных конструкциях и нововведениях стандарта.</t>
  </si>
  <si>
    <t>Coursera-CPP-White belt</t>
  </si>
  <si>
    <t>Coursera-CPP-White belt.zip</t>
  </si>
  <si>
    <t>Examples CPP</t>
  </si>
  <si>
    <t>Examples CPP.zip</t>
  </si>
  <si>
    <t>Hands-On GUI Programming with C++ and Qt5</t>
  </si>
  <si>
    <t>Lee Zhi Eng</t>
  </si>
  <si>
    <t>Hands_On_GUI_Programming_with_C++_and_Qt5_Packt_Publishing.pdf</t>
  </si>
  <si>
    <t>Книга «Hands-On GUI Programming with C++ and Qt5» посвящена разработке кроссплатформенных графических интерфейсов с использованием фреймворка Qt и языка C++. В ней рассматриваются ключевые концепции: работа с виджетами и таблицами стилей, подключение к базам данных (MySQL), создание графиков и диаграмм, интеграция веб-контента и взаимодействие с JavaScript. Издание предназначено для разработчиков, уже знакомых с основами C++, которые хотят освоить создание профессиональных GUI-приложений.</t>
  </si>
  <si>
    <t>Beginning C++ Game Programming</t>
  </si>
  <si>
    <t>John Horton</t>
  </si>
  <si>
    <t>Horton J. - Beginning C++ Game Programming - 2016.pdf</t>
  </si>
  <si>
    <t>Эта книга представляет собой практическое руководство по изучению языка C++ с нуля через создание видеоигр. Автор, Джон Хортон, знакомит читателя с основами программирования, работой с библиотекой SFML и средой разработки Visual Studio, а также проводит через процесс планирования и написания кода для нескольких игр, включая «Timber!!!». Издание предназначено для абсолютных новичков, желающих освоить программирование на C++ в контексте геймдева.</t>
  </si>
  <si>
    <t>Introduction to C++</t>
  </si>
  <si>
    <t>George S. Tselikis</t>
  </si>
  <si>
    <t>Introduction_to_CPP_Difficulty_Scaled_Solved_Programming.pdf</t>
  </si>
  <si>
    <t>Эта книга представляет собой практическое введение в язык C++, ориентированное на студентов, изучающих курс C++, желающих освоить язык самостоятельно, а также программистов, переходящих с C на C++. Ключевой особенностью издания является более 500 примеров и упражнений прогрессирующей сложности, которые помогают понять принципы C++ и научиться применять их в коде. Книга охватывает фундаментальные концепции, включая переменные, указатели, функции, классы, наследование, шаблоны и введение в Standard Template Library (STL), но не претендует на роль исчерпывающего справочника. Материал рассчитан на начальный и средний уровень подготовки, позволяя читателю после освоения примеров переходить к разработке собственных приложений.</t>
  </si>
  <si>
    <t>Learn C++ by Example</t>
  </si>
  <si>
    <t>Frances Buontempo</t>
  </si>
  <si>
    <t>Learn C++ by Example.pdf</t>
  </si>
  <si>
    <t>Эта книга посвящена изучению современного C++ (версий с 11 по 23) на практических примерах. Ключевые концепции включают контейнеры, итераторы, диапазоны, умные указатели, ассоциативные контейнеры, корутины и параметрические пакеты. Издание предназначено для программистов, уже знакомых с основами C++, которые хотят углубить свои знания и освоить новые возможности языка.</t>
  </si>
  <si>
    <t>Modern.C++ for.Absolute.Beginners.pdf</t>
  </si>
  <si>
    <t>Это книга представляет собой дружественное введение в язык программирования C++ и охватывает стандарты от C++11 до C++23. В ней рассматриваются фундаментальные типы данных, компиляторы, написание первой программы и другие базовые концепции. Издание предназначено для абсолютных новичков, желающих освоить современный C++ с нуля.</t>
  </si>
  <si>
    <t>Qt 6 QML</t>
  </si>
  <si>
    <t>Юрген Боклаге-Рианнель; Сирил Лорке; Йохан Телин</t>
  </si>
  <si>
    <t>Компания Qt</t>
  </si>
  <si>
    <t>Qt 6 QML.pdf</t>
  </si>
  <si>
    <t>Книга «Qt 6 QML» представляет собой руководство по языку QML для создания динамических, декларативных и аппаратно-ускоренных пользовательских интерфейсов с нативной производительностью на различных платформах. Она охватывает ключевые концепции, включая синтаксис QML, компоненты, анимацию, модели-вид-делегат, работу с графикой, мультимедиа, сетевое взаимодействие, интеграцию с C++ и Python, а также разработку для микроконтроллеров. Материал структурирован в три части: введение для новичков, самостоятельные темы для практикующих разработчиков и продвинутые разделы для специалистов, желающих углубить знания. Книга предназначена как для начинающих изучение QML, так и для опытных читателей, стремящихся освоить новые темы или создать полноценное приложение.</t>
  </si>
  <si>
    <t>Qt 6. Разработка оконных приложений на C++</t>
  </si>
  <si>
    <t>Николай Прохоренок</t>
  </si>
  <si>
    <t>Qt 6. Разработка оконных приложений на C++.pdf</t>
  </si>
  <si>
    <t>Книга Николая Прохоренка «Qt 6. Разработка оконных приложений на C++» представляет собой практическое руководство по созданию приложений с графическим интерфейсом с использованием библиотеки Qt. В ней рассматриваются базовые возможности Qt, включая обработку событий, управление свойствами окна, создание форм, а также работа с основными компонентами интерфейса, такими как кнопки, текстовые поля, списки, таблицы и меню. Издание ориентировано на программистов, уже знакомых с C++, и может служить как самоучителем для начинающих разработчиков, так и справочником для опытных специалистов.</t>
  </si>
  <si>
    <t>C++20. Get the Details</t>
  </si>
  <si>
    <t>Rainer Grimm</t>
  </si>
  <si>
    <t>Rainer Grimm - C++20. Get the Details-Leanpub (2021).pdf</t>
  </si>
  <si>
    <t>Книга Райнера Гримма «C++20» представляет собой подробное техническое руководство по новому стандарту языка C++20. Основное содержание посвящено четырём ключевым нововведениям: концепциям, модулям, библиотеке диапазонов и корутинам, а также рассматриваются улучшения ядра языка (трёхстороннее сравнение, consteval, новые атрибуты) и стандартной библиотеки (std::span, форматирование, календари, средства синхронизации). Издание предназначено для опытных разработчиков на C++, желающих глубоко изучить все детали стандарта C++20 и перейти на него в своих проектах.</t>
  </si>
  <si>
    <t>Qt 5.10. Профессиональное программирование на С++</t>
  </si>
  <si>
    <t>Макс Шлее</t>
  </si>
  <si>
    <t>Shlee_M_-_Qt_5_10_Professionalnoe_programmirovanie_na_C.pdf</t>
  </si>
  <si>
    <t>Книга Макса Шлее посвящена профессиональной разработке кроссплатформенных приложений с использованием библиотеки Qt версии 5.10 на языке C++. В ней подробно рассматриваются ключевые модули Qt (QtCore, QtGui, QtWidgets, QtQuick, QtNetwork, QtSql и другие), а также философия объектной модели, включая механизм сигналов и слотов. Издание предназначено для программистов, уже имеющих опыт разработки, и содержит 240 завершенных примеров программ.</t>
  </si>
  <si>
    <t>WebAssembly в действии</t>
  </si>
  <si>
    <t>Жерар Галлан</t>
  </si>
  <si>
    <t>WebAssembly в действии -2022.pdf</t>
  </si>
  <si>
    <t>Книга Жерара Галлана «WebAssembly в действии» посвящена созданию высокопроизводительных браузерных приложений с помощью технологии WebAssembly, позволяющей компилировать код на C, C++ и Rust для работы в браузере. В издании рассматриваются ключевые концепции: устройство модулей WebAssembly, повторное использование существующего кода, взаимодействие с JavaScript, динамическое связывание, работа с потоками и использование в Node.js, а также отладка и тестирование. Книга предназначена для программистов среднего уровня, знакомых с веб-разработкой и желающих освоить WebAssembly для повышения производительности приложений.</t>
  </si>
  <si>
    <t>C++20 for Lazy Programmers: Quick, Easy, and Fun C++ for Beginners</t>
  </si>
  <si>
    <t>Will Briggs</t>
  </si>
  <si>
    <t>Will_Briggs_C++20_for_Lazy_Programmers_Quick,_Easy,_and_Fun_C++.pdf</t>
  </si>
  <si>
    <t>Это фрагмент книги Уилла Бриггса «C++20 для ленивых программистов: быстро, легко и весело», которая представляет собой практическое руководство по языку C++ для начинающих. В отрывке описываются начальные шаги: настройка среды (Unix, MinGW, Visual Studio), создание простых программ и работа с графической библиотекой SSDL для рисования фигур, работы с цветом и текстом. Книга ориентирована на новичков, желающих освоить C++20 в увлекательной и доступной форме.</t>
  </si>
  <si>
    <t>Алгоритмы и программы. Язык C++</t>
  </si>
  <si>
    <t>Конова Е. А.; Поллак Г. А.</t>
  </si>
  <si>
    <t>Алгоритмы и программы. Язык C++. Учебное пособие (2017).pdf</t>
  </si>
  <si>
    <t>Учебное пособие посвящено обучению программированию на языке C++ с использованием методики «от алгоритмов к программам». Ключевые разделы включают основы алгоритмизации, синтаксис и механизмы C++ (стандарт C++11) в рамках структурного программирования, а также практикум с 30 вариантами задач по каждой теме. Книга предназначена для начинающих студентов направления «Прикладная информатика» и не требует предварительных знаний о языках программирования.</t>
  </si>
  <si>
    <t>Алгоритмы и программы. Язык С++</t>
  </si>
  <si>
    <t>Алгоритмы и программы. Язык С++.pdf</t>
  </si>
  <si>
    <t>Данное учебное пособие посвящено основам программирования на языке С++ и методике обучения «от алгоритмов к программам». Ключевые концепции включают изучение типовых алгоритмов обработки данных, синтаксиса и механизмов языка С++ (стандарт C++11), а также структурное программирование на основе функций. Книга состоит из трех глав: теоретической части по алгоритмам, описания языка С++ и практикума с заданиями для самостоятельного выполнения. Пособие предназначено для студентов среднего профессионального образования, начинающих изучать программирование, и не требует предварительных знаний о языках программирования.</t>
  </si>
  <si>
    <t>Алгоритмы С++.pdf</t>
  </si>
  <si>
    <t>ScanKromsator</t>
  </si>
  <si>
    <t>Учебное пособие посвящено алгоритмам сжатия данных без потерь, их классификации, концептуальному описанию и программной реализации. Ключевые разделы охватывают словарные алгоритмы (RLE, LZW) и частотные алгоритмы (Шеннона — Фано, Хаффмана, арифметическое кодирование), а также вспомогательные методы, такие как преобразование Бэрроуза — Уилера. Книга предназначена для бакалавров направления «Программная инженерия», предполагая знание алгоритмических языков и навыки объектно-ориентированного программирования.</t>
  </si>
  <si>
    <t>Язык программирования C++. Пятое издание</t>
  </si>
  <si>
    <t>Стенли Б. Липпман</t>
  </si>
  <si>
    <t>Базовый Курс C++ 2011.pdf</t>
  </si>
  <si>
    <t>Это фрагмент пятого издания книги Стенли Липпмана «Язык программирования C++», полностью переработанного под стандарт C++11. Книга охватывает три основные части современного C++: низкоуровневый язык (унаследованный от C), возможности для определения собственных типов данных и стандартную библиотеку с контейнерами и алгоритмами. Авторы используют подход, при котором с самого начала применяются высокоуровневые средства (например, string и vector), чтобы избежать плохих привычек низкоуровневого программирования. Издание предназначено для программистов, уже знакомых с основами программирования, которые хотят изучить современный C++ и эффективно использовать его возможности.</t>
  </si>
  <si>
    <t>Введение в язык Си++</t>
  </si>
  <si>
    <t>Введение в язык Си++ 2020.pdf</t>
  </si>
  <si>
    <t>C++: библиотека программиста</t>
  </si>
  <si>
    <t>Джефф Элджер</t>
  </si>
  <si>
    <t>Джефф Элджер CPP.pdf</t>
  </si>
  <si>
    <t>Книга Джеффа Элджера «C++: библиотека программиста» посвящена углублённому изучению языка C++ и его ключевых возможностей. В ней рассматриваются такие фундаментальные концепции, как синтаксис, работа с переменными и константами, области видимости, перегрузка операторов, шаблоны и безопасность типов, а также обработка исключений. Материал ориентирован на программистов, уже имеющих базовый опыт, и помогает систематизировать знания о трёх великих идеях C++ и эффективных стилях программирования.</t>
  </si>
  <si>
    <t>C++ для профи</t>
  </si>
  <si>
    <t>Лоспинозо Джош</t>
  </si>
  <si>
    <t>Для_профессионалов_Джош_Лоспинозо_C++_для_профи_2021.pdf</t>
  </si>
  <si>
    <t>Книга «C++ для профи» Джоша Лоспинозо представляет собой углублённое руководство по языку C++, предназначенное для программистов среднего и продвинутого уровней. Первая часть охватывает основы языка, включая типы, ссылки, жизненный цикл объектов, полиморфизм и функции, а вторая часть посвящена стандартной библиотеке C++ и библиотекам Boost, таким как контейнеры, итераторы, алгоритмы, файловые системы и сетевое программирование. Книга нацелена на создание лаконичного, эффективного и читаемого кода, помогая читателям освоить ядро C++ и современные практики разработки.</t>
  </si>
  <si>
    <t>Think Like a Programmer: An Introduction to Creative Problem Solving</t>
  </si>
  <si>
    <t>V. Anton Spraul</t>
  </si>
  <si>
    <t>Думай_как_программист_Креативный_подход_к_созданию_кода_C++_версия.pdf</t>
  </si>
  <si>
    <t>Это фрагмент научно-популярной книги Антона Спроула «Думай как программист», посвящённой развитию навыков творческого решения задач при написании кода на C++. Ключевые разделы включают стратегии решения задач на примере классических головоломок (например, «Лисица, гусь и кукуруза», «Скользящая восьмёрка», «Судоку»), а также общие подходы к планированию решений. Книга предназначена для читателей, уже имеющих базовые знания программирования, и направлена на развитие аналитического мышления, а не на изучение синтаксиса языка.</t>
  </si>
  <si>
    <t>Beginning C++ Through Game Programming</t>
  </si>
  <si>
    <t>Michael Dawson</t>
  </si>
  <si>
    <t>Изучаем_С++_через_программирование_игр.pdf</t>
  </si>
  <si>
    <t>Эта книга представляет собой практическое руководство по изучению языка C++ через создание игр, где каждая глава посвящена отдельному игровому проекту. Ключевые концепции включают типы данных, переменные, циклы, функции, классы, наследование и полиморфизм, а также работу с библиотекой стандартных шаблонов. Издание предназначено для начинающих программистов, желающих освоить C++ и применить полученные навыки в разработке игр.</t>
  </si>
  <si>
    <t>Красивый C++: 30 главных правил чистого, безопасного и быстрого кода</t>
  </si>
  <si>
    <t>Дж. Гай Дэвидсон; Кейт Грегори</t>
  </si>
  <si>
    <t>Красивый_C++_30_главных_правил_чистого,_безопасного_и_быстрого_кода.pdf</t>
  </si>
  <si>
    <t>Книга «Красивый C++» представляет собой практическое руководство по 30 ключевым правилам из C++ Core Guidelines, направленное на написание чистого, безопасного и быстрого кода. Авторы, Гай Дэвидсон и Кейт Грегори, отобрали наиболее ценные рекомендации и структурировали их в соответствии с официальным стандартом, разбирая такие темы, как следование стандарту ISO C++ и выбор между аргументами по умолчанию и перегрузкой функций. Издание предназначено для опытных программистов на C++, желающих улучшить свой стиль разработки и освоить современные практики.</t>
  </si>
  <si>
    <t>Объектно-ориентированное программирование в C++</t>
  </si>
  <si>
    <t>Р. Лафоре</t>
  </si>
  <si>
    <t>Лафоре_Р_Объектно_ориентированное прог C++.pdf</t>
  </si>
  <si>
    <t>Эта книга Роберта Лафоре представляет собой учебник по объектно-ориентированному программированию (ООП) на языке C++, охватывающий как базовые конструкции языка (циклы, функции, структуры), так и ключевые концепции ООП (классы, наследование, перегрузка операций, виртуальные функции). Издание включает 16 глав, а также приложения по работе со средами разработки и STL. Материал ориентирован на начинающих программистов, желающих освоить C++ с нуля, и предполагает последовательное изучение от основ до сложных тем, таких как шаблоны и разработка ПО.</t>
  </si>
  <si>
    <t>Effective Modern C++</t>
  </si>
  <si>
    <t>Scott Meyers</t>
  </si>
  <si>
    <t>Мейерс С. - Эффективный и современный C++ 2016.pdf</t>
  </si>
  <si>
    <t>Книга Скотта Мейерса «Эффективный и современный C++» посвящена практическим рекомендациям по эффективному использованию возможностей стандартов C++11 и C++14. Ключевые разделы охватывают вывод типов, объявление auto, интеллектуальные указатели, семантику перемещения, лямбда-выражения и параллельные вычисления. Издание предназначено для опытных разработчиков на C++, которые хотят углубить понимание современных идиом и избежать типичных ошибок при переходе на новые стандарты.</t>
  </si>
  <si>
    <t>Методы программирования в задачах и примерах на C/C++</t>
  </si>
  <si>
    <t>В. Д. Валединский; А. А. Корнев</t>
  </si>
  <si>
    <t>Издательство Московского университета</t>
  </si>
  <si>
    <t>Методы программирования в задачах и примерах на C,C++.pdf</t>
  </si>
  <si>
    <t>Это учебное пособие, обобщающее опыт преподавания курсов программирования на механико-математическом факультете МГУ. Книга охватывает широкий спектр тем: от алгоритмических задач и численных методов до структур данных (деревья, графы, списки) и проектных задач, включая работу с файлами и грамматический разбор. Пособие предназначено для учащихся старших классов с углубленным изучением информатики, студентов вузов и преподавателей, то есть для читателей, уже имеющих базовую подготовку и стремящихся к углубленному изучению методов программирования на C/C++.</t>
  </si>
  <si>
    <t>Обратные вызовы в C++</t>
  </si>
  <si>
    <t>Виталий Евгеньевич Ткаченко</t>
  </si>
  <si>
    <t>Обратные вызовы в C++.pdf</t>
  </si>
  <si>
    <t>Книга Виталия Ткаченко посвящена теоретическим и практическим аспектам реализации обратных вызовов в языке C++. В ней подробно разбираются различные способы организации обратных вызовов: от указателей на функции и методы классов до функциональных объектов, лямбда-выражений и шаблонов, а также проводится их сравнительный анализ. Особое внимание уделяется архитектурному дизайну, синхронным и асинхронным вызовам, распределению вызовов между получателями и практическому применению при разработке API. Издание предназначено в первую очередь для программистов среднего уровня, желающих углубить знания в области проектирования, но будет полезна и опытным разработчикам для систематизации знаний.</t>
  </si>
  <si>
    <t>Object-Oriented Programming in C++</t>
  </si>
  <si>
    <t>Robert Lafore</t>
  </si>
  <si>
    <t>Sams Publishing</t>
  </si>
  <si>
    <t>Объектно-ориентированное программирование в C++.pdf</t>
  </si>
  <si>
    <t>Книга Роберта Лафоре «Объектно-ориентированное программирование в C++» (четвертое издание) представляет собой учебное пособие, посвященное основам языка C++ и технологии объектно-ориентированного программирования. В издании подробно рассматриваются ключевые концепции языка, приводятся полномасштабные приложения, небольшие примеры для пояснения теории, а также множество иллюстраций и более 100 упражнений для проверки знаний. Книга предназначена для читателей, не имеющих подготовки в области C++, но владеющих начальными основами программирования, то есть для новичков.</t>
  </si>
  <si>
    <t>Олимпиадное программирование С++.pdf</t>
  </si>
  <si>
    <t>Книга Антти Лааксонена «Олимпиадное программирование» представляет собой подробное руководство по подготовке к соревнованиям по спортивному программированию, охватывающее как базовые, так и продвинутые алгоритмы и техники. Второе издание дополнено разделами по вычислению преобразования Фурье, потокам минимальной стоимости в графах и использованию конечных автоматов для работы со строками. Книга содержит практические рекомендации по технике программирования, рекурсивным алгоритмам, поразрядным операциям и другим ключевым темам. Издание предназначено для студентов IT-факультетов и участников олимпиад, стремящихся углубить свои знания и навыки в решении сложных задач.</t>
  </si>
  <si>
    <t>Optimized C++</t>
  </si>
  <si>
    <t>Kurt Guntheroth</t>
  </si>
  <si>
    <t>Оптимизация программ на C++  2017.pdf</t>
  </si>
  <si>
    <t>Книга Курта Гантерота «Оптимизация программ на С++» посвящена проверенным методам повышения производительности кода на C++. Ключевые разделы охватывают измерение производительности, оптимизацию строк, алгоритмов, структур данных, ввода-вывода, параллельности и управления памятью. Издание предназначено для специалистов, уже знакомых с языком C++, которые хотят углубить свои знания в области эффективного программирования и устранения узких мест.</t>
  </si>
  <si>
    <t>Основы программирования. Язык высокого уровня С++. Часть I</t>
  </si>
  <si>
    <t>Селезнева А. В.</t>
  </si>
  <si>
    <t>Удмуртский университет</t>
  </si>
  <si>
    <t>Основы_программирования_Язык_высокого_уровня_С++_Часть_I.pdf</t>
  </si>
  <si>
    <t>Это учебное пособие по основам программирования на языке C++, предназначенное для студентов, начинающих изучение программирования. Книга охватывает базовые концепции: синтаксис и семантику языка, типы данных, операторы, функции, условные конструкции, циклы, одномерные и многомерные массивы, а также указатели и работу с динамической памятью. Материал сопровождается примерами задач и лабораторными работами для закрепления навыков. Пособие ориентировано на новичков, обучающихся по направлению «Компьютерные и информационные науки».</t>
  </si>
  <si>
    <t>Прикладное программирование на C.C++</t>
  </si>
  <si>
    <t>Прикладное программирование на C.C++.pdf</t>
  </si>
  <si>
    <t>Данный фрагмент книги посвящён практическому применению языков C и C++ в прикладном программировании. В нём рассматриваются ключевые концепции, такие как работа с памятью, структуры данных и особенности объектно-ориентированного подхода в C++. Книга ориентирована на программистов среднего уровня, уже знакомых с основами синтаксиса, и стремится углубить их понимание эффективного и надёжного написания кода.</t>
  </si>
  <si>
    <t>Программирование графики на С++ Теория и примеры</t>
  </si>
  <si>
    <t>Корнеев; Гагарина</t>
  </si>
  <si>
    <t>Программирование_графики_на_С++_Теория_и_примеры_2023_Корнеев,_Гагарина.pdf</t>
  </si>
  <si>
    <t>Данный фрагмент книги посвящен программированию компьютерной графики на языке C++. В нем рассматриваются теоретические основы и практические примеры реализации графических алгоритмов. Ключевые разделы, вероятно, охватывают работу с двухмерной и трехмерной графикой, рендеринг и визуализацию. Издание предназначено для специалистов и студентов, уже знакомых с основами программирования на C++.</t>
  </si>
  <si>
    <t>Программирование_на_С++_в_среде_Qt_Creator.pdf</t>
  </si>
  <si>
    <t>Книга является учебником по алгоритмизации и программированию на языке C++ и пособием по разработке визуальных приложений в среде Qt Creator. В ней рассматриваются основы языка, операторы управления, функции, массивы, матрицы, строки, структуры, а также работа с файлами и вводом-выводом. Издание предназначено для студентов, аспирантов и преподавателей вузов, а также для всех, кто изучает программирование с нуля.</t>
  </si>
  <si>
    <t>Разработка кроссплатформенного программного обеспечения</t>
  </si>
  <si>
    <t>М. Г. Городничев; Т. Д. Фатхулин; Х. А. Джабраилов</t>
  </si>
  <si>
    <t>Разработка кроссплатформенного ПО.pdf</t>
  </si>
  <si>
    <t>Это учебное пособие посвящено основам разработки кроссплатформенного программного обеспечения на языке C++ с использованием фреймворка Qt. Ключевые разделы книги охватывают работу с элементами управления, датой и временем, файлами, аудио, стилями оформления, многопоточностью, компьютерными сетями и базами данных. Издание предназначено для студентов бакалавриата, обучающихся по направлениям «Информатика и вычислительная техника» и «Фундаментальная информатика и информационные технологии», то есть для начинающих специалистов.</t>
  </si>
  <si>
    <t>Разработка приложений на C++ с использованием Boost</t>
  </si>
  <si>
    <t>Антон Полухин</t>
  </si>
  <si>
    <t>Разработка_приложений_на_С++_с_использованием_Boost_2020.pdf</t>
  </si>
  <si>
    <t>Книга Антона Полухина «Разработка приложений на C++ с использованием Boost» представляет собой практическое руководство по применению библиотек Boost для создания качественного, быстрого и переносимого кода. Материал структурирован в виде рецептов, охватывающих широкий спектр тем: от повседневного использования библиотек и управления ресурсами до сложных разделов, таких как метапрограммирование, многопоточность и асинхронное взаимодействие. Издание предназначено для разработчиков, уже знакомых с C++ и стандартной библиотекой, которые хотят углубить свои знания Boost и упростить процесс разработки приложений.</t>
  </si>
  <si>
    <t>Быков, А.Ю.</t>
  </si>
  <si>
    <t>Решение задач по программированию С и С++i.pdf</t>
  </si>
  <si>
    <t>Это методическое пособие для студентов МГТУ им. Н.Э. Баумана, посвященное решению практических задач на языках программирования Си и Си++. Книга состоит из двух частей: первая охватывает девять лабораторных работ по основам языка Си (операции, циклы, массивы, структуры, функции, файлы), вторая — шесть работ по языку Си++ (классы, наследование, полиморфизм, библиотека MFC). Пособие предназначено для студентов, изучающих программирование, в частности по специальностям «Компьютерная безопасность» и «Информационная безопасность», и предполагает начальный уровень подготовки.</t>
  </si>
  <si>
    <t>Алгоритмы C++</t>
  </si>
  <si>
    <t>Роберт Седжвик</t>
  </si>
  <si>
    <t>Роберт Седжвик Алгоритмы С++.djvu</t>
  </si>
  <si>
    <t>Книга Роберта Седжвика «Алгоритмы на C++» представляет собой фундаментальный учебник по структурам данных и алгоритмам, охватывающий такие ключевые разделы, как сортировка, поиск, графы и строковые алгоритмы. Основное внимание уделяется не только теории, но и практической реализации на языке C++, включая анализ производительности и сложности алгоритмов. Издание предназначено для студентов, изучающих программирование, а также для специалистов среднего уровня, желающих углубить понимание классических алгоритмических подходов.</t>
  </si>
  <si>
    <t>C++20 в деталях</t>
  </si>
  <si>
    <t>Райнер Гримм</t>
  </si>
  <si>
    <t>С++ 20 в деталях.zip</t>
  </si>
  <si>
    <t>Книга «C++20 в деталях» Райнера Гримма посвящена новому стандарту языка C++20. В ней подробно рассматриваются ключевые возможности языка, включая концепты, модули, библиотеку диапазонов и корутины. Издание предназначено для разработчиков, желающих освоить последнюю версию C++ и изучить передовые добавления в язык.</t>
  </si>
  <si>
    <t>Boost C++ Application Development Cookbook</t>
  </si>
  <si>
    <t>Antony Polukhin</t>
  </si>
  <si>
    <t>С++ Boost 2020.pdf</t>
  </si>
  <si>
    <t>Книга Антона Полухина представляет собой практическое руководство по использованию библиотек Boost для разработки качественных, быстрых и портативных приложений на C++. Материал организован в виде рецептов, охватывающих темы от повседневного использования библиотек и управления ресурсами до метапрограммирования, многопоточности и асинхронного взаимодействия. Издание предназначено для разработчиков, уже знакомых с C++ и стандартной библиотекой, желающих углубить знания в области Boost и упростить процессы разработки.</t>
  </si>
  <si>
    <t>C++: A Beginner's Guide</t>
  </si>
  <si>
    <t>Herbert Schildt</t>
  </si>
  <si>
    <t>ЭКОМ Паблишерз</t>
  </si>
  <si>
    <t>С++ для начинающих 2013.pdf</t>
  </si>
  <si>
    <t>Книга Герберта Шилдта «С++ для начинающих» представляет собой вводное пособие по языку программирования C++, охватывающее как базовые понятия (типы данных, массивы, указатели, функции), так и ключевые элементы объектно-ориентированного программирования (классы, наследование, виртуальные функции, исключения и шаблоны). Материал излагается простым и доступным языком, каждый раздел сопровождается наглядными примерами. Издание предназначено для новичков, приступающих к изучению C++ с нуля, и не требует глубоких предварительных знаний в программировании.</t>
  </si>
  <si>
    <t>C++ in One Hour a Day</t>
  </si>
  <si>
    <t>Siddhartha Rao</t>
  </si>
  <si>
    <t>SAMS</t>
  </si>
  <si>
    <t>С++ за 21 день 2013.pdf</t>
  </si>
  <si>
    <t>Эта книга представляет собой учебное пособие по языку программирования C++ для начинающих, охватывающее основы синтаксиса, объектно-ориентированное программирование (классы, наследование, полиморфизм), стандартную библиотеку шаблонов (STL) и современные возможности стандарта C++11. Ключевые разделы включают работу с переменными, массивами, указателями, функциями, а также контейнерами и алгоритмами STL. Материал предназначен для новичков, желающих освоить C++ с нуля, и структурирован в формате ежедневных занятий.</t>
  </si>
  <si>
    <t>С++ мастер класс 85 нетривиальных задач</t>
  </si>
  <si>
    <t>С++ мастер класс 85 нетривиальных задач.djvu</t>
  </si>
  <si>
    <t>Книга «С++ мастер класс 85 нетривиальных задач» посвящена углублённому изучению языка C++ через решение сложных, нестандартных задач. Ключевые концепции включают продвинутые техники программирования, оптимизацию кода и работу с нетривиальными алгоритмами. Издание предназначено для опытных специалистов и разработчиков, уже владеющих основами C++ и стремящихся повысить свой уровень мастерства.</t>
  </si>
  <si>
    <t>Sams Teach Yourself C++ in One Hour a Day</t>
  </si>
  <si>
    <t>С++ по одному часу в день 8_e_изд_2017.pdf</t>
  </si>
  <si>
    <t>Фрагмент представляет собой введение и оглавление книги «Освой самостоятельно C++ по одному часу в день» (8-е издание) Сиддхартхи Рао. Книга посвящена обучению языку программирования C++, начиная с основ (переменные, функции, указатели) и заканчивая объектно-ориентированным программированием, стандартной библиотекой шаблонов (STL) и сложными концепциями вроде интеллектуальных указателей и обработки исключений. Материал предназначен для новичков, желающих освоить C++ с нуля, и структурирован по принципу «один урок в день».</t>
  </si>
  <si>
    <t>С++_Практика_многопоточного_программирования_2020_Энтони_Уильямс.pdf</t>
  </si>
  <si>
    <t>Книга Энтони Уильямса посвящена практическому применению многопоточного и конкурентного программирования на языке C++17. В ней рассматриваются ключевые концепции: управление потоками, синхронизация данных, атомарные операции, разработка структур данных с блокировками и без них, а также алгоритмы параллельных вычислений и отладка. Издание предназначено для профессиональных разработчиков, уже знакомых с C++, которые хотят освоить создание высокопроизводительных многопоточных приложений.</t>
  </si>
  <si>
    <t>Роберт Сикорд</t>
  </si>
  <si>
    <t>Сикорд_Роберт_Безопасное_программирование_на_C_и_C++_Вильямс_2015.pdf</t>
  </si>
  <si>
    <t>Система построения проектов CMake</t>
  </si>
  <si>
    <t>Денис Владимирович Дубров</t>
  </si>
  <si>
    <t>Издательство Южного федерального университета</t>
  </si>
  <si>
    <t>Система_построения_проектов_CMake_2015_Д_В_Дубров-2015.pdf</t>
  </si>
  <si>
    <t>Этот учебник посвящен системе автоматизации сборки программных проектов CMake. В книге подробно рассматриваются принципы работы систем автоматического построения, основы синтаксиса языка CMake, а также команды для описания целей, настройки и обработки данных. Ключевые разделы охватывают работу с генераторами, переменными, свойствами, библиотеками и тестированием. Издание предназначено для магистрантов, студентов и специалистов, участвующих в разработке сложных кросс-платформенных приложений, и требует начального уровня подготовки.</t>
  </si>
  <si>
    <t>C++ Gotchas: Avoiding Common Problems in Coding and Design</t>
  </si>
  <si>
    <t>Stephen C. Dewhurst</t>
  </si>
  <si>
    <t>Скользкие места C++.pdf</t>
  </si>
  <si>
    <t>Книга Стефана К. Дьюхэрста «Скользкие места C++» посвящена анализу и предотвращению типичных ошибок при проектировании и написании программ на языке C++. В ней подробно разбираются такие темы, как синтаксические ловушки, проблемы с управлением памятью, преобразованием типов и полиморфизмом, а также предлагаются идиомы и паттерны для их решения. Издание предназначено для программистов, желающих углубить свои знания и перейти от базового уровня к экспертному владению языком.</t>
  </si>
  <si>
    <t>Embracing Modern C++ Safely</t>
  </si>
  <si>
    <t>John Lakos; Vittorio Romeo; Rostislav Khlebnikov; Alisdair Meredith</t>
  </si>
  <si>
    <t>Современный C++ 2022.pdf</t>
  </si>
  <si>
    <t>Книга «Современный C++: безопасное использование» представляет собой справочное руководство по функциональным возможностям языков C++11 и C++14, классифицированным по степени безопасности на безопасные, условно безопасные и небезопасные. В ней на многочисленных примерах из реальных кодовых баз демонстрируется эффективное и безопасное применение новых возможностей, а также показано, как интегрировать их в существующий код C++98/03. Ключевые разделы включают каталог функциональных возможностей с анализом рисков и практические примеры их использования. Издание предназначено для опытных программистов на C++, уже знакомых с версией C++98/03.</t>
  </si>
  <si>
    <t>Спрол_Антон_Думай_как_программист_ CPP 2018.pdf</t>
  </si>
  <si>
    <t>Книга Антона Спрола «Думай как программист» посвящена развитию навыков творческого решения задач с использованием языка C++. В ней рассматриваются стратегии решения проблем на примере классических головоломок, таких как «Лисица, гусь и кукуруза», «Скользящая восьмерка» и «Судоку», а также общие подходы к планированию решений. Издание предназначено для начинающих и продолжающих программистов, желающих освоить не просто синтаксис языка, а системное мышление, необходимое для написания эффективного кода.</t>
  </si>
  <si>
    <t>Средства динамического анализа программ в компиляторах GCC и CLANG</t>
  </si>
  <si>
    <t>Н. И. Вьюкова; В. А. Галатенко; С. В. Самборский</t>
  </si>
  <si>
    <t>Федеральное государственное учреждение "Федеральный научный центр Научно-исследовательский институт системных исследований Российской академии наук"</t>
  </si>
  <si>
    <t>Средства динамического Анализа програм.pdf</t>
  </si>
  <si>
    <t>Статья посвящена средствам динамического анализа программ на языках C и C++, реализованным в компиляторах GCC и Clang и известным как «санитайзеры». Рассматриваются два типа таких средств: одни используются на этапе тестирования для выявления ошибок работы с памятью и типами, другие — в производственном режиме для защиты целостности потока управления с низкими накладными расходами. Авторы подчеркивают, что санитайзеры компенсируют недостатки языков C и C++, связанные с неопределенным поведением, но отмечают, что ряд задач в этой области остается нерешенным. Материал предназначен для специалистов в области разработки и обеспечения безопасности программного обеспечения.</t>
  </si>
  <si>
    <t>Стандартная библиотека C++ в примерах и пояснениях</t>
  </si>
  <si>
    <t>Стандартная библиотека C++ в примерах и пояснениях.pdf</t>
  </si>
  <si>
    <t>Книга Райнера Гримма представляет собой компактный справочник по стандартной библиотеке C++, обновлённый до версии стандарта C++23. В ней рассматриваются ключевые разделы: вспомогательные инструменты, стандартная библиотека шаблонов, библиотеки для работы с числами, текстом, вводом-выводом и многопоточностью, а также практические аспекты использования библиотек. Издание предназначено для профессиональных программистов на C++, уже знакомых с языком и желающих получить удобное руководство по работе с новой версией стандарта.</t>
  </si>
  <si>
    <t>Старт с С++</t>
  </si>
  <si>
    <t>Старт с С++.pdf</t>
  </si>
  <si>
    <t>Книга представляет собой введение в язык программирования C++, предназначенное для новичков. В ней рассматриваются базовые концепции, такие как типы данных, управляющие конструкции, функции и работа с памятью. Основное внимание уделяется практическому освоению синтаксиса и принципов объектно-ориентированного программирования. Материал ориентирован на читателей, не имеющих опыта в C++, и помогает сделать первые шаги в разработке.</t>
  </si>
  <si>
    <t>Программирование. Принципы и практика использования C++</t>
  </si>
  <si>
    <t>Страуструп Б.</t>
  </si>
  <si>
    <t>И.Д. Вильямс</t>
  </si>
  <si>
    <t>Страуструп - Принципы и практика использования C++ - 2011.pdf</t>
  </si>
  <si>
    <t>Книга Бьярне Страуструпа «Программирование: принципы и практика использования C++» представляет собой фундаментальное учебное пособие по языку C++, охватывающее как основы программирования, так и продвинутые темы. Ключевые разделы включают работу с объектами, типами и значениями, вычислениями, обработку ошибок, ввод-вывод, графику, контейнеры, итераторы и алгоритмы. Издание предназначено для новичков в программировании, а также для тех, кто хочет системно изучить C++ с акцентом на практические навыки и принципы разработки.</t>
  </si>
  <si>
    <t>Язык программирования С++</t>
  </si>
  <si>
    <t>Бьерн Страуструп</t>
  </si>
  <si>
    <t>1991</t>
  </si>
  <si>
    <t>Страуструп- язык программирования С++  1991.pdf</t>
  </si>
  <si>
    <t>Книга Бьерна Страуструпа представляет собой второе дополненное издание классического учебника по языку программирования C++. В ней рассматриваются основные парадигмы программирования (процедурное, модульное, абстракция данных и объектно-ориентированное), а также ключевые возможности языка, такие как шаблоны типов и обработка исключений. Издание предназначено для программистов, уже знакомых с языком C, и специалистов, желающих углубленно изучить C++ и его философию проектирования.</t>
  </si>
  <si>
    <t>A Tour of C++</t>
  </si>
  <si>
    <t>Страуструп- язык_программирования_C++_2019.pdf</t>
  </si>
  <si>
    <t>Этот фрагмент представляет собой выходные данные книги Бьярне Страуструпа «Язык программирования C++. Краткий курс», второе издание. Книга представляет собой обзор современного C++ (включая стандарт C++20), охватывающий такие ключевые темы, как основы языка, пользовательские типы, классы, шаблоны, модульность, стандартная библиотека, контейнеры, алгоритмы и параллельные вычисления. Издание предназначено для программистов, уже знакомых с основами программирования, которые хотят быстро и системно изучить возможности современного C++.</t>
  </si>
  <si>
    <t>Дизайн и эволюция C++</t>
  </si>
  <si>
    <t>Страуструп-Дизайн и эволюция языка C++.pdf</t>
  </si>
  <si>
    <t>Книга Бьерна Страуструпа посвящена истории проектирования и разработки языка C++, включая анализ целей, принципов и ограничений, повлиявших на его структуру. В ней подробно рассматриваются ключевые концепции, такие как шаблоны, исключения, идентификация типа во время исполнения и пространства имен. Издание предназначено как для начинающих, желающих понять основы языка, так и для опытных программистов, стремящихся глубже осмыслить принципы его проектирования.</t>
  </si>
  <si>
    <t>Функциональное программирование на С++</t>
  </si>
  <si>
    <t>Иван Чукич</t>
  </si>
  <si>
    <t>Функциональное_программирование_на_С++ 2020.pdf</t>
  </si>
  <si>
    <t>Книга посвящена применению функционального программирования в языке C++ для повышения качества, надёжности и удобства сопровождения кода. В ней рассматриваются такие ключевые концепции, как чистые функции, ленивые вычисления, функциональные объекты, алгебраические типы данных, монады и функциональный дизайн параллельных систем. Издание предназначено для опытных разработчиков на C++, желающих освоить функциональный стиль и расширить свои навыки.</t>
  </si>
  <si>
    <t>Beginning C++17: From Novice to Professional</t>
  </si>
  <si>
    <t>Ivor Horton; Peter Van Weert</t>
  </si>
  <si>
    <t>Хортон Вирт Beginning CPP-17_5th_Edition.pdf</t>
  </si>
  <si>
    <t>Это фрагмент титульной страницы и оглавления книги «Beginning C++17: From Novice to Professional» (пятое издание) авторов Айвора Хортона и Питера Ван Верта. Книга представляет собой учебное руководство по языку программирования C++ стандарта 2017 года, предназначенное для новичков и желающих освоить профессию программиста. В ней рассматриваются базовые концепции языка, включая структуру программ, функции, операторы ввода-вывода, пространства имён и работу с заголовочными файлами. Издание содержит практические примеры и исходный код, доступный на GitHub, и ориентировано на читателей, начинающих изучение C++ с нуля.</t>
  </si>
  <si>
    <t>Template Metaprogramming with C++</t>
  </si>
  <si>
    <t>Marius Bancila</t>
  </si>
  <si>
    <t>Шоюлоны Метапрограммирования С++.epub</t>
  </si>
  <si>
    <t>Книга Мариуса Банчилы посвящена шаблонам C++ и метапрограммированию, обучая созданию эффективного и поддерживаемого кода. В ней рассматриваются фундаментальные концепции шаблонов, вариативные шаблоны, продвинутые темы вроде SFINAE и type traits, а также новейшие возможности C++20, такие как ограничения и концепции. Издание предназначено для разработчиков, уже знакомых с основами C++, которые хотят углубить свои знания в области шаблонов и освоить современные техники метапрограммирования.</t>
  </si>
  <si>
    <t>Язык С++. Императивное программирование</t>
  </si>
  <si>
    <t>А. С. Кравчук; А. И. Кравчук; Е. В. Кремень</t>
  </si>
  <si>
    <t>Белорусский государственный университет</t>
  </si>
  <si>
    <t>Язык C++. Императивное программирование.pdf</t>
  </si>
  <si>
    <t>Данный фрагмент представляет собой учебное пособие по языку C++, посвященное императивному программированию. Ключевые разделы включают основы синтаксиса, типы данных, переменные, константы, операции, выражения и приведение типов. Пособие предназначено для студентов специальности «Математика и информационные технологии», то есть для начинающих программистов, и содержит методические материалы, такие как таблицы ручного счета и сопоставление кода на C++ и Pascal.</t>
  </si>
  <si>
    <t>Язык_программирования_C++_Базовый_курс.pdf</t>
  </si>
  <si>
    <t>Это книга представляет собой пятое издание популярного руководства по языку программирования C++, полностью пересмотренное и обновлённое под стандарт C++11. Основное внимание уделяется эффективности программирования, а не аппаратных средств, и вводится новый подход к обучению: с самого начала используются библиотечные типы (например, string и vector) вместо низкоуровневых конструкций, унаследованных от C. Книга охватывает три части современного C++: низкоуровневый язык, возможности для создания собственных типов данных и стандартную библиотеку. Она предназначена для программистов, уже знакомых с основами программирования, но не требует обязательного знания языка C, и помогает выработать хорошие привычки с самого начала.</t>
  </si>
  <si>
    <t>Dart Apprentice: Beyond the Basics</t>
  </si>
  <si>
    <t>Jonathan Sande</t>
  </si>
  <si>
    <t>Программирование/Dart</t>
  </si>
  <si>
    <t>Dart</t>
  </si>
  <si>
    <t>Dart Apprentice - Beyond the Basics-2022.pdf</t>
  </si>
  <si>
    <t>C:\Users\alexa\YandexDisk\Книги\Программирование\Dart</t>
  </si>
  <si>
    <t>Этот фрагмент из книги «Dart Apprentice: Beyond the Basics» представляет собой введение в продвинутый курс по языку программирования Dart, который используется для создания кроссплатформенных приложений. Ключевые разделы включают требования к системе, информацию о форумах и репозитории с исходным кодом, а также посвящение и состав команды авторов и редакторов. Книга предназначена для разработчиков, уже освоивших основы Dart, и продолжает обучение после первой части серии «Dart Apprentice: Fundamentals».</t>
  </si>
  <si>
    <t>Excel® VBA Programming For Dummies®</t>
  </si>
  <si>
    <t>Dick Kusleika</t>
  </si>
  <si>
    <t>Программирование/Excel и VBA</t>
  </si>
  <si>
    <t>Excel и VBA</t>
  </si>
  <si>
    <t>!__Excel VBA Programming For Dummies, 6th Edition 2022.pdf</t>
  </si>
  <si>
    <t>C:\Users\alexa\YandexDisk\Книги\Программирование\Excel и VBA</t>
  </si>
  <si>
    <t>Эта книга представляет собой практическое руководство по программированию на VBA в Excel для начинающих, написанное в популярной серии «Для чайников». Она охватывает ключевые концепции, такие как работа в редакторе Visual Basic, использование объектной модели Excel, создание макросов и процедур, а также основы языка VBA. Книга предназначена для пользователей, которые хотят автоматизировать рутинные задачи в Excel и не имеют опыта программирования.</t>
  </si>
  <si>
    <t>Data Visualization in Excel: A Guide for Beginners, Intermediates, and Wonks</t>
  </si>
  <si>
    <t>Jonathan Schwabish</t>
  </si>
  <si>
    <t>Data Visualization in Excel_A Guide.pdf</t>
  </si>
  <si>
    <t>Книга Джонатана Швабиша «Data Visualization in Excel» представляет собой практическое руководство по созданию продвинутых и эффективных визуализаций данных в Microsoft Excel, выходящих за рамки стандартных настроек программы. В ней подробно, шаг за шагом, объясняется, как с помощью гибкости Excel и нестандартных приёмов форматирования строить сложные графики (например, тепловые карты, диаграммы Ганта и вафельные диаграммы), которые обычно требуют языков программирования вроде Python или R. Книга предназначена для широкой аудитории — от новичков до опытных пользователей, желающих освоить лучшие практики визуализации данных и научиться создавать профессиональные, наглядные и убедительные диаграммы прямо в Excel.</t>
  </si>
  <si>
    <t>Data Visualization with Excel® Dashboards and Reports</t>
  </si>
  <si>
    <t>Data Visualization with Excel  Dashboards and Reports.pdf</t>
  </si>
  <si>
    <t>Книга Дика Кусалейки посвящена созданию информативных панелей мониторинга и отчетов в Excel. В ней рассматриваются основы работы с дашбордами, методы организации данных (сводные таблицы, функции ВПР, ИНДЕКС и ПОИСКПОЗ), а также принципы эффективной визуализации для сравнения показателей, отображения долей целого и изменений во времени. Издание предназначено для пользователей Excel среднего и продвинутого уровня, стремящихся освоить профессиональные приемы анализа и представления данных.</t>
  </si>
  <si>
    <t>Excel 2019. Библия пользователя</t>
  </si>
  <si>
    <t>Майкл Александер; Ричард Куслейка</t>
  </si>
  <si>
    <t>Excel 2019. Библия пользователя.zip</t>
  </si>
  <si>
    <t>Книга «Excel 2019. Библия пользователя» представляет собой исчерпывающее руководство по работе с программой Microsoft Excel 2019, охватывающее все аспекты от ввода данных и форматирования до сложного анализа и программирования. Ключевые разделы включают работу с формулами и функциями, создание диаграмм и визуализацию данных, управление данными с помощью сводных таблиц и сценариев «что если», а также продвинутые инструменты Power Pivot, Power Query и язык VBA. Издание предназначено для широкого круга пользователей — от новичков, осваивающих основы, до опытных специалистов, желающих углубить знания в области анализа данных и автоматизации.</t>
  </si>
  <si>
    <t>Excel с Python и R: раскройте потенциал расширенной обработки и визуализации данных</t>
  </si>
  <si>
    <t>Стивен Сандерсон; Дэвид Кун</t>
  </si>
  <si>
    <t>Excel with Python and R.pdf</t>
  </si>
  <si>
    <t>Книга Стивена Сандерсона и Дэвида Куна посвящена интеграции языков программирования Python и R с Microsoft Excel для расширения возможностей анализа и визуализации данных. Она охватывает ключевые концепции: чтение и запись файлов Excel, автоматизацию задач, форматирование листов, создание сложных графиков (ggplot2/matplotlib), а также разведочный, статистический анализ и анализ временных рядов. Издание предназначено как для новичков, так и для экспертов, желающих преодолеть ограничения Excel и вывести навыки обработки данных на новый уровень.</t>
  </si>
  <si>
    <t>Excel для офисных работников</t>
  </si>
  <si>
    <t>Кильдишов В. Д.</t>
  </si>
  <si>
    <t>Excel для офисных работников.pdf</t>
  </si>
  <si>
    <t>Книга представляет собой справочник-практикум по MS Excel, предназначенный для офисных работников, желающих освоить оформление таблиц, выполнение расчетов и визуализацию данных. Ключевые разделы включают работу с таблицами, диаграммами, географическими картами, а также решение прикладных задач (расчет зарплаты, кредитов, скидок, статистики и оптимизации). Издание ориентировано на пользователей с минимальными навыками работы в Excel, включая студентов вузов и ссузов.</t>
  </si>
  <si>
    <t>Обработка и представление данных в MS Excel</t>
  </si>
  <si>
    <t>Э. Г. Бурнаева; С. Н. Леора</t>
  </si>
  <si>
    <t>EXCEL обработка_и_представление_данных.pdf</t>
  </si>
  <si>
    <t>Это учебное пособие, посвящённое эффективному использованию инструментов MS Excel для обработки, анализа и визуализации многомерных данных. Ключевые разделы книги охватывают структурирование данных в таблицах и списках, работу с базами данных и сводными таблицами, создание диаграмм, а также статистическую обработку результатов экспериментов с помощью надстройки «Пакет анализа». Издание адресовано прежде всего студентам вузов нематематических специальностей, а также будет полезно аспирантам, инженерам и научным сотрудникам, желающим освоить продвинутые возможности Excel.</t>
  </si>
  <si>
    <t>Бизнес-моделирование и анализ данных. Решение актуальных задач с помощью Microsoft Excel</t>
  </si>
  <si>
    <t>Уэйн Л. Винстон</t>
  </si>
  <si>
    <t>EXCEL-Бизнес_моделирование_и_анализ_данных.pdf</t>
  </si>
  <si>
    <t>Книга Уэйна Винстона посвящена практическому применению Microsoft Excel для бизнес-моделирования и анализа данных, предлагая более 800 задач, основанных на реальных ситуациях. Ключевые разделы охватывают основы работы с электронными таблицами, именованные диапазоны, функции поиска (ВПР, ИНДЕКС, ПОИСКПОЗ), текстовые функции и работу с датами. Издание предназначено для широкого круга специалистов — от сотрудников крупных корпораций до владельцев малого бизнеса, желающих освоить Excel на продвинутом уровне для решения прикладных бизнес-задач.</t>
  </si>
  <si>
    <t>Microsoft Office Excel 2010: разработка приложений</t>
  </si>
  <si>
    <t>А. Ю. Гарнаев; Л. В. Рудикова</t>
  </si>
  <si>
    <t>Garnaev_A._Microsoft_Exel_2010_Razrabotka_prilojeniy.pdf</t>
  </si>
  <si>
    <t>Книга Андрея Гарнаева и Лады Рудиковой посвящена разработке приложений в Microsoft Office Excel 2010 с использованием VBA. В ней рассматриваются создание пользовательских функций и макросов, работа с объектной моделью, конструирование интерфейса и автоматизация обработки данных, включая диаграммы и интеграцию с базами данных. Издание содержит более 300 примеров и предназначено для программистов, преподавателей и студентов, уже знакомых с основами работы в Excel.</t>
  </si>
  <si>
    <t>Microsoft Office Excel 2019</t>
  </si>
  <si>
    <t>Рудикова Л. В.</t>
  </si>
  <si>
    <t>Microsoft Office Excel 2019 В подлиннике.pdf</t>
  </si>
  <si>
    <t>Книга представляет собой наиболее полное руководство по Microsoft Office Excel 2019, охватывающее все возможности программы: от базовой работы с таблицами и формулами до визуализации данных с помощью диаграмм и карт, интеграции с другими приложениями и основ автоматизации на VBA. Ключевые разделы включают работу со списками и базами данных, инструменты вроде 3D Maps и Power Pivot, а также настройку интерфейса. Издание предназначено для широкого круга пользователей — от новичков до опытных специалистов, желающих освоить все функции Excel 2019 на практических примерах.</t>
  </si>
  <si>
    <t>Excel 2010: профессиональное программирование на VBA</t>
  </si>
  <si>
    <t>Джон Уокенбах</t>
  </si>
  <si>
    <t>uokenbakh_dzh_excel_2010_professional_noe_programmirovanie_n.pdf</t>
  </si>
  <si>
    <t>Это фрагмент книги Джона Уокенбаха «Excel 2010: профессиональное программирование на VBA», которая посвящена разработке приложений и автоматизации задач в Microsoft Excel с использованием языка VBA. Книга охватывает широкий спектр тем: от основ программирования и работы с пользовательскими формами до профессиональных методов, таких как управление диаграммами, сводными таблицами, создание надстроек и взаимодействие с другими приложениями. Издание предназначено для опытных пользователей Excel и разработчиков, стремящихся углубить свои навыки программирования и создания сложных приложений на VBA.</t>
  </si>
  <si>
    <t>Автоматизация рутины в Excel VBA</t>
  </si>
  <si>
    <t>Шитов, Виктор Николаевич</t>
  </si>
  <si>
    <t>Автоматизация рутины в Excel VBA.pdf</t>
  </si>
  <si>
    <t>Книга Виктора Шитова представляет собой практическое руководство по автоматизации рутинных задач в Microsoft Excel с помощью языка VBA. В ней подробно рассматриваются основы офисного программирования, работа с макрорекордером, синтаксис VBA, создание пользовательских форм и обработка событий. Издание предназначено для пользователей Excel, уже знакомых с основными приемами работы, которые хотят освоить программирование для ускорения обработки данных и создания визуализаций.</t>
  </si>
  <si>
    <t>Автоматизация рутины в Excel VBA : лайфхаки для облегчения скучных рабочих задач</t>
  </si>
  <si>
    <t>В_Шитов_Автоматизация_рутины_в_Excel_VBA_Лайфхаки_для_облегчения.pdf</t>
  </si>
  <si>
    <t>Книга Виктора Шитова посвящена автоматизации рутинных задач в Excel с помощью языка VBA. В ней рассматриваются основы офисного программирования, синтаксис VBA, работа с макросами, создание экранных форм и пользовательских функций, а также интеграция с внешними приложениями. Издание предназначено для пользователей Excel, уже знакомых с основными приемами работы, но желающих освоить программирование для повышения эффективности и автоматизации скучных рабочих процессов.</t>
  </si>
  <si>
    <t>Введение в программирование на VBA</t>
  </si>
  <si>
    <t>Введение в программирование на VBA.pdf</t>
  </si>
  <si>
    <t>Книга представляет собой введение в программирование на VBA для Excel, предназначенное для начинающих пользователей. В ней рассматриваются основы языка, включая синтаксис, работу с макросами, объектную модель Excel и автоматизацию рутинных задач. Материал ориентирован на новичков, не имеющих опыта программирования, и помогает освоить создание пользовательских функций и обработку данных.</t>
  </si>
  <si>
    <t>Решение научных и инженерных задач средствами Excel, VBA</t>
  </si>
  <si>
    <t>Гайдышев И.</t>
  </si>
  <si>
    <t>Гайдышев Решение научных и инженерных задач - Exce VBA.pdf</t>
  </si>
  <si>
    <t>Excel 2016 для чайников</t>
  </si>
  <si>
    <t>Грег Харвей</t>
  </si>
  <si>
    <t>Грег_Харвей_Excel_2016_для_чайников_Вильямс_2016.pdf</t>
  </si>
  <si>
    <t>Книга Грега Харви «Excel 2016 для чайников» представляет собой практическое руководство для начинающих пользователей, которое знакомит с основами работы в программе Microsoft Excel. В ней рассматриваются ключевые концепции: создание и форматирование таблиц, ввод и редактирование данных, использование простых формул и функций, а также построение диаграмм. Издание предназначено для новичков, которые хотят освоить базовые возможности Excel без углубления в сложные технические детали.</t>
  </si>
  <si>
    <t>Гугл Драйв. Руководство по рабочей среде Google: от календаря до таблиц</t>
  </si>
  <si>
    <t>Ренат Шагабутдинов; Ольга Королева</t>
  </si>
  <si>
    <t>Гугл_Драйв_Руководство_по_рабочей_среде.pdf</t>
  </si>
  <si>
    <t>Эта книга представляет собой практическое руководство по полному набору облачных сервисов Google, включая Почту, Диск, Документы, Таблицы, Презентации и Календарь. Особое внимание уделяется продвинутой работе с Google Таблицами, таким как функции Query, Filter, ВПР и сводные таблицы, а также организации совместного доступа и управлению файлами. Издание предназначено для широкого круга пользователей — от новичков, осваивающих основы, до специалистов, желающих углубить свои навыки анализа данных и оптимизировать рабочие процессы.</t>
  </si>
  <si>
    <t>Визуализация данных при помощи дашбордов и отчетов в Excel</t>
  </si>
  <si>
    <t>Дик Куслейка</t>
  </si>
  <si>
    <t>Куслейка_Д_Визуализация_данных_при_помощи_дашбордов_и_отчетов_в EXCEL.pdf</t>
  </si>
  <si>
    <t>Книга Дика Куслейки посвящена визуализации данных в Excel с помощью дашбордов и отчетов. В ней поэтапно рассматриваются ключевые концепции: основы построения дашбордов, работа с ключевыми показателями эффективности, сбор данных через сводные таблицы и функции (ВПР, ИНДЕКС, ПОИСКПОЗ), а также практические примеры для разных сфер. Издание предназначено для пользователей Excel любого уровня — от новичков до менеджеров, финансистов и бизнес-аналитиков.</t>
  </si>
  <si>
    <t>Математика в Excel</t>
  </si>
  <si>
    <t>Математика в Excel.pdf</t>
  </si>
  <si>
    <t>Книга посвящена применению математических методов и функций в программе Excel. В ней рассматриваются ключевые концепции, такие как работа с формулами, статистические вычисления, решение уравнений и визуализация данных с помощью графиков. Издание предназначено для пользователей начального и среднего уровня, желающих освоить математический инструментарий Excel для решения практических задач.</t>
  </si>
  <si>
    <t>Методы MS Excel для решения инженерных задач</t>
  </si>
  <si>
    <t>Н. В. Бильфельд; М. Н. Фелькер</t>
  </si>
  <si>
    <t>Методы_MS_Excel_для_решения_инженерных_задач_учебное_пособи.pdf</t>
  </si>
  <si>
    <t>Данное учебное пособие посвящено методам использования MS Excel для решения инженерных задач. Книга охватывает четыре ключевых раздела: простейшие вычисления и построение графиков, работа с массивами данных и оптимизация, основы программирования на VBA, а также разработка приложений с визуальными компонентами. Теоретический материал подкреплен примерами разной сложности с подробными комментариями. Пособие предназначено для студентов технических направлений среднего профессионального образования, начиная с уровня новичка.</t>
  </si>
  <si>
    <t>Основы построения экономических моделей в Excel</t>
  </si>
  <si>
    <t>Ю. Е. Воскобойников; И. Н. Мухина</t>
  </si>
  <si>
    <t>Основы_построения_экономических_моделей_в_Excel.pdf</t>
  </si>
  <si>
    <t>Этот учебник посвящен основам построения экономических моделей в Excel, в частности регрессионным моделям и моделям временных рядов. Ключевые разделы включают парную и множественную регрессию, а также анализ временных рядов с акцентом на практическую реализацию вычислений в табличном процессоре. Издание предназначено для учащихся колледжей (СПО), но будет полезно также бакалаврам и магистрантам экономических и управленческих направлений.</t>
  </si>
  <si>
    <t>Прикладное программирование</t>
  </si>
  <si>
    <t>С. Н. Никифоров</t>
  </si>
  <si>
    <t>Прикладное программирование VBA Excel.pdf</t>
  </si>
  <si>
    <t>Это учебное пособие по прикладному программированию в среде Excel и VBA, предназначенное для студентов вузов. В книге рассматриваются численные методы, такие как вычисление определённых интегралов методами прямоугольников, трапеций и Симпсона, а также решение нелинейных уравнений и построение интерполяционных полиномов. Материал ориентирован на помощь в выполнении лабораторных работ и подходит для начинающих пользователей, осваивающих основы программирования в Excel.</t>
  </si>
  <si>
    <t>Руководство пользователя LibreOffice Calc 7.1</t>
  </si>
  <si>
    <t>Руководство пользователя LibreOffice Calc 7.1.pdf</t>
  </si>
  <si>
    <t>Данный фрагмент представляет собой оглавление официального руководства пользователя для программы LibreOffice Calc версии 7.1. Книга посвящена работе с электронными таблицами и охватывает такие ключевые темы, как введение в интерфейс программы, навигация по ячейкам и листам, а также ввод, редактирование и форматирование данных. Материал предназначен для пользователей любого уровня, от новичков до опытных специалистов, и структурирован как пошаговое справочное руководство.</t>
  </si>
  <si>
    <t>Скульптор данных в Excel с Power Query</t>
  </si>
  <si>
    <t>Николай Павлов</t>
  </si>
  <si>
    <t>Де`Либри</t>
  </si>
  <si>
    <t>Скульптор данных в Excel с Power Query.pdf</t>
  </si>
  <si>
    <t>Книга Николая Павлова «Скульптор данных в Excel с Power Query» — первое русскоязычное руководство по надстройке Power Query, предназначенной для импорта и трансформации данных в Excel. В ней подробно рассматриваются вопросы загрузки информации из внешних источников (файлов, баз данных, интернета) и её последующего приведения в порядок для анализа. Ключевые разделы включают принципы работы в редакторе запросов, обновление данных и построение сводных таблиц на основе результатов запросов. Издание рассчитано на средних и продвинутых пользователей, желающих освоить мощный инструмент без сложных формул и макросов.</t>
  </si>
  <si>
    <t>Modern Data Analytics in Excel</t>
  </si>
  <si>
    <t>George Mount</t>
  </si>
  <si>
    <t>Современная аналитика данных в Excel.pdf</t>
  </si>
  <si>
    <t>Книга посвящена современным методам очистки, анализа и визуализации данных в Microsoft Excel с использованием инструментов Power Query и Power Pivot. Ключевые разделы охватывают создание воспроизводимых процессов подготовки данных, построение реляционных моделей и настройку аналитических показателей, а также применение динамических массивов и интеграцию с Python. Издание ориентировано на специалистов по данным, бизнес-аналитиков и продвинутых пользователей Excel, стремящихся расширить свои аналитические возможности.</t>
  </si>
  <si>
    <t>Excel VBA in Easy Steps</t>
  </si>
  <si>
    <t>Стать продвинутым пользователем Excel VBA.pdf</t>
  </si>
  <si>
    <t>Эта книга представляет собой пошаговый самоучитель по языку VBA, предназначенный для автоматизации задач и создания макросов в Excel. В ней рассматриваются ключевые концепции: запись и редактирование макросов, работа с переменными и массивами, создание процедур и функций, а также разработка пользовательских форм и обработка событий. Издание ориентировано на продвинутых пользователей Excel, желающих повысить свою эффективность, но при этом объясняет материал на доступных примерах, подходящих даже для новичков в программировании.</t>
  </si>
  <si>
    <t>Числовые расчеты в Excel</t>
  </si>
  <si>
    <t>Васильев А. Н.</t>
  </si>
  <si>
    <t>Числовые расчеты в Excel  2014.pdf</t>
  </si>
  <si>
    <t>Книга посвящена решению вычислительных задач (алгебраические уравнения, интерполирование, дифференцирование, интегрирование) с помощью приложения Excel, а также основам работы с ним и программирования в VBA. Автор стремится сломать стереотип об Excel как о «бухгалтерском инструменте» и показывает его широкие возможности для численных расчетов. Ключевая концепция — применение закона Парето: книга фокусируется на 20% функций Excel, дающих 80% результата. Издание предназначено для студентов, изучающих вычислительную математику, а также может использоваться как самоучитель или справочное пособие для специалистов.</t>
  </si>
  <si>
    <t>А. Н. Васильев</t>
  </si>
  <si>
    <t>Числовые расчеты в Excel.pdf</t>
  </si>
  <si>
    <t>Книга посвящена методам решения вычислительных задач (алгебраические уравнения, интерполирование, интегрирование, дифференциальные уравнения) с помощью приложения Excel. Автор стремится преодолеть стереотип об Excel как о «бухгалтерском инструменте», показывая его широкие возможности для научных и инженерных расчетов. Ключевой принцип изложения — «закон Парето»: выделение 20% функций Excel, дающих 80% результата. Первая часть пособия знакомит с основами работы в Excel, а последующие главы посвящены конкретным вычислительным алгоритмам и их адаптации к среде Excel. Книга предназначена для студентов, изучающих вычислительную математику, а также для специалистов и самоучек, желающих освоить численные расчеты в Excel.</t>
  </si>
  <si>
    <t>Эффективная работа в Microsoft Excel</t>
  </si>
  <si>
    <t>Алан Мюррей</t>
  </si>
  <si>
    <t>Эффективная работа в MS Excel.pdf</t>
  </si>
  <si>
    <t>Книга Алана Мюррея посвящена углублённым техникам работы в Microsoft Excel, выходящим за рамки базовых навыков. В ней рассматриваются продвинутые приёмы заполнения и форматирования данных, мощные функции, создание динамических отчётов и профессиональных диаграмм, а также инструменты Power Query и Power Pivot. Издание предназначено для пользователей Excel, стремящихся освоить продукт во всех тонкостях и автоматизировать рутинные процессы.</t>
  </si>
  <si>
    <t>Build an Orchestrator in Go (From Scratch)</t>
  </si>
  <si>
    <t>Tim Boring</t>
  </si>
  <si>
    <t>Программирование/Go</t>
  </si>
  <si>
    <t>Go</t>
  </si>
  <si>
    <t>Build an Orchestrator in Go From Scratch.pdf</t>
  </si>
  <si>
    <t>C:\Users\alexa\YandexDisk\Книги\Программирование\Go</t>
  </si>
  <si>
    <t>Эта книга Тима Боринга посвящена созданию собственного оркестратора контейнеров на языке Go с нуля. В ней последовательно разбираются ключевые компоненты системы: задачи (tasks), воркеры (workers), менеджеры (managers), планировщики (schedulers) и API, а также рассматриваются вопросы сбора метрик, обработки сбоев и реализации постоянного хранения данных. Издание предназначено для разработчиков среднего уровня, знакомых с Go и основами Docker, которые хотят глубоко понять внутреннее устройство систем оркестрации.</t>
  </si>
  <si>
    <t>Everyday Golang - The Fast Track</t>
  </si>
  <si>
    <t>Alex Ellis</t>
  </si>
  <si>
    <t>Everyday Go - The Fast Track for Golang (Alex Ellis).pdf</t>
  </si>
  <si>
    <t>Книга «Everyday Go» Алекса Эллиса представляет собой практическое руководство по языку Go, ориентированное на разработчиков, желающих освоить инструменты и шаблоны, используемые в реальных производственных проектах. Ключевые разделы охватывают создание первого приложения, кросс-компиляцию, работу с JSON и HTTP, написание CLI-утилит, юнит-тестирование, конкурентность с горутинами, работу с базами данных и конфигурационными файлами в YAML. Материал рассчитан на новичков и специалистов, стремящихся быстро перейти от основ к практическим задачам.</t>
  </si>
  <si>
    <t>Full-Stack Web Development with Go</t>
  </si>
  <si>
    <t>Tolaram, Nanik;Glynn, Nick</t>
  </si>
  <si>
    <t>Full-Stack Web Development with Go.pdf</t>
  </si>
  <si>
    <t>Эта книга посвящена созданию полнофункциональных веб-приложений с использованием языка программирования Go и фреймворка Vue.js. Она охватывает разработку как серверной части на Go, так и клиентской части с помощью Vue.js, объединяя их в единое целое. Издание предназначено для разработчиков, уже имеющих базовый опыт программирования, которые хотят освоить современный стек технологий для быстрой и эффективной веб-разработки.</t>
  </si>
  <si>
    <t>Functional Programming in Go</t>
  </si>
  <si>
    <t>Dylan Meeus</t>
  </si>
  <si>
    <t>Functional_Programming_in_Golang_Apply_functional_techniques_in.pdf</t>
  </si>
  <si>
    <t>Книга «Functional Programming in Go» Дилана Миуса посвящена применению функциональных техник в языке Go для улучшения тестируемости, читаемости и безопасности кода. В ней рассматриваются такие ключевые концепции, как функции первого класса, функции высшего порядка, чистые функции и иммутабельность, а также приводятся практические примеры, включая создание калькулятора и тестирование. Издание предназначено для разработчиков, уже знакомых с Go, которые хотят освоить функциональный подход для написания более надёжного и поддерживаемого кода.</t>
  </si>
  <si>
    <t>Go: идиомы и паттерны проектирования</t>
  </si>
  <si>
    <t>Джон Боднер</t>
  </si>
  <si>
    <t>Go идиомы 2.pdf</t>
  </si>
  <si>
    <t>Книга Джона Боднера «Go: идиомы и паттерны проектирования» (2-е издание) посвящена не просто синтаксису языка Go, а идиоматическому стилю программирования и паттернам, используемым опытными разработчиками. Ключевые разделы охватывают все аспекты языка: от типов данных и функций до обобщенных типов, конкурентности, написания тестов и работы со стандартной библиотекой. Издание предназначено для разработчиков любого уровня, которые хотят научиться писать чистый, эффективный и соответствующий лучшим практикам код на Go.</t>
  </si>
  <si>
    <t>Go на практике</t>
  </si>
  <si>
    <t>Мэтт Батчер; Мэтт Фарина</t>
  </si>
  <si>
    <t>Go на практике.pdf</t>
  </si>
  <si>
    <t>Книга «Go на практике» представляет собой практическое руководство по языку Go, построенное в формате сборника рецептов «проблема/решение/обсуждение». В ней рассматриваются ключевые концепции языка, включая параллельную обработку с помощью сопрограмм и каналов, работу с веб-серверами, маршрутизацию запросов, а также тестирование и отладку приложений. Издание адресовано опытным разработчикам, уже знакомым с основами Go, которые хотят научиться эффективно применять его для создания облачных, системных и веб-приложений.</t>
  </si>
  <si>
    <t>Mastering Go</t>
  </si>
  <si>
    <t>Mihalis Tsoukalos</t>
  </si>
  <si>
    <t>Golang_для_профи_Работа_с_сетью,_многопоточность,_структуры_данных.pdf</t>
  </si>
  <si>
    <t>Книга «Golang для профи» Михалиса Цукалоса представляет собой углубленное руководство по языку Go для опытных программистов, уже знакомых с основами. Она охватывает такие ключевые темы, как работа с сетью, многопоточность (горутины и каналы), продвинутые структуры данных, рефлексия, оптимизация и профилирование кода, а также машинное обучение. Издание предназначено для специалистов, стремящихся применять Go в реальных производственных системах и освоить его нюансы для создания высокопроизводительных приложений.</t>
  </si>
  <si>
    <t>Go_идиомы_и_паттерны_проектирования.pdf</t>
  </si>
  <si>
    <t>Книга Джона Боднера «Go: идиомы и паттерны проектирования» посвящена не просто синтаксису языка Go, а практическим подходам и шаблонам, используемым опытными разработчиками для создания чистого и идиоматического кода. В ней рассматриваются такие темы, как настройка среды разработки, работа с простыми типами и объявление переменных, а также более глубокие концепции, необходимые для профессионального программирования. Издание предназначено для разработчиков, уже знакомых с основами Go, которые хотят перейти на следующий уровень и научиться мыслить как Go-разработчик, независимо от их предыдущего опыта.</t>
  </si>
  <si>
    <t>gRPC: запуск и эксплуатация облачных приложений. Go и Java для Docker и Kubernetes</t>
  </si>
  <si>
    <t>Касун Индрасири; Данеш Курупу</t>
  </si>
  <si>
    <t>gRPC_запуск_и_эксплуатация_облачных_приложений_Go_и_Java_для_Docker.pdf</t>
  </si>
  <si>
    <t>Книга Касуна Индрасири и Данеша Курупу посвящена технологии gRPC — современному протоколу для межпроцессного взаимодействия в облачных и микросервисных архитектурах. В ней подробно рассматриваются внутреннее устройство gRPC, методы взаимодействия, вопросы безопасности и практическое применение в промышленных условиях с использованием языков Go и Java. Издание предназначено для архитекторов и разработчиков, уже знакомых с основами облачных технологий и желающих углубить свои знания о gRPC.</t>
  </si>
  <si>
    <t>Learn Go with Pocket-Sized Projects MEAP V01</t>
  </si>
  <si>
    <t>Learn Go with Pocket-Sized Projects MEAP v1.pdf</t>
  </si>
  <si>
    <t>Книга «Learn Go with Pocket-Sized Projects» представляет собой практическое руководство по изучению языка Go через серию небольших независимых проектов, охватывающих такие темы, как работа с командной строкой, REST и gRPC микросервисы, а также использование TinyGo для встраиваемых систем. Ключевые концепции включают неявные интерфейсы, тестирование кода и особенности инструментария Go для облачных вычислений. Издание предназначено для разработчиков, уже имеющих базовые навыки программирования, которые хотят освоить Go в интерактивной форме и применять его профессионально.</t>
  </si>
  <si>
    <t>Network Programming with Go: Code Secure and Reliable Network Services from Scratch</t>
  </si>
  <si>
    <t>Adam Woodbeck</t>
  </si>
  <si>
    <t>Network_Programming_with_Go_Learn_to_Code_Secure_and_Reliable_Network.pdf</t>
  </si>
  <si>
    <t>Книга «Network Programming with Go» Адама Вудбека посвящена созданию безопасных и надежных сетевых сервисов на языке Go с нуля. Она охватывает как низкоуровневое программирование сокетов (TCP, UDP, Unix-сокеты), так и разработку приложений на уровне HTTP и TLS, а также вопросы архитектуры сервисов, включая сериализацию данных, логирование и облачные решения. Издание предназначено для разработчиков, уже знакомых с Go, которые хотят углубить свои знания в области сетевого программирования и создания промышленных сетевых приложений.</t>
  </si>
  <si>
    <t>Shipping Go: Develop, deliver, discuss, design, and go again</t>
  </si>
  <si>
    <t>Joel Holmes</t>
  </si>
  <si>
    <t>Shiping Go.pdf</t>
  </si>
  <si>
    <t>Книга «Shipping Go» Джоэла Холмса посвящена полному циклу разработки и доставки программных продуктов на языке Go, с акцентом на создание обратной связи между этапами. Ключевые разделы охватывают непрерывную интеграцию, тестирование, развертывание, управление конфигурацией и контейнеризацию, а также масштабирование процессов. Издание предназначено для разработчиков среднего уровня, желающих улучшить свои навыки в организации надежного и эффективного пайплайна поставки ПО.</t>
  </si>
  <si>
    <t>Head First. Изучаем Go</t>
  </si>
  <si>
    <t>Джей Макгаврен</t>
  </si>
  <si>
    <t>Изучаем Go.pdf</t>
  </si>
  <si>
    <t>Книга «Head First. Изучаем Go» Джей Макгаврена посвящена языку программирования Go, который ориентирован на простоту, надежность и эффективную работу с сетевыми коммуникациями и многопроцессорной обработкой. Ключевые разделы охватывают основы синтаксиса, условные команды и циклы, функции, пакеты, массивы, сегменты, карты, структуры, определяемые типы, инкапсуляцию, интерфейсы, горутины и каналы, автоматизацию тестирования, веб-приложения и шаблоны HTML. Издание предназначено для начинающих программистов, желающих быстро освоить Go и сразу приступить к практическому программированию.</t>
  </si>
  <si>
    <t>Pro Go: Полное руководство по программированию надежного и эффективного программного обеспечения с использованием Golang</t>
  </si>
  <si>
    <t>Адам Фриман</t>
  </si>
  <si>
    <t>Полное_руководство_по_программированию_надежного_и_эффективного.pdf</t>
  </si>
  <si>
    <t>Эта книга представляет собой полное руководство по языку программирования Go, охватывающее создание надежного и эффективного программного обеспечения. Ключевые разделы включают понимание основ языка (типы, указатели, управление потоком, функции, структуры), использование стандартной библиотеки и практическое применение Go. Материал предназначен для разработчиков, уже имеющих базовый опыт программирования, которые хотят углубленно изучить Go и его инструменты.</t>
  </si>
  <si>
    <t>Язык Go Для Начинающих</t>
  </si>
  <si>
    <t>Максим Жашкевич</t>
  </si>
  <si>
    <t>Язык Go Для Начинающих М. Жашкевич.pdf</t>
  </si>
  <si>
    <t>Книга Максима Жашкевича «Язык Go Для Начинающих» представляет собой практическое руководство по изучению языка программирования Go — от базовых концепций до построения REST API. Ключевые разделы охватывают переменные, функции, указатели, обработку ошибок, массивы, срезы, структуры, интерфейсы, конкурентность, горутины, каналы и работу с HTTP. Материал предназначен для новичков, которые хотят начать разработку на Go, а также для тех, кто уже имеет опыт в программировании и желает освоить новый язык для бэкенд-разработки.</t>
  </si>
  <si>
    <t>Beginning IntelliJ IDEA</t>
  </si>
  <si>
    <t>Ted Hagos</t>
  </si>
  <si>
    <t>Программирование/IDE</t>
  </si>
  <si>
    <t>IDE</t>
  </si>
  <si>
    <t>Beginning  IntelliJ IDEA 2022.pdf</t>
  </si>
  <si>
    <t>C:\Users\alexa\YandexDisk\Книги\Программирование\IDE</t>
  </si>
  <si>
    <t>Книга «Beginning IntelliJ IDEA» Тэда Хагоса представляет собой практическое руководство по работе с интегрированной средой разработки IntelliJ IDEA для программирования на Java. В ней рассматриваются вопросы установки и настройки JDK и самой IDE, создания и запуска проектов, а также структура проектных файлов, включая iml-файлы. Издание предназначено для начинающих разработчиков, которые хотят освоить работу с IntelliJ IDEA с нуля.</t>
  </si>
  <si>
    <t>Visual Studio Code: End to End Editing and Debugging</t>
  </si>
  <si>
    <t>Bruce Johnson</t>
  </si>
  <si>
    <t>Bruce_Johnson_Visual_Studio_Code_End_To_End_Editing_and_Debugging.pdf</t>
  </si>
  <si>
    <t>Книга Брюса Джонсона представляет собой практическое руководство по Visual Studio Code, охватывающее полный цикл разработки: от знакомства с интерфейсом и работы с файлами до редактирования кода, интеграции с системами контроля версий, отладки, автоматизации задач и создания собственных расширений. Ключевые разделы включают настройку среды, работу с Git, юнит-тестирование и использование внешних инструментов. Издание предназначено для веб-разработчиков среднего уровня, желающих освоить продвинутые возможности редактора для повышения эффективности работы.</t>
  </si>
  <si>
    <t>Mastering Vim Quickly</t>
  </si>
  <si>
    <t>Jovica Ilic</t>
  </si>
  <si>
    <t>Jolesoft</t>
  </si>
  <si>
    <t>Jovica_Ilic_Mastering_Vim_Quickly_From_WTF_to_OMG_in_no_time_Independently.pdf</t>
  </si>
  <si>
    <t>Этот фрагмент представляет собой введение к книге «Mastering Vim Quickly», которая посвящена обучению работе с текстовым редактором Vim. Книга охватывает ключевые концепции, такие как модальное редактирование, навигация, работа с файлами, персонализация через конфигурационный файл .vimrc, а также включает разделы по философии Vim и практическим приёмам. Издание предназначено для новичков, желающих перейти от начального непонимания к уверенному владению редактором, и не требует предварительного опыта.</t>
  </si>
  <si>
    <t>Mastering Visual Studio Code: A Beginner’s Guide</t>
  </si>
  <si>
    <t>Mastering Visual Studio Code A Beginner s Guide.pdf</t>
  </si>
  <si>
    <t>Книга «Mastering Visual Studio Code: A Beginner’s Guide» представляет собой подробное руководство по освоению популярного бесплатного редактора кода Visual Studio Code. В ней рассматриваются основы работы, практические упражнения, а также ключевые возможности, такие как поддержка множества языков программирования, расширения, отладчики и кроссплатформенность. Издание предназначено для начинающих разработчиков, желающих быстро изучить VS Code и повысить свою продуктивность.</t>
  </si>
  <si>
    <t>PyCharm: professional work on Python</t>
  </si>
  <si>
    <t>Bruce M. Van Horn II; Quan Nguyen</t>
  </si>
  <si>
    <t>DMK Press</t>
  </si>
  <si>
    <t>PyCharm. Профессиональная работа на Python.pdf</t>
  </si>
  <si>
    <t>Книга «PyCharm: профессиональная работа на Python» посвящена использованию интегрированной среды разработки PyCharm для программирования на Python. В ней рассматриваются базовые и расширенные функции IDE, включая автоматизацию кода, отладку, удаленную разработку, а также создание веб-приложений с помощью Flask, Django и FastAPI, и работу с научными библиотеками. Издание адресовано как опытным разработчикам, так и новичкам.</t>
  </si>
  <si>
    <t>Java Решение практических задач 2021</t>
  </si>
  <si>
    <t>Программирование/Java</t>
  </si>
  <si>
    <t>Java</t>
  </si>
  <si>
    <t>!Java Ршение практических задач 2021.pdf</t>
  </si>
  <si>
    <t>C:\Users\alexa\YandexDisk\Книги\Программирование\Java</t>
  </si>
  <si>
    <t>Книга посвящена решению практических задач на языке Java, охватывая ключевые темы, такие как работа с коллекциями, многопоточность, ввод-вывод и алгоритмы. В ней разбираются конкретные примеры кода и типовые проблемы, с которыми сталкиваются разработчики. Материал ориентирован на специалистов среднего уровня, уже знакомых с основами Java, и направлен на углубление практических навыков.</t>
  </si>
  <si>
    <t>Java: A Beginner's Guide, Seventh Edition</t>
  </si>
  <si>
    <t>!Java. Руководство для начинающих 2019.pdf</t>
  </si>
  <si>
    <t>Фрагмент представляет собой выходные данные и оглавление книги Герберта Шилдта «Java: руководство для начинающих, 7-е издание». Это учебное пособие, посвященное основам программирования на языке Java. Ключевые разделы охватывают базовый синтаксис, типы данных, управляющие инструкции, объектно-ориентированное программирование (классы, наследование, интерфейсы), обработку исключений, многопоточность, обобщения, лямбда-выражения и введение в графические библиотеки Swing и JavaFX. Книга предназначена для начинающих программистов, желающих изучить Java с нуля.</t>
  </si>
  <si>
    <t>Algoritmy_na_Java_4-e_izdanie.pdf</t>
  </si>
  <si>
    <t>Книга «Алгоритмы на Java» Роберта Седжвика и Кевина Уэйна представляет собой фундаментальное учебное пособие по алгоритмам и структурам данных, реализованным на языке Java. Ключевые разделы охватывают сортировку, поиск, графы, строки и анализ алгоритмов, включая такие темы, как бинарный поиск, сортировка слиянием и деревья бинарного поиска. Издание предназначено для читателей, уже имеющих базовые навыки программирования на Java, и подходит как для студентов, так и для практикующих разработчиков, желающих углубить понимание алгоритмических подходов.</t>
  </si>
  <si>
    <t>Getting Started With Java Using Eclipse</t>
  </si>
  <si>
    <t>Bernhard Steppan</t>
  </si>
  <si>
    <t>Getting Started With Eclips.pdf</t>
  </si>
  <si>
    <t>Книга Бернарда Штеппана «Getting Started With Java Using Eclipse» представляет собой вводное руководство по языку программирования Java и интегрированной среде разработки Eclipse. В первой части рассматриваются основы программирования, включая машинные языки, высокоуровневые языки, компиляторы и среду выполнения, а также даётся обзор технологий Java, её преимуществ и составных частей, таких как виртуальная машина и библиотеки классов. Издание предназначено для новичков, желающих освоить Java и платформу Eclipse с нуля.</t>
  </si>
  <si>
    <t>Head First Java, 2nd Edition</t>
  </si>
  <si>
    <t>Kathy Sierra; Bert Bates</t>
  </si>
  <si>
    <t>Head_First_Java_2nd_Edition.pdf</t>
  </si>
  <si>
    <t>Книга «Head First Java» (второе издание) представляет собой вводное руководство по языку программирования Java, ориентированное на новичков. Основное внимание уделяется объектно-ориентированному программированию: в ней разбираются классы, объекты, переменные, методы, полиморфизм, наследование, работа с библиотеками Java, обработка исключений, графический интерфейс, сериализация, многопоточность и структуры данных. Материал подаётся в интерактивном и визуально насыщенном стиле, с упражнениями и примерами, чтобы помочь читателю «обмануть» мозг и эффективно усвоить сложные концепции.</t>
  </si>
  <si>
    <t>How to Read Java</t>
  </si>
  <si>
    <t>Laurenţiu Spilcă</t>
  </si>
  <si>
    <t>How to Read Java V3 2022.pdf</t>
  </si>
  <si>
    <t>Книга «How to Read Java» Лоренциу Спилкэ посвящена методам анализа, отладки и оптимизации JVM-приложений. Автор делится техниками эффективного чтения и понимания чужого кода, включая продвинутую отладку, профилирование, работу с логами, heap и thread дампами, а также визуализацию выполнения приложений. Издание предназначено для разработчиков, использующих языки JVM (Java, Scala, Kotlin), уже имеющих базовый опыт и желающих углубить навыки расследования поведения сложных систем.</t>
  </si>
  <si>
    <t>Java 17 Recipes: A Problem-Solution Approach</t>
  </si>
  <si>
    <t>Josh Juneau;Luciano Manelli</t>
  </si>
  <si>
    <t>Java 17 Recipes A Problem-Solution Approach.pdf</t>
  </si>
  <si>
    <t>Книга «Java 17 Recipes: A Problem-Solution Approach» представляет собой практическое руководство по языку Java версии 17, построенное в формате «проблема-решение». Она охватывает ключевые концепции, начиная с установки и настройки среды разработки (Java, Eclipse) и заканчивая более сложными темами, которые раскрываются в последующих главах. Издание предназначено для разработчиков среднего уровня, желающих освоить новые возможности Java 17 и получить готовые рецепты для решения типичных задач программирования.</t>
  </si>
  <si>
    <t>Java: A Beginner's Guide, Ninth Edition</t>
  </si>
  <si>
    <t>Java A Beginners Guide, 9th Edition 2022.pdf</t>
  </si>
  <si>
    <t>Фрагмент представляет собой введение к книге «Java: A Beginner’s Guide, девятое издание» Герберта Шилдта, которая является учебным пособием по языку программирования Java для начинающих. Книга, выпущенная в 2022 году издательством McGraw Hill, охватывает основы Java, а её автор — известный эксперт с многолетним опытом написания книг по программированию. Издание предназначено для новичков, желающих освоить Java с нуля, и содержит материал, структурированный для пошагового изучения.</t>
  </si>
  <si>
    <t>Java for Web Development</t>
  </si>
  <si>
    <t>AGARWAL, Sarika;GUPTA, Vivek</t>
  </si>
  <si>
    <t>Java for Web Development Create Full-..pdf</t>
  </si>
  <si>
    <t>Книга «Java for Web Development» посвящена разработке веб-приложений на Java с использованием сервлетов, JSP-страниц, шаблона MVC и подключения к базам данных. Ключевые разделы охватывают создание сервлетов и JSP, интеграцию с базами данных, интернационализацию приложений, а также развёртывание на сервере Tomcat. Издание предназначено для читателей, знакомых с объектно-ориентированным программированием и стремящихся освоить как базовый, так и продвинутый уровень веб-разработки на Java.</t>
  </si>
  <si>
    <t>Head First Java</t>
  </si>
  <si>
    <t>Sierra, Kathy;Bates, Bert;Gee, Trisha</t>
  </si>
  <si>
    <t>Java Head First 2022.pdf</t>
  </si>
  <si>
    <t>Это третье издание книги «Head First Java», охватывающее версии Java 8–17 и посвящённое практическому обучению реальному программированию на Java. Книга использует уникальный, визуально насыщенный и юмористический подход, включая такие концепции, как лямбда-выражения, стримы и объектно-ориентированное программирование. Она предназначена для новичков, желающих освоить язык с нуля, а также для опытных разработчиков, стремящихся обновить свои знания до актуальных версий Java.</t>
  </si>
  <si>
    <t>Java Persistence with Spring Data and Hibernate MEAP V04</t>
  </si>
  <si>
    <t>Cătălin Tudose</t>
  </si>
  <si>
    <t>Java Persistence with Spring Data and Hibernate 2022.pdf</t>
  </si>
  <si>
    <t>Книга посвящена персистентности в Java с использованием Spring Data и Hibernate, а также технологиям объектно-реляционного отображения (ORM). В ней рассматриваются ключевые концепции: работа с реляционными и нереляционными базами данных, стратегии маппинга, транзакции, фильтрация данных и интеграция со Spring. Издание предназначено для разработчиков, уже владеющих основами Java, SQL и Maven, и желающих углубить знания в области безопасного и гибкого управления данными.</t>
  </si>
  <si>
    <t>Java Professional Interview Guide</t>
  </si>
  <si>
    <t>Mandar Maheshwar Jog</t>
  </si>
  <si>
    <t>Java Professional Interview Guide.pdf</t>
  </si>
  <si>
    <t>Книга «Java Professional Interview Guide» представляет собой практическое руководство по подготовке к техническим собеседованиям на Java, охватывающее как фундаментальные концепции языка (архитектура, ООП, исключения, многопоточность), так и популярные фреймворки (Spring, Spring Boot, Hibernate). Материал структурирован в виде вопросов и ответов, что позволяет изучать теорию через типичные интервью-задачи. Издание предназначено для соискателей любого уровня — от новичков до опытных разработчиков, желающих систематизировать знания и освоить правильную подачу ответов.</t>
  </si>
  <si>
    <t>Java в облаке. Spring Boot, Spring Cloud, Cloud Foundry</t>
  </si>
  <si>
    <t>Java в облаке 2019.pdf</t>
  </si>
  <si>
    <t>Книга посвящена разработке и развертыванию Java-приложений в облачной среде с использованием фреймворков Spring Boot и Spring Cloud, а также платформы Cloud Foundry. В ней рассматриваются ключевые концепции облачных архитектур, такие как микросервисы, конфигурационное управление и балансировка нагрузки. Издание ориентировано на Java-разработчиков, уже имеющих опыт работы со Spring, и стремящихся освоить практические аспекты облачных технологий.</t>
  </si>
  <si>
    <t>Java: Задачи по основам программирования</t>
  </si>
  <si>
    <t>Канель Е.Г.; Фрайман З.</t>
  </si>
  <si>
    <t>Java Задачи.pdf</t>
  </si>
  <si>
    <t>Книга представляет собой сборник задач по основам программирования на языке Java, содержащий более 600 заданий, разделенных по темам. Материал охватывает ключевые концепции: переменные, типы данных, операторы, условные конструкции, циклы, методы, массивы и работу со строками. Задания внутри каждого раздела расположены по возрастанию сложности, а к примерно 150 из них приведены готовые решения. Издание предназначено для школьников и начинающих программистов, осваивающих язык как в рамках коллективных занятий, так и самостоятельно.</t>
  </si>
  <si>
    <t>Java in a Nutshell, Seventh Edition</t>
  </si>
  <si>
    <t>Ben Evans; David Flanagan</t>
  </si>
  <si>
    <t>Java Справочник  разработчика 7th 2018.pdf</t>
  </si>
  <si>
    <t>Этот фрагмент из седьмого издания книги «Java: Справочник разработчика» представляет собой введение в среду Java 11, охватывающее историю языка, виртуальную машину Java (JVM) и экосистему. Ключевые концепции включают стандартизацию платформы, разделение языка и среды выполнения, а также обзор жизненного цикла программы и вопросов безопасности. Книга предназначена как для новичков, так и для опытных разработчиков, желающих получить полное руководство по Java Standard Edition.</t>
  </si>
  <si>
    <t>Java: эффективное программирование</t>
  </si>
  <si>
    <t>Джошуа Блох</t>
  </si>
  <si>
    <t>Java эффективное программирование.pdf</t>
  </si>
  <si>
    <t>Книга «Java: эффективное программирование» Джошуа Блоха представляет собой сборник практических рекомендаций (best practices) по написанию качественного, надежного и поддерживаемого кода на языке Java. Ключевые разделы охватывают создание и уничтожение объектов, методы, общие для всех объектов, классы и интерфейсы, обобщенное программирование, перечисления и аннотации, лямбда-выражения и потоки, а также исключения и параллельные вычисления. Издание предназначено для опытных Java-разработчиков и специалистов среднего уровня, стремящихся углубить понимание языка и освоить профессиональные приемы программирования.</t>
  </si>
  <si>
    <t>Java: устранение проблем</t>
  </si>
  <si>
    <t>Лауренциу Спилкэ</t>
  </si>
  <si>
    <t>M A N N I N G</t>
  </si>
  <si>
    <t>Java, устранение проблем.pdf</t>
  </si>
  <si>
    <t>Книга Лауренциу Спилкэ посвящена практическим методикам анализа, отладки и оптимизации Java-приложений, работающих на JVM. В ней рассматриваются такие ключевые темы, как использование отладчика и условных точек останова, удаленная отладка, анализ логов и трассировок стека для выявления причин сбоев и замедлений. Издание предназначено как для начинающих, так и для опытных разработчиков, уже владеющих основами языка Java.</t>
  </si>
  <si>
    <t>Core Java for the Impatient</t>
  </si>
  <si>
    <t>Cay S. Horstmann</t>
  </si>
  <si>
    <t>Издательский дом "Вильямс"</t>
  </si>
  <si>
    <t>java-se-8-bazovyiy-kurs.pdf</t>
  </si>
  <si>
    <t>Фрагмент представляет собой выходные данные книги Кея С. Хорстманна «Java SE 8. Базовый курс», которая является введением в программирование на языке Java. Книга охватывает основополагающие структуры программирования, объектно-ориентированное программирование, интерфейсы, лямбда-выражения, наследование, исключения, обобщения, коллекции, потоки данных, ввод-вывод и параллельное программирование. Издание предназначено для начинающих и intermediate-разработчиков, желающих освоить базовые и продвинутые возможности Java SE 8.</t>
  </si>
  <si>
    <t>Java: оптимизация программ</t>
  </si>
  <si>
    <t>Бенджамин Дж. Эванс; Джеймс Гоф; Крис Ньюланд</t>
  </si>
  <si>
    <t>Java. Оптимизация программ.pdf</t>
  </si>
  <si>
    <t>Книга «Java: оптимизация программ» Бенджамина Эванса, Джеймса Гофа и Криса Ньюланда посвящена практическим методам повышения производительности приложений, работающих в среде JVM. Ключевые разделы охватывают тестирование производительности, сборку мусора, JIT-компиляцию, профилирование и языковые методы оптимизации, включая параллельную работу. Издание предназначено для опытных Java-разработчиков и специалистов, стремящихся углубить понимание внутренних механизмов JVM и научиться системно подходить к настройке производительности.</t>
  </si>
  <si>
    <t>Java. Полное руководство</t>
  </si>
  <si>
    <t>Java. Полное руководство 2022.pdf</t>
  </si>
  <si>
    <t>Данный фрагмент представляет собой выходные данные 12-го издания книги Герберта Шилдта «Java. Полное руководство», которая является исчерпывающим справочником по языку программирования Java. Книга охватывает все аспекты языка, начиная с основ (типы данных, управляющие операторы, классы и наследование) и заканчивая продвинутыми темами, такими как обобщения, лямбда-выражения, модули, библиотеки Java (включая Collections Framework, NIO, Swing) и сервлеты. Издание предназначено как для новичков, желающих изучить Java с нуля, так и для опытных специалистов, которым необходим полный и актуальный справочник по языку и его библиотекам.</t>
  </si>
  <si>
    <t>Java Coding Problems</t>
  </si>
  <si>
    <t>Anghel Leonard</t>
  </si>
  <si>
    <t>Java. Решение практических задач 2021.pdf</t>
  </si>
  <si>
    <t>Книга «Java. Решение практических задач» Анджела Леонарда посвящена решению реальных задач, с которыми сталкиваются Java-разработчики в повседневной работе. В ней рассматриваются более 300 приложений с примерами по строкам, числам, коллекциям, датам, файловому вводу/выводу, рефлексии, функциональному программированию, конкурентности и работе с Optional. Издание предназначено для Java-программистов, уже имеющих базовый опыт и желающих углубить практические навыки.</t>
  </si>
  <si>
    <t>Java: руководство для начинающих, 9-е изд.</t>
  </si>
  <si>
    <t>Науковий Свiт</t>
  </si>
  <si>
    <t>Java. Руководство для начинающих, 9-е изд..pdf</t>
  </si>
  <si>
    <t>Данный фрагмент представляет собой выходные данные девятого издания книги Герберта Шилдта «Java: руководство для начинающих», которая является учебным пособием по языку программирования Java. Книга охватывает как основы языка, так и расширенные функциональные средства, включая многопоточное программирование, обобщения, лямбда-выражения и графический интерфейс Swing. Издание предназначено для программистов, желающих изучить Java с нуля, а также для разработчиков, стремящихся повысить свой уровень знаний и мастерства.</t>
  </si>
  <si>
    <t>McGraw-Hill Education</t>
  </si>
  <si>
    <t>Java. Руководство для начинающих.pdf</t>
  </si>
  <si>
    <t>Фрагмент представляет собой выходные данные и оглавление седьмого издания книги Герберта Шилдта «Java: руководство для начинающих». Книга представляет собой учебное пособие по языку программирования Java, охватывающее фундаментальные темы, такие как типы данных, операторы, управляющие инструкции, классы, наследование, многопоточность, обобщения и лямбда-выражения. Издание предназначено для начинающих программистов, желающих освоить Java с нуля.</t>
  </si>
  <si>
    <t>Java Programming Simplified: From Novice to Professional - Start at the Beginning and Learn the World of Java</t>
  </si>
  <si>
    <t>Dr. Muneer Ahmad Dar</t>
  </si>
  <si>
    <t>JAVA.Programming.Simplified.pdf</t>
  </si>
  <si>
    <t>Эта книга представляет собой практическое руководство по языку Java, предназначенное для новичков, желающих освоить программирование с нуля. В ней подробно рассматриваются базовые конструкции языка, объектно-ориентированные концепции, а также такие темы, как обработка исключений, пакеты, интерфейсы, апплеты и работа с базами данных. Все примеры реализованы в среде Eclipse, что позволяет изучать материал самостоятельно, без помощи преподавателя.</t>
  </si>
  <si>
    <t>Java Challenges</t>
  </si>
  <si>
    <t>Michael Inden</t>
  </si>
  <si>
    <t>JavaChallenges 100 proven task.epub</t>
  </si>
  <si>
    <t>Книга «Java Challenges» Майкла Индена представляет собой сборник из более чем 100 практических задач по Java, охватывающих фундаментальные и продвинутые темы, включая рекурсию, строки, массивы, структуры данных, бинарные деревья, поиск и сортировку. Издание предназначено для читателей, уже имеющих базовые или хорошие знания Java, и направлено на углубление навыков через решение упражнений, а также подготовку к собеседованиям. Ключевая идея книги — «практика ведёт к совершенству», что отличает её от чисто теоретических учебников.</t>
  </si>
  <si>
    <t>Java: 2021 Beginners Programming Guide. 33 Best Java Tips and Tricks</t>
  </si>
  <si>
    <t>McGuire, Richard</t>
  </si>
  <si>
    <t>Java_2021_Beginners_Programming_Guide_33_Best_Java_Tips_and_Tricks.pdf</t>
  </si>
  <si>
    <t>Эта книга Ричарда МакГуайра представляет собой руководство для начинающих по языку Java, охватывающее 33 совета и трюка. В ней рассматриваются основы языка, его преимущества и недостатки, установка, выбор редактора и IDE (Eclipse, NetBeans, IntelliJ IDEA), а также такие темы, как фреймворки, плагины, библиотеки и особенности JDK 9. Ключевые разделы включают сравнение Java и JavaScript, работу с параметризованными классами и построение карьеры Java-разработчика. Материал предназначен для новичков, делающих первые шаги в изучении Java.</t>
  </si>
  <si>
    <t>java_url.txt</t>
  </si>
  <si>
    <t>TXT</t>
  </si>
  <si>
    <t>Java для всех</t>
  </si>
  <si>
    <t>Алексей Васильев</t>
  </si>
  <si>
    <t>Java_для_всех 2020.pdf</t>
  </si>
  <si>
    <t>Это книга Алексея Васильева, посвященная обучению языку программирования Java с нуля. В ней рассматриваются базовые типы данных, управляющие инструкции, объектно-ориентированное программирование, создание классов и интерфейсов, а также лямбда-выражения и обобщенные классы. Каждая глава содержит примеры кода с подробными пояснениями и разбором готовых программ. Книга предназначена для новичков, не имеющих опыта программирования, и позволяет освоить Java на профессиональном уровне благодаря уникальной методике автора.</t>
  </si>
  <si>
    <t>Java. Новое поколение разработки</t>
  </si>
  <si>
    <t>Эванс Б.; Вербург М.</t>
  </si>
  <si>
    <t>Java_новое поколение разработки.pdf</t>
  </si>
  <si>
    <t>Книга посвящена новым возможностям Java 7 и альтернативным языкам для виртуальной машины Java (JVM), таким как Groovy, Scala и Clojure. В ней рассматриваются ключевые концепции: работа с ресурсами в блоке try, неблокирующий ввод-вывод (NIO.2), параллелизм, функциональное программирование, а также современные подходы к тестированию, сборке и непрерывной интеграции. Издание предназначено для разработчиков, уже знакомых с Java и стремящихся освоить современные технологии и методы разработки.</t>
  </si>
  <si>
    <t>Kafka in Action.pdf</t>
  </si>
  <si>
    <t>Книга «Kafka in Action» представляет собой практическое руководство по Apache Kafka, охватывающее её архитектуру, основные концепции (продюсеры, консьюмеры, брокеры, топики, партиции, логи коммитов) и экосистему (Kafka Streams, Kafka Connect, ksqlDB). Издание разделено на три части: знакомство с Kafka, её применение в проектах и продвинутые темы, включая защиту и управление схемами. Книга предназначена для разработчиков и инженеров, имеющих базовый опыт работы с Java, и подходит как для новичков, так и для специалистов, желающих углубить знания.</t>
  </si>
  <si>
    <t>Kafka Streams in Action, Second Edition</t>
  </si>
  <si>
    <t>William Bejeck</t>
  </si>
  <si>
    <t>Kafka Streams in Action, Second Edition 2022.pdf</t>
  </si>
  <si>
    <t>Книга «Kafka Streams in Action, Second Edition» посвящена разработке приложений для обработки событий в реальном времени с использованием платформы Kafka Streams. В ней рассматриваются ключевые концепции, такие как различие между stateless и stateful приложениями, а также stateful операции: агрегации, редуцирование и соединения потоков. Издание предназначено для разработчиков, уже знакомых с основами Kafka, которые хотят углубить знания в области построения мощных потоковых приложений на Java 17.</t>
  </si>
  <si>
    <t>Java SE 8. Вводный курс</t>
  </si>
  <si>
    <t>Кей С. Хорстманн</t>
  </si>
  <si>
    <t>Khorstmann_-_Java_SE_8_Vvodny_kurs.pdf</t>
  </si>
  <si>
    <t>Этот фрагмент из вводного курса по Java SE 8, автором которого является Кей Хорстманн, посвящён основам программирования на языке Java. Ключевые концепции, рассматриваемые в книге, включают синтаксис языка, объектно-ориентированное программирование, работу с коллекциями, лямбда-выражениями и потоками данных. Материал предназначен для новичков и программистов, желающих освоить современные возможности Java 8.</t>
  </si>
  <si>
    <t>Mastering Java: A Beginner's Guide</t>
  </si>
  <si>
    <t>Mastering Java A Beginners Guide (Sufyan bin Uzayr).pdf</t>
  </si>
  <si>
    <t>Эта книга представляет собой введение в язык программирования Java для начинающих. Она охватывает базовый синтаксис, типы данных, управляющие конструкции и основы объектно-ориентированного программирования, включая классы, наследование и полиморфизм. Издание также содержит практические руководства по установке среды разработки и работе с пакетами. Материал рассчитан на читателей любого возраста, только начинающих изучать Java.</t>
  </si>
  <si>
    <t>Numerical Methods Using Java: For Data Science, Analysis, and Engineering</t>
  </si>
  <si>
    <t>Numerical_Methods_Using_Java_For_Data_Science,_Analysis,_and_Eng.pdf</t>
  </si>
  <si>
    <t>Книга «Numerical Methods Using Java» посвящена применению численных методов для решения задач науки о данных, анализа и инженерии с использованием языка Java. В ней рассматриваются такие ключевые разделы, как линейная алгебра, поиск корней уравнений, аппроксимация кривых, численное дифференцирование и интегрирование, решение обыкновенных и дифференциальных уравнений в частных производных, оптимизация, статистика, регрессия и анализ временных рядов. Издание предназначено для специалистов и разработчиков, имеющих базовые знания в программировании и математике, которые хотят применять Java для вычислительных задач.</t>
  </si>
  <si>
    <t>OCP Oracle Certified Professional Java SE 17 Developer Study Guide</t>
  </si>
  <si>
    <t>Scott Selikoff; Jeanne Boyarsky</t>
  </si>
  <si>
    <t>Oracle_Certified_Professional_Java_SE_17_Developer_Study_Guide.pdf</t>
  </si>
  <si>
    <t>Это руководство предназначено для подготовки к экзамену Oracle Certified Professional Java SE 17 Developer (1Z0-829). Книга охватывает ключевые концепции языка Java, включая синтаксис, объектно-ориентированное программирование, исключения, коллекции и функциональные возможности. Материал рассчитан на специалистов, уже имеющих опыт работы с Java и стремящихся получить официальную сертификацию.</t>
  </si>
  <si>
    <t>Practical Java Programming for IoT, AI, and Blockchain</t>
  </si>
  <si>
    <t>Dr. Perry Xiao</t>
  </si>
  <si>
    <t>Perry_Xiao_Practical_Java_Programming_for_IoT,_AI,_and_Blockchain.pdf</t>
  </si>
  <si>
    <t>Книга «Practical Java Programming for IoT, AI, and Blockchain» посвящена практическому применению Java в трёх передовых областях: Интернете вещей (IoT), искусственном интеллекте (AI) и блокчейне. В ней рассматриваются основы языка Java, его архитектура и версии, а также фреймворк Spring, после чего, судя по структуре, переходят к конкретным проектам и решениям. Издание предназначено для программистов среднего уровня, желающих расширить свои навыки и научиться использовать Java для создания современных технологических решений.</t>
  </si>
  <si>
    <t>Seriously Good Software: Code that Works, Survives, and Wins</t>
  </si>
  <si>
    <t>Marco Faella</t>
  </si>
  <si>
    <t>Seriously_Good_Software-01.pdf</t>
  </si>
  <si>
    <t>Эта книга представляет собой руководство для программистов среднего уровня, посвященное созданию качественного программного кода, который не только работает, но и является надежным, эффективным и пригодным для повторного использования. В ней рассматриваются такие ключевые качества ПО, как временная и пространственная эффективность, читаемость, потокобезопасность и надежность (через контрактное проектирование и тестирование), а также практические компромиссы между ними. Издание предназначено для разработчиков, уже знакомых с основами программирования и стремящихся перейти от написания просто работающего кода к созданию профессионального, устойчивого и сопровождаемого программного обеспечения.</t>
  </si>
  <si>
    <t>Java: The Complete Reference, 10th Edition</t>
  </si>
  <si>
    <t>shildt_gerbert_java_polnoe_rukovodstvo-2018.pdf</t>
  </si>
  <si>
    <t>Это 10-е издание полного руководства по языку Java от Герберта Шилдта. Книга охватывает все аспекты языка, начиная с основ (типы данных, классы, наследование) и заканчивая продвинутыми темами, такими как обобщения, лямбда-выражения, модули, многопоточность, а также библиотеки Swing и JavaFX для создания графического интерфейса. Издание предназначено как для новичков, желающих освоить программирование на Java, так и для опытных специалистов, которым нужен исчерпывающий справочник по языку и его библиотекам.</t>
  </si>
  <si>
    <t>Spring Boot in Practice MEAP V09</t>
  </si>
  <si>
    <t>Somnath Musib</t>
  </si>
  <si>
    <t>Somnath_Musib_Spring_Boot_in_Practice_Version_9_Manning_Publications 2021.pdf</t>
  </si>
  <si>
    <t>Книга Сомната Мусиба «Spring Boot in Practice» посвящена практическому освоению фреймворка Spring Boot, самого популярного Java-фреймворка для веб-разработки. В ней подробно разбираются ключевые концепции, такие как автоконфигурация, актуатор, безопасность, разработка REST-сервисов, реактивные приложения и развертывание в облаке. Издание предназначено для разработчиков, уже знакомых с основами Java, которые хотят углубить понимание внутренних механизмов Spring Boot и освоить продвинутые техники для повседневной работы.</t>
  </si>
  <si>
    <t>Spring Boot по-быстрому</t>
  </si>
  <si>
    <t>Марк Хеклер</t>
  </si>
  <si>
    <t>Spring Boot по-быстрому.pdf</t>
  </si>
  <si>
    <t>Книга Марка Хеклера «Spring Boot по-быстрому» представляет собой практическое руководство по разработке облачных приложений на Java и Kotlin с использованием фреймворка Spring Boot. Ключевые концепции включают упрощение управления зависимостями через стартовые пакеты, создание исполняемых JAR-файлов для удобного развертывания, а также автоконфигурацию; среди разделов — создание REST API, работа с базами данных, реактивное программирование, тестирование, безопасность и развертывание. Книга предназначена для разработчиков, желающих быстро и эффективно освоить создание нативных облачных приложений, от новичков до специалистов среднего уровня.</t>
  </si>
  <si>
    <t>Spring in Action</t>
  </si>
  <si>
    <t>Craig Walls</t>
  </si>
  <si>
    <t>Spring in Action 2022—05—31.pdf</t>
  </si>
  <si>
    <t>Книга «Spring in Action» (пятое издание) Крейга Уоллса посвящена фреймворку Spring 5.0 и охватывает все ключевые аспекты разработки на Java, включая создание веб-приложений, работу с данными, безопасность, REST-сервисы, реактивное программирование и облачные решения. Основные разделы структурированы по частям: от основ и интеграции до реактивного и облачно-ориентированного программирования, а также развертывания и мониторинга приложений. Книга предназначена для Java-разработчиков любого уровня — от новичков, желающих освоить Spring, до опытных специалистов, стремящихся углубить знания о современных подходах фреймворка.</t>
  </si>
  <si>
    <t>Spring in Action, Sixth Edition</t>
  </si>
  <si>
    <t>Spring in Action, 6th Edition.pdf</t>
  </si>
  <si>
    <t>Книга «Spring in Action, 6-е издание» Крейга Уоллса представляет собой практическое руководство по фреймворку Spring, охватывающее как основы, так и продвинутые темы, включая разработку веб-приложений, работу с данными, безопасность, создание REST-сервисов, реактивное программирование и развертывание. Ключевые разделы книги разделены на четыре части: основы Spring, интеграция, реактивное программирование и развертывание с мониторингом. Издание предназначено как для новичков, желающих освоить фреймворк с нуля, так и для опытных разработчиков, стремящихся углубить знания о новейших возможностях экосистемы Spring 5.</t>
  </si>
  <si>
    <t>Spring REST</t>
  </si>
  <si>
    <t>Balaji Varanasi; Maxim Bartkov</t>
  </si>
  <si>
    <t>Spring REST Building Java Microservices.epub</t>
  </si>
  <si>
    <t>Книга «Spring REST» Баладжи Варанаси и Максима Барткова представляет собой практическое руководство по проектированию и разработке RESTful API с использованием экосистемы Spring. В ней рассматриваются ключевые концепции REST, HTTP и веб-инфраструктуры, а также технологии Spring Boot, Spring MVC, Spring Data JPA и Spring Security. Издание охватывает такие темы, как версионирование, безопасность, документирование с помощью Swagger, обработка ошибок, пагинация и тестирование REST-сервисов. Книга предназначена для разработчиков, уже знакомых с основами Java и Spring, которые хотят углубить свои знания в создании микросервисов и облачных приложений.</t>
  </si>
  <si>
    <t>Spring Security in Action</t>
  </si>
  <si>
    <t>Laurentiu Spilca</t>
  </si>
  <si>
    <t>Spring Security in Action.pdf</t>
  </si>
  <si>
    <t>Книга «Spring Security in Action» Лоренциу Спилки посвящена практическому применению фреймворка Spring Security для обеспечения безопасности веб-приложений на Java. В ней подробно разбираются ключевые концепции, такие как AuthenticationManager, AuthenticationProvider, управление пользователями и паролями, а также настройка авторизации, фильтров, CSRF-защиты и OAuth 2.0. Издание охватывает как базовые, так и продвинутые темы, включая реактивные приложения и тестирование безопасности, и предназначено для Java-разработчиков, уже знакомых с Spring, которые хотят углубить свои знания в области защиты приложений.</t>
  </si>
  <si>
    <t>Spring Security в действии</t>
  </si>
  <si>
    <t>Spring Security в действии.pdf</t>
  </si>
  <si>
    <t>Книга «Spring Security в действии» представляет собой практическое руководство по использованию фреймворка Spring Security для защиты корпоративных Java-приложений. В издании подробно рассматриваются ключевые концепции безопасности, включая управление пользователями и паролями, настройку аутентификации и авторизации, защиту от CSRF и CORS, а также внедрение протоколов OAuth 2 и OpenID Connect. Отдельные разделы посвящены безопасности реактивных приложений и тестированию конфигураций безопасности. Книга предназначена для опытных разработчиков Java и Spring, желающих углубить свои знания в области защиты программного обеспечения.</t>
  </si>
  <si>
    <t>Spring Security</t>
  </si>
  <si>
    <t>Badr Nasslahsen</t>
  </si>
  <si>
    <t>Spring Security.zip</t>
  </si>
  <si>
    <t>Книга Бадра Насслахсена «Spring Security. 4-е издание» посвящена защите Java-приложений с помощью фреймворка Spring Security, охватывая аутентификацию, управление доступом и безопасность RESTful-сервисов и микросервисов. Ключевые разделы включают основы безопасности, различные методы аутентификации (JDBC, LDAP, OAuth 2, SAML 2), детализированный контроль доступа и продвинутые темы, такие как управление сессиями и миграция на Spring Security 6. Издание обновлено для Java 17/21 и Spring Security 6, а также рассматривает интеграцию с GraalVM. Книга предназначена для разработчиков, уже знакомых с Java и Spring, стремящихся углубить знания в области безопасности приложений.</t>
  </si>
  <si>
    <t>Spring быстро</t>
  </si>
  <si>
    <t>Spring быстро [2023] Лауренциу Спилкэ.pdf</t>
  </si>
  <si>
    <t>Книга Лауренциу Спилкэ «Spring быстро» представляет собой практическое руководство по освоению фреймворка Spring для Java-разработчиков. Издание охватывает ключевые концепции, такие как контекст Spring, бины, аспектно-ориентированное программирование (АОП), а также реализацию веб-приложений и REST-сервисов с использованием Spring Boot и Spring MVC. Материал предназначен для Java-программистов, желающих быстро начать создавать приложения на Spring, и включает темы тестирования, работы с базами данных и транзакций.</t>
  </si>
  <si>
    <t>Spring в действии</t>
  </si>
  <si>
    <t>Крейг Уоллс</t>
  </si>
  <si>
    <t>Spring в действии.pdf</t>
  </si>
  <si>
    <t>Книга «Spring в действии» Крейга Уоллса посвящена фреймворку Spring Framework для разработки Java-приложений, с акцентом на версию Spring 3.0. В ней рассматриваются ключевые концепции, такие как внедрение зависимостей, аспектно-ориентированное программирование, работа с контейнером IoC, язык выражений SpEL и поддержка REST. Издание предназначено как для начинающих, так и для опытных разработчиков, желающих освоить новые возможности Spring 3.0.</t>
  </si>
  <si>
    <t>Spring и Spring Boot. Разработка облачных приложений на Java</t>
  </si>
  <si>
    <t>Spring и Spring Boot. Разработка облачных приложений на Java.pdf</t>
  </si>
  <si>
    <t>Книга посвящена разработке облачных приложений на Java с использованием фреймворков Spring и Spring Boot. В ней рассматриваются ключевые концепции, такие как внедрение зависимостей, конфигурация приложений, работа с базами данных и создание микросервисов. Издание предназначено для разработчиков, уже знакомых с основами Java, которые хотят освоить современные подходы к построению масштабируемых и облачно-ориентированных приложений.</t>
  </si>
  <si>
    <t>Spring 4 для профессионалов</t>
  </si>
  <si>
    <t>Крис Шеффер; Кларенс Хо; Роб Харроп</t>
  </si>
  <si>
    <t>И.Д. Вильяме</t>
  </si>
  <si>
    <t>Spring_4_dlya_professionalov.pdf</t>
  </si>
  <si>
    <t>Фрагмент представляет собой выходные данные и оглавление книги «Spring 4 для профессионалов» (4-е издание) авторов Криса Шефера, Кларенса Хо и Роба Харропа. Книга посвящена фреймворку Spring 4 и охватывает такие ключевые концепции, как инверсия управления (IoC), внедрение зависимостей (DI), аспектно-ориентированное программирование (AOP), работа с базами данных (JDBC, Hibernate, JPA), управление транзакциями, тестирование и разработка веб-приложений. Издание предназначено для опытных разработчиков и профессионалов, уже знакомых с основами Java и Spring.</t>
  </si>
  <si>
    <t>Spring in Action Covers Spring 5.0</t>
  </si>
  <si>
    <t>0101</t>
  </si>
  <si>
    <t>Spring_in_Action_Covers_Spring_5_0_перевод_на_русский_.fb2</t>
  </si>
  <si>
    <t>Фрагмент книги «Spring in Action» (перевод на русский) посвящен основам работы с фреймворком Spring 5.0. В нем рассматриваются ключевые концепции: контейнер Spring (application context), управление компонентами (бинами) и внедрение зависимостей (dependency injection) как способ связывания частей приложения. Автор обсуждает эволюцию разработки от веб-приложений к микросервисам и реактивному программированию, а также переход от XML-конфигурации к конфигурации на основе Java. Книга предназначена для разработчиков, уже знакомых с основами программирования, которые хотят освоить современные подходы к созданию приложений на Spring.</t>
  </si>
  <si>
    <t>SQL Server Database Programming with Java</t>
  </si>
  <si>
    <t>Ying Bai</t>
  </si>
  <si>
    <t>SQL Server Database Programming with Java.pdf</t>
  </si>
  <si>
    <t>Книга посвящена практическому программированию баз данных с использованием Java и Microsoft SQL Server, охватывая как фундаментальные, так и продвинутые техники, включая Java Web-приложения и веб-сервисы. В основе изложения лежит реальная учебная база данных CSE_DEPT, а ключевые разделы включают работу с JDBC API, JDBC RowSet, JavaServer Pages, JavaServer Faces и Enterprise Java Beans на примере 30 проектов. Издание предназначено для студентов и программистов, желающих освоить коммерческую разработку баз данных на Java, начиная с базового уровня.</t>
  </si>
  <si>
    <t>The Well-Grounded Java Developer, Second Edition MEAP V06</t>
  </si>
  <si>
    <t>Martijn Verburg; Jason Clark; Benjamin Evans</t>
  </si>
  <si>
    <t>The Well-Grounded Java Developer 2021.pdf</t>
  </si>
  <si>
    <t>Книга предназначена для Java-разработчиков, желающих освоить новейшие возможности языка и платформы, особенно при переходе с Java 8 на Java 11 и 17. Она охватывает ключевые концепции, такие как модульная система, байт-код, конкурентность, производительность, а также знакомит с альтернативными JVM-языками (Kotlin и Clojure). Издание рассчитано на специалистов среднего и продвинутого уровня, стремящихся углубить понимание внутреннего устройства платформы и современных практик разработки.</t>
  </si>
  <si>
    <t>The Java Workshop</t>
  </si>
  <si>
    <t>David Cuartielles; Andreas Göransson; Eric Foster-Johnson</t>
  </si>
  <si>
    <t>The_Java_Workshop_A_practical,_no_nonsense_guide_to_Java_David_Cuartielles.pdf</t>
  </si>
  <si>
    <t>Это фрагмент практического руководства по Java, которое охватывает основы языка: синтаксис, типы данных, переменные, операторы, управление потоком (условия, циклы) и работу с командной строкой. Книга построена на упражнениях и активностях, начиная с программы Hello World и заканчивая более сложными темами, такими как тернарный оператор и улучшенный switch в Java 12. Издание предназначено для новичков, желающих освоить Java с нуля через практику, без излишней теории.</t>
  </si>
  <si>
    <t>Top 1000 Java Interview Questions: Includes Spring, Hibernate, Microservices, GIT, Maven, JSP, AWS, Cloud Computing</t>
  </si>
  <si>
    <t>Knowledge Powerhouse</t>
  </si>
  <si>
    <t>Top_1000_Java_Interview_Questions_Includes_Spring,_Hibernate,_Microservices.pdf</t>
  </si>
  <si>
    <t>Эта книга представляет собой сборник из 1000 вопросов и ответов для подготовки к собеседованию по Java, охватывающий как базовые темы (JDK, JVM, ООП), так и продвинутые фреймворки (Spring, Hibernate, Microservices). Ключевые разделы включают основы Java, принципы ООП, наследование, полиморфизм, абстракцию, сериализацию и работу с пакетами. Материал предназначен для специалистов уровня Junior и Middle, готовящихся к техническим интервью.</t>
  </si>
  <si>
    <t>Web Development Toolkit for Java Developers</t>
  </si>
  <si>
    <t>Dabhi, Nirali;Patel, Dharmendra;Patel, Atul</t>
  </si>
  <si>
    <t>Web Development Toolkit for Java Developers.pdf</t>
  </si>
  <si>
    <t>Книга «Web Development Toolkit for Java Developers» представляет собой практическое руководство по созданию динамических, безопасных и масштабируемых веб-приложений на Java. В ней рассматриваются ключевые концепции и инструменты веб-разработки, включая современные фреймворки и подходы к обеспечению безопасности. Издание предназначено для Java-разработчиков среднего и продвинутого уровня, желающих углубить свои навыки в создании веб-решений.</t>
  </si>
  <si>
    <t>Yazyk programmirovania Java SE 8 Podrobnoe opisanie JLS 8</t>
  </si>
  <si>
    <t>Yazyk_programmirovania_Java_SE_8_Podrobnoe_opisanie_JLS_8.pdf</t>
  </si>
  <si>
    <t>Данный фрагмент книги «Язык программирования Java SE 8. Подробное описание (JLS 8)» представляет собой официальную спецификацию языка Java, детально описывающую его синтаксис, семантику и типы. Ключевые концепции включают формальное определение лексической структуры, системы типов, классов, интерфейсов и исключений, а также особенности версии Java 8, такие как лямбда-выражения. Книга предназначена для опытных разработчиков и специалистов, которым необходимо точное и исчерпывающее понимание правил языка, а не для новичков.</t>
  </si>
  <si>
    <t>Think Data Structures: Algorithms and Information Retrieval in Java</t>
  </si>
  <si>
    <t>Allen B. Downey</t>
  </si>
  <si>
    <t>Алгоритмы и структуры данных JAVA.pdf</t>
  </si>
  <si>
    <t>Книга Аллена Б. Доуни посвящена изучению алгоритмов и структур данных на языке Java с акцентом на задачи извлечения информации. В ней рассматриваются такие ключевые концепции, как списки, словари, хеш-таблицы, бинарные деревья поиска, анализ производительности алгоритмов и сортировка. Практические упражнения включают создание веб-поисковика, парсинг страниц Википедии и реализацию интерфейсов Map. Издание рассчитано на читателей, уже имеющих базовые навыки программирования на Java, и подходит как для начинающих специалистов, так и для тех, кто хочет углубить понимание эффективной работы с данными.</t>
  </si>
  <si>
    <t>Алгоритмы на Java: Современный подход</t>
  </si>
  <si>
    <t>Владимир Низов</t>
  </si>
  <si>
    <t>Алгоритмы на Java. Современный подход.pdf</t>
  </si>
  <si>
    <t>Книга Владимира Низова «Алгоритмы на Java: Современный подход» представляет собой практическое руководство по алгоритмам и структурам данных, реализованным на языке Java. Ключевые разделы охватывают фундаментальные структуры (массивы, стеки, деревья, графы), основные алгоритмы (сортировка, поиск), а также продвинутые темы: динамическое программирование, жадные алгоритмы, BFS/DFS, алгоритм Дейкстры и работу с префиксными деревьями. Издание включает обширный решебник с разбором типовых задач и шпаргалку, что делает его полезным для практикующих разработчиков, готовящихся к техническим собеседованиям. Материал рассчитан на читателей, уже имеющих базовые навыки программирования на Java, и стремится соединить теорию с современными подходами к решению задач.</t>
  </si>
  <si>
    <t>Learn Java the Easy Way: A Hands-On Introduction to Programming</t>
  </si>
  <si>
    <t>Bryson Payne</t>
  </si>
  <si>
    <t>Брайсон_Пейн_Легкий_способ_выучить JAVA.pdf</t>
  </si>
  <si>
    <t>Книга Брайсона Пейна «Легкий способ выучить Java» представляет собой практическое руководство по программированию на Java для начинающих. В ней рассматриваются основы языка, установка и настройка сред разработки Eclipse и Android Studio, а также работа с интерактивной консолью JShell для быстрого освоения синтаксиса. Особое внимание уделяется созданию практических проектов, включая разработку приложений для Android. Издание рассчитано на новичков, желающих быстро начать программировать на Java с нуля.</t>
  </si>
  <si>
    <t>Введение в объектно-ориентированный дизайн с Java</t>
  </si>
  <si>
    <t>Введение в о-о дизайн с Java 2022.pdf</t>
  </si>
  <si>
    <t>Эта книга посвящена объектно-ориентированному анализу и проектированию программного обеспечения на Java. В ней рассматриваются ключевые принципы ООД (абстракция, инкапсуляция, декомпозиция), а также порождающие, структурные и поведенческие паттерны проектирования, включая UML-моделирование. Издание предназначено для читателей, уже знакомых с языком Java и желающих углубить знания в области создания гибкого и модульного кода.</t>
  </si>
  <si>
    <t>Real-World Software Development</t>
  </si>
  <si>
    <t>Raoul-Gabriel Urma; Richard Warburton</t>
  </si>
  <si>
    <t>Гид Java-разработчика.pdf</t>
  </si>
  <si>
    <t>Книга «Гид Java-разработчика» представляет собой проектно-ориентированное руководство по разработке программного обеспечения на Java, в котором авторы разбирают популярные приёмы объектно-ориентированного программирования, включая разработку через тестирование и функциональное программирование. Ключевые разделы охватывают принципы SOLID, тестирование с использованием JUnit, анализ связности и связанности кода, а также антишаблоны вроде класса-бога и дублирования кода. Издание предназначено для разработчиков, уже знакомых с основами Java, которые хотят освоить практические навыки создания поддерживаемого и качественного программного обеспечения.</t>
  </si>
  <si>
    <t>Грокаем стриминг</t>
  </si>
  <si>
    <t>Джош Фишер; Нин Ван</t>
  </si>
  <si>
    <t>Грокаем стриминг.pdf</t>
  </si>
  <si>
    <t>Книга посвящена созданию стриминговых приложений и обработке событий в реальном времени, объясняя базовые концепции потоковой обработки данных без привязки к конкретным фреймворкам. В ней рассматриваются примеры событий, принципы работы стриминговых систем, а также их сравнение с серверными службами и системами пакетной обработки. Издание предназначено для новичков, не имеющих опыта работы со стриминговыми системами, и использует примеры на языке Java.</t>
  </si>
  <si>
    <t>Effective Java</t>
  </si>
  <si>
    <t>Joshua Bloch</t>
  </si>
  <si>
    <t>Джошуа_Блох_JAVA Эффективное_программирование.pdf</t>
  </si>
  <si>
    <t>Книга «Java: эффективное программирование» Джошуа Блоха посвящена лучшим практикам и проектным решениям для создания качественного, надежного и поддерживаемого кода на языке Java. Ключевые разделы охватывают создание и уничтожение объектов, методы, общие для всех объектов, классы и интерфейсы, обобщенное программирование, перечисления и аннотации, лямбда-выражения и потоки, а также исключения и параллельные вычисления. Издание предназначено для опытных разработчиков и специалистов, стремящихся углубить понимание языка и освоить профессиональные приемы работы.</t>
  </si>
  <si>
    <t>Доуни_А_Алгоритмы_и_структуры_данных JAVA.pdf</t>
  </si>
  <si>
    <t>Эта книга посвящена реализации эффективных алгоритмов и структур данных на языке Java, а также методам анализа их производительности. Ключевые разделы охватывают работу со списками (ArrayList, LinkedList), словарями (HashMap, TreeMap), хешированием, бинарными деревьями поиска, сортировкой и созданием веб-поисковика с индексацией страниц Википедии. Издание предназначено для программистов, уже знакомых с основами Java, которые хотят углубить понимание структур данных и научиться прогнозировать скорость и потребление памяти своих программ.</t>
  </si>
  <si>
    <t>Java: Задачи по основам программирования. Более 600 задач, около 150 задач с решениями. Книга для школьников ... и не только</t>
  </si>
  <si>
    <t>Капель Евгений Гогаевич; Фрайман Зэев</t>
  </si>
  <si>
    <t>Задачи по программированию на JAVA 2019.pdf</t>
  </si>
  <si>
    <t>Эта книга представляет собой сборник задач по основам программирования на языке Java, содержащий более 600 заданий и около 150 решений. Материал структурирован по темам, начиная с переменных и типов данных, заканчивая двумерными массивами и работой со строками. Задания внутри разделов расположены по возрастанию сложности, что позволяет отслеживать прогресс в обучении. Издание предназначено для школьников и всех, кто начинает осваивать программирование, как в рамках коллективных занятий, так и для самостоятельного изучения.</t>
  </si>
  <si>
    <t>Kathy Sierra;Bert Bates</t>
  </si>
  <si>
    <t>Изучаем JAVA.pdf</t>
  </si>
  <si>
    <t>Книга «Изучаем Java» (2-е издание) Кэти Сьерры и Берта Бейтса представляет собой учебник по языку Java и объектно-ориентированному программированию, основанный на уникальной визуальной методике обучения на практике. Ключевые разделы охватывают синтаксис и концепции языка, работу с потоками, сетевое и распределенное программирование, а также структуры данных и сохранение объектов. Издание предназначено для новичков, желающих не просто выучить теорию, а стать программистами, и закрепляет материал с помощью многочисленных упражнений, тестов и 42 Java-пазлов.</t>
  </si>
  <si>
    <t>Java. Библиотека профессионала. Том 2</t>
  </si>
  <si>
    <t>Кей Хорстманн</t>
  </si>
  <si>
    <t>Кей_Хорстманн_Java_Biblioteka том2.pdf</t>
  </si>
  <si>
    <t>Фрагмент книги Кея Хорстманна посвящен профессиональной работе с библиотеками Java, в частности, рассматриваются продвинутые темы, такие как работа с потоками ввода-вывода, сетевое программирование и базы данных. Ключевые концепции включают обработку данных, многопоточность и взаимодействие с внешними ресурсами. Книга предназначена для опытных разработчиков на Java, которые уже освоили базовый синтаксис и хотят углубить знания в области корпоративной разработки.</t>
  </si>
  <si>
    <t>Классические задачи Computer Science на языке Java</t>
  </si>
  <si>
    <t>Дэвид Копец</t>
  </si>
  <si>
    <t>Классические задачи Computer Science на языке Java 2022.pdf</t>
  </si>
  <si>
    <t>Книга Дэвида Копца представляет собой сборник из 55 практических примеров решения классических задач Computer Science на языке Java, охватывающих такие темы, как базовые алгоритмы, задачи поиска, графовые алгоритмы, генетические алгоритмы, кластеризация и нейронные сети. Ключевые разделы включают работу с ограничениями, состязательный поиск и простейшие нейронные сети. Издание предназначено для программистов среднего и продвинутого уровня, желающих освоить готовые эффективные решения и принципы, применяемые в разработке программного обеспечения.</t>
  </si>
  <si>
    <t>Объектно-ориентированное программирование на Java. Платформа Java SE</t>
  </si>
  <si>
    <t>Объектно_ориентированное_программирование_на_Java.pdf</t>
  </si>
  <si>
    <t>Эта книга представляет собой учебное пособие по объектно-ориентированному программированию на платформе Java SE, охватывающее полный цикл разработки — от синтаксиса и базовых конструкций до продвинутых тем, таких как коллекции, многопоточность, работа с базами данных и сетевое взаимодействие. Ключевые разделы включают основы языка (переменные, циклы, массивы), принципы ООП (инкапсуляция, наследование, полиморфизм), а также инструменты разработки (отладка, тестирование, системы контроля версий). Книга предназначена для новичков, желающих освоить Java с нуля и научиться применять принципы ООП на практике.</t>
  </si>
  <si>
    <t>ООП в языке Java. Сборник заданий и тематических примеров</t>
  </si>
  <si>
    <t>ООП в языке Java.pdf</t>
  </si>
  <si>
    <t>Данный сборник заданий посвящен изучению объектно-ориентированного программирования (ООП) на языке Java. Ключевые разделы включают обработку массивов, реализацию интерфейсов, наследование, работу с коллекциями, дженериками и лямбда-выражениями. Издание ориентировано на студентов и всех, кто не имеет опыта практического программирования на Java, то есть на новичков.</t>
  </si>
  <si>
    <t>Основы программирования с Java</t>
  </si>
  <si>
    <t>Основы программирования с Java.pdf</t>
  </si>
  <si>
    <t>Книга Тимура Машнина «Основы программирования с Java» представляет собой вводное руководство по программированию с использованием языка Java, охватывающее фундаментальные темы: переменные, типы данных, управляющие операторы, циклы, массивы, объектно-ориентированное программирование, рекурсию и работу с файлами. Издание предназначено для новичков, желающих с нуля освоить синтаксис Java и принципы абстракции данных в интегрированной среде разработки.</t>
  </si>
  <si>
    <t>Построение распределенных систем на Java</t>
  </si>
  <si>
    <t>vip</t>
  </si>
  <si>
    <t>Построение_распределенных_систем_на_Java.pdf</t>
  </si>
  <si>
    <t>Практика реактивного программирования в Spring 5</t>
  </si>
  <si>
    <t>Олег Докука; Игорь Лозинский</t>
  </si>
  <si>
    <t>Практика_реактивного_программирования_в_Spring_5.pdf</t>
  </si>
  <si>
    <t>Книга посвящена реактивному программированию в Spring 5 и созданию облачных реактивных систем с помощью Project Reactor. В ней рассматриваются основы реактивных систем, их преимущества, а также практические приемы работы с WebFlux, Spring Boot и Spring Cloud Streams для построения высокопроизводительных микросервисов. Издание предназначено для Java-разработчиков, использующих Spring, которые хотят научиться создавать надежные, отзывчивые и автоматически масштабируемые приложения.</t>
  </si>
  <si>
    <t>Practical Domain-Driven Design in Enterprise Java</t>
  </si>
  <si>
    <t>Vijay Nair</t>
  </si>
  <si>
    <t>Предметно_ориентированное_проектирование_в_Enterprise_Java.pdf</t>
  </si>
  <si>
    <t>Эта книга посвящена практической реализации предметно-ориентированного проектирования (DDD) в среде Enterprise Java с использованием Jakarta EE, Eclipse MicroProfile, Spring Boot и Axon Framework. В ней рассматриваются ключевые концепции DDD, такие как ограниченные контексты, агрегаты и события, а также описывается эталонный проект Cargo Tracker, который преобразуется из монолитного приложения в микросервисную архитектуру с применением шаблонов CQRS и Event Sourcing. Издание предназначено для специалистов, приступающих к работе с Enterprise Java, ведущих разработчиков, переходящих от монолитов к микросервисам, и архитекторов ПО, осваивающих DDD.</t>
  </si>
  <si>
    <t>Программируем на Java</t>
  </si>
  <si>
    <t>Марк Лой; Патрик Нимайер; Дэниэл Лук</t>
  </si>
  <si>
    <t>Программируем на Java.pdf</t>
  </si>
  <si>
    <t>Книга «Программируем на Java» (5-е международное издание) представляет собой практическое руководство по изучению языка Java, его API, библиотек классов и современных идиом программирования. Ключевые разделы охватывают основы языка, объектно-ориентированное программирование, обработку ошибок, коллекции, работу с текстом и числами, потоки, а также разработку десктопных, сетевых и веб-приложений. Издание ориентировано на разработчиков разного уровня, включая новичков, желающих освоить Java на конкретных примерах и построении реальных приложений.</t>
  </si>
  <si>
    <t>JavaFX</t>
  </si>
  <si>
    <t>Прохоренок Н.</t>
  </si>
  <si>
    <t>Прохоренок Н. - JavaFX - 2020.pdf</t>
  </si>
  <si>
    <t>Книга Николая Прохоренка посвящена разработке графических интерфейсов на платформе JavaFX. В ней рассматриваются ключевые концепции: работа со сценой и узлами, создание элементов управления, обработка событий и стилизация с помощью CSS. Издание ориентировано на программистов, уже знакомых с языком Java, и подходит как для начинающих осваивать JavaFX, так и для практикующих специалистов.</t>
  </si>
  <si>
    <t>Структуры данных и алгоритмы в Java. Классика Computers Science. 2-е изд.</t>
  </si>
  <si>
    <t>Р. Лафоре - Структуры данных и алгоритмы в Java, 2-е издание.pdf</t>
  </si>
  <si>
    <t>Книга Роберта Лафоре «Структуры данных и алгоритмы в Java» посвящена фундаментальным основам программирования — использованию структур данных и алгоритмов, которые определяют, как программное обеспечение будет обрабатывать данные. Ключевые разделы охватывают сортировку, абстрактные типы данных, связанные списки, рекурсию, деревья, хеширование, пирамиды и графы, с примерами на Java. Издание предназначено как для новичков, так и для специалистов, владеющих любым языком программирования, и предлагает практическое освоение материала через написание собственных программ.</t>
  </si>
  <si>
    <t>Разработка обслуживаемых программ на языке Java</t>
  </si>
  <si>
    <t>Разработка_обслуживаемых_программ_на_языке_Java_2017.pdf</t>
  </si>
  <si>
    <t>Книга посвящена принципам и практикам написания поддерживаемого и легко расширяемого кода на Java. В ней рассматриваются ключевые концепции объектно-ориентированного проектирования, такие как SOLID, шаблоны проектирования, рефакторинг и работа с исключениями. Издание ориентировано на разработчиков среднего и продвинутого уровня, стремящихся повысить качество и долговечность своих программных продуктов.</t>
  </si>
  <si>
    <t>Java за 24 часа</t>
  </si>
  <si>
    <t>Роджерс Кейденхед</t>
  </si>
  <si>
    <t>Роджерс_Кейденхкд_Java_за_24.pdf</t>
  </si>
  <si>
    <t>Фрагмент представляет собой выходные данные и оглавление книги Роджерса Кейденхеда «Java за 24 часа», 8-го издания. Книга представляет собой практическое руководство по языку программирования Java, охватывающее основы синтаксиса, объектно-ориентированное программирование, работу с графическим интерфейсом и создание приложений для Android и Minecraft. Ключевые разделы включают переменные, строки, массивы, обработку ошибок, многопоточность и файловый ввод-вывод. Издание предназначено для начинающих программистов, желающих освоить Java с нуля за короткий срок.</t>
  </si>
  <si>
    <t>Самоучитель Java с примерами и программами</t>
  </si>
  <si>
    <t>Самоучиталь JAVA спримерами_2016.pdf</t>
  </si>
  <si>
    <t>Данная книга представляет собой самоучитель по языку программирования Java, предназначенный для изучения с нуля. Она охватывает полный набор сведений о синтаксисе и концепции языка, включая такие разделы, как переменные, типы данных, операторы, управляющие инструкции и работа с массивами. Материал излагается последовательно и сопровождается большим количеством наглядных примеров и практических задач. Книга рассчитана на новичков, самостоятельно изучающих Java, а также может использоваться как лекционный курс с практическими занятиями.</t>
  </si>
  <si>
    <t>Система модулей Java</t>
  </si>
  <si>
    <t>Парлог Николай</t>
  </si>
  <si>
    <t>Система модулей в Java 2021.pdf</t>
  </si>
  <si>
    <t>Книга посвящена системе модулей в Java, начиная с версии 9, которая позволяет упаковывать код в изолированные блоки для создания надежных и безопасных приложений. В ней рассматриваются основы модульного проектирования, построение и отладка модульных приложений, а также стратегии миграции существующих проектов на новую архитектуру. Ключевые разделы охватывают определение модулей, проблемы совместимости, использование сервисов и настройку образа среды выполнения. Издание предназначено для профессиональных разработчиков, уже знакомых с Java, которые хотят освоить передовые практики модульной разработки.</t>
  </si>
  <si>
    <t>Современный Java</t>
  </si>
  <si>
    <t>Кен Коузен (Ken Kousen)</t>
  </si>
  <si>
    <t>Современный Java.pdf</t>
  </si>
  <si>
    <t>Книга «Современный Java: рецепты программирования» Кена Коузена посвящена нововведениям Java 8 и 9, в первую очередь средствам функционального программирования. Ключевые концепции включают лямбда-выражения, ссылки на методы, потоки (Streams), функциональные интерфейсы из пакета java.util.function, а также новый Date-Time API и механизмы конкурентности. Издание предназначено для опытных разработчиков, уже знакомых с предыдущими версиями Java и желающих освоить современные идиомы языка.</t>
  </si>
  <si>
    <t>Современный язык Java. Лямбда-выражения, потоки и функциональное программирование</t>
  </si>
  <si>
    <t>Рауль-Габриэль Урма; Марио Фуско; Алан Майкрофт</t>
  </si>
  <si>
    <t>Современный_язык_Java_лямбда-выражения_потоки 2020.pdf</t>
  </si>
  <si>
    <t>Книга «Современный язык Java» посвящена новым возможностям Java 8–11, в первую очередь лямбда-выражениям, потокам данных (Streams API) и функциональному программированию. Ключевые разделы охватывают работу с потоками, сбор данных, параллельную обработку, систему модулей Java, а также практические аспекты рефакторинга и тестирования. Издание предназначено для опытных разработчиков (уровень «Для профессионалов»), желающих освоить современные подходы к конкурентности и реактивному программированию.</t>
  </si>
  <si>
    <t>Стильный Java. Код, который работает всегда и везде</t>
  </si>
  <si>
    <t>Марко Фаэлла</t>
  </si>
  <si>
    <t>Стильный Java 2021.pdf</t>
  </si>
  <si>
    <t>Книга Марко Фаэллы «Стильный Java» посвящена созданию качественного программного кода на Java, который отличается высокой производительностью, надежностью, удобочитаемостью и потокобезопасностью. В ней рассматриваются как внешние свойства кода (правильность, стабильность, эффективность), так и внутренние (удобочитаемость, возможность повторного использования, удобство сопровождения), а также их взаимосвязь. Издание предназначено для разработчиков, стремящихся перейти от простой работоспособности приложений к созданию элегантного и оптимизированного софта, то есть для специалистов среднего и продвинутого уровня.</t>
  </si>
  <si>
    <t>Программирование на Java для детей, родителей, дедушек и бабушек</t>
  </si>
  <si>
    <t>Yakov Fain</t>
  </si>
  <si>
    <t>Файн Я. - Программирование на Java для детей, родителей, дедушек и бабушек - 2011.pdf</t>
  </si>
  <si>
    <t>Это книга Якова Файна, представляющая собой введение в программирование на языке Java, написанное в доступной и увлекательной форме для всей семьи. Ключевые разделы включают практические упражнения в конце каждой главы и ссылки на дополнительные материалы, а также иллюстрации, созданные сыном автора. Книга предназначена для абсолютных новичков любого возраста — детей, родителей и бабушек с дедушками, не имеющих опыта в программировании.</t>
  </si>
  <si>
    <t>Java EE 7 with GlassFish 4 Application Server</t>
  </si>
  <si>
    <t>David R. Heffelfinger</t>
  </si>
  <si>
    <t>Хеффельфингер_Д_Java_EE_7_и_сервер_приложений_GlassFish_4_2016_pdf.pdf</t>
  </si>
  <si>
    <t>Эта книга представляет собой практическое руководство по установке и настройке сервера приложений GlassFish 4, а также по разработке и развертыванию корпоративных приложений на платформе Java EE 7. В ней рассматриваются ключевые технологии, такие как Servlet, JSP, JSF, JPA, EJB, JAX-WS, JAX-RS и CDI, а также задачи администрирования и конфигурирования сервера. Издание предназначено для разработчиков Java, желающих освоить Java EE 7, и не требует предварительных знаний в этой области.</t>
  </si>
  <si>
    <t>Шилдт_Java_Руководство_для_начинающих.pdf</t>
  </si>
  <si>
    <t>Фрагмент содержит выходные данные и оглавление книги Герберта Шилдта «Java: руководство для начинающих», 7-е издание. Книга представляет собой учебное пособие по языку программирования Java, охватывающее основы языка, типы данных, управляющие инструкции, классы, наследование, многопоточность, обобщения, лямбда-выражения и введение в графические библиотеки Swing и JavaFX. Материал предназначен для начинающих программистов, желающих освоить Java с нуля.</t>
  </si>
  <si>
    <t>Элегантные объекты. Java Edition</t>
  </si>
  <si>
    <t>Yegor Bugayenko</t>
  </si>
  <si>
    <t>Элегантные объекты. Java Edition.pdf</t>
  </si>
  <si>
    <t>Книга «Элегантные объекты. Java Edition» Егора Бугаенко посвящена принципам чистого объектно-ориентированного программирования (ООП) на Java, критикуя распространённую практику использования объектов как структур данных с процедурами. Ключевые концепции включают отказ от статических методов и геттеров/сеттеров, требование неизменяемости классов, использование интерфейсов и fake-объектов вместо mock-объектов, а также правила именования и построения конструкторов. Издание предназначено для опытных Java-разработчиков, желающих углубить понимание ООП и перейти от процедурного мышления к объектному.</t>
  </si>
  <si>
    <t>Эффективный Java. Тюнинг кода на Java 8, 11 и дальше</t>
  </si>
  <si>
    <t>Скотт Оукс</t>
  </si>
  <si>
    <t>Эффективный_Java_Тюнинг_кода_на_Java_8,_11_и_дальше.pdf</t>
  </si>
  <si>
    <t>Книга Скотта Оукса посвящена тюнингу производительности Java-приложений в контексте работы виртуальной машины Java (JVM) и платформы Java, с акцентом на LTS-версии (8, 11 и новее). Ключевые разделы охватывают тестирование производительности, работу с JIT-компилятором, алгоритмы и практики уборки мусора, управление памятью кучи, многопоточность и синхронизацию, а также взаимодействие с базами данных. Издание предназначено для специалистов, уже имеющих опыт программирования на Java и желающих углубить понимание внутренних механизмов JVM для повышения эффективности кода.</t>
  </si>
  <si>
    <t>Advanced JavaScript Unleashed</t>
  </si>
  <si>
    <t>Yousaf Khan</t>
  </si>
  <si>
    <t>Программирование/JavaScript</t>
  </si>
  <si>
    <t>advanced-javascript-unleashed.pdf</t>
  </si>
  <si>
    <t>C:\Users\alexa\YandexDisk\Книги\Программирование\JavaScript</t>
  </si>
  <si>
    <t>Эта книга представляет собой продвинутое руководство по JavaScript, посвященное разбору сложных и запутанных аспектов языка. Ключевые разделы охватывают такие темы, как работа движка JavaScript, поднятие переменных (hoisting), области видимости, приведение типов (coercion) и замыкания (closures). Издание предназначено для разработчиков, уже имеющих базовые знания и стремящихся углубить своё понимание внутренних механизмов языка.</t>
  </si>
  <si>
    <t>ECMAScript 6 для разработчиков</t>
  </si>
  <si>
    <t>Закас Н.</t>
  </si>
  <si>
    <t>EcmaScript 6.pdf</t>
  </si>
  <si>
    <t>Книга Николаса Закаса «ECMAScript 6 для разработчиков» представляет собой подробное руководство по новому стандарту языка JavaScript, описывающее радикальные изменения в синтаксисе, типах объектов и функциях. Ключевые разделы охватывают блочные привязки (let и const), улучшенную работу со строками и Юникодом, итераторы, генераторы, ссылочные функции, наследование типов, асинхронное программирование и модули. Издание предназначено для веб-разработчиков и специалистов, работающих с Node.js, которые уже имеют базовые знания JavaScript и хотят эффективно освоить все возможности ECMAScript 6, а также узнать о грядущих изменениях в ECMAScript 7.</t>
  </si>
  <si>
    <t>Head First JavaScript Programming</t>
  </si>
  <si>
    <t>Eric Freeman; Elisabeth Robson</t>
  </si>
  <si>
    <t>Head First JavaScript Programming_2Ed_True.pdf</t>
  </si>
  <si>
    <t>Эта книга представляет собой инновационное руководство по изучению JavaScript, которое использует динамический, мультисенсорный подход с примерами, упражнениями и задачами для закрепления материала. Ключевые концепции включают синтаксис языка, фундаментальные принципы программирования и практические навыки веб-разработки, а авторы, известные своим ясным и увлекательным стилем, делают сложные темы интуитивно понятными. Издание предназначено для мотивированных новичков и студентов, желающих освоить JavaScript с нуля, а также может быть полезно преподавателям для интеграции в учебные курсы.</t>
  </si>
  <si>
    <t>JavaScript A Beginner's Guide Fifth Edition, 5th Edition</t>
  </si>
  <si>
    <t>John Pollock</t>
  </si>
  <si>
    <t>JavaScript A Beginner's Guide Fifth Edition.epub</t>
  </si>
  <si>
    <t>Эта книга представляет собой практическое руководство по основам JavaScript для начинающих, которое охватывает размещение скриптов в HTML, работу с переменными, функциями, операторами, условными конструкциями, циклами, массивами и объектами. Ключевые разделы включают создание динамических веб-страниц, использование внешних скриптов и понимание прототипно-ориентированного языка. Издание предназначено для новичков, желающих освоить современный стандарт JavaScript с нуля.</t>
  </si>
  <si>
    <t>JavaScript Crash Course</t>
  </si>
  <si>
    <t>Nick Morgan</t>
  </si>
  <si>
    <t>JavaScript Crash Course  2022.pdf</t>
  </si>
  <si>
    <t>Этот фрагмент представляет собой раннюю версию книги «JavaScript Crash Course» Ника Моргана, посвящённой основам языка JavaScript. Книга разделена на три части: основы JavaScript (типы данных, массивы, объекты, функции, классы), интерактивный JavaScript (DOM, события, Canvas) и практические проекты (создание игры, музыки и визуализация данных). В частности, в отрывке подробно разбирается работа с объектами: их создание через литералы, использование ключей и значений, а также доступ к данным через скобочную и точечную нотацию. Материал ориентирован на новичков, желающих изучить JavaScript с нуля через практические примеры.</t>
  </si>
  <si>
    <t>JavaScript: The Comprehensive Guide</t>
  </si>
  <si>
    <t>Philip Ackermann</t>
  </si>
  <si>
    <t>Rheinwerk Publishing Inc.</t>
  </si>
  <si>
    <t>JavaScript The Comprehensive Guide 2022.pdf</t>
  </si>
  <si>
    <t>Этот фрагмент представляет собой вступительную часть книги «JavaScript: The Comprehensive Guide» (2022) автора Филиппа Акермана, которая является всеобъемлющим руководством по языку JavaScript. Книга охватывает широкий спектр тем: от основ программирования и истории JavaScript до клиентской и серверной разработки, что видно из оглавления, включающего разделы «Основы и введение» и «Начало работы». Издание предназначено как для новичков, так и для опытных программистов, желающих систематизировать знания, о чём свидетельствует обращение редактора, призывающее учиться «без ограничений».</t>
  </si>
  <si>
    <t>JavaScript в примерах и задачах</t>
  </si>
  <si>
    <t>JavaScript в примерах и задачах.pdf</t>
  </si>
  <si>
    <t>Книга Алексея Васильева представляет собой самоучитель по языку JavaScript, охватывающий полный спектр сведений о нём. В первой части рассматриваются основы языка: переменные, операторы, управляющие инструкции (условные операторы, циклы while, do-while, for и оператор выбора switch). Издание предназначено для широкой аудитории — от новичков до специалистов, желающих освоить JavaScript с помощью примеров и разбора задач.</t>
  </si>
  <si>
    <t>Javascript для чайников</t>
  </si>
  <si>
    <t>Javascript для чайников  2017.pdf</t>
  </si>
  <si>
    <t>Книга «JavaScript для чайников» (2017) представляет собой практическое руководство по основам языка программирования JavaScript, предназначенное для абсолютных новичков. В ней рассматриваются ключевые концепции: синтаксис, переменные, функции, работа с DOM и событиями, а также основы отладки кода. Материал изложен простым языком с множеством примеров, что делает книгу идеальной для тех, кто впервые знакомится с веб-программированием.</t>
  </si>
  <si>
    <t>JavaScript. Дополнительные уроки для начинающих</t>
  </si>
  <si>
    <t>Javascript Дронов.pdf</t>
  </si>
  <si>
    <t>Книга Владимира Дронова «JavaScript. Дополнительные уроки для начинающих» посвящена современным возможностям языка JavaScript, включая новый синтаксис классов, промисы, асинхронные функции, итераторы, генераторы, модули, а также технологии WebSocket, WebRTC и прогрессивные веб-приложения (PWA). Материал разбит на 20 иллюстрированных уроков с практическими упражнениями и заданиями для самостоятельной работы. Издание предназначено для начинающих веб-разработчиков, желающих освоить новые инструменты и подходы в программировании веб-сценариев.</t>
  </si>
  <si>
    <t>JavaScript и Node.js для веб-разработчиков</t>
  </si>
  <si>
    <t>JavaScript и Nodejs для веб разработчиков.pdf</t>
  </si>
  <si>
    <t>Книга Николая Прохоренка и Владимира Дронова посвящена языку JavaScript и его применению для разработки как серверных приложений в среде Node.js, так и клиентских скриптов для веб-страниц. В издании подробно разбираются основы языка, включая типы данных, функции, классы, итераторы и промисы, а также работа с отладчиком в Visual Studio Code. Отдельное внимание уделяется модулям, файловой системе, объектной модели документа, технологии AJAX и сборщику Webpack. Издание ориентировано на веб-разработчиков, уже имеющих базовую подготовку и желающих углубить знания в профессиональном программировании.</t>
  </si>
  <si>
    <t>JavaScript с нуля</t>
  </si>
  <si>
    <t>Кирупа Чиннатхамби</t>
  </si>
  <si>
    <t>JavaScript с нуля 2021.pdf</t>
  </si>
  <si>
    <t>Книга «JavaScript с нуля» Кирупы Чиннатхамби представляет собой практическое руководство по основам языка JavaScript, предназначенное для новичков. В ней рассматриваются ключевые концепции: переменные, функции, условные операторы, циклы, объекты, массивы, строки, а также работа с DOM и JSON. Материал подаётся с помощью подробных примеров, иллюстраций и юмора, что делает обучение доступным даже для читателей без опыта программирования. Книга охватывает как базовые, так и более продвинутые темы, такие как замыкания и классы, и подходит для самостоятельного изучения с нуля до уровня, позволяющего создавать браузерные игры и интерактивные страницы.</t>
  </si>
  <si>
    <t>JavaScript. Визуальные редакторы</t>
  </si>
  <si>
    <t>javascript. Визуальные редакторы.pdf</t>
  </si>
  <si>
    <t>Книга Валерия Янцева посвящена созданию и интеграции WYSIWYG-редакторов (визуальных редакторов страниц) для систем управления контентом (CMS) на языке JavaScript. В ней подробно разбираются четыре оригинальных редактора, их функциональные возможности и принципы работы, включая использование атрибута contentEditable и метода execCommand. Издание предназначено для студентов среднего профессионального образования по направлению «Информатика и вычислительная техника», а также для разработчиков, желающих создавать собственные CMS.</t>
  </si>
  <si>
    <t>JavaScript: The Definitive Guide</t>
  </si>
  <si>
    <t>David Flanagan</t>
  </si>
  <si>
    <t>JavaScript. Полное руководство, 7-е издание [2021] Флэнаган.pdf</t>
  </si>
  <si>
    <t>Это седьмое издание «JavaScript. Полное руководство» Дэвида Флэнагана, представляющее собой исчерпывающий справочник по языку JavaScript. Книга охватывает все ключевые аспекты языка: от лексической структуры, типов данных и переменных до продвинутых тем, таких как асинхронное программирование, метапрограммирование, работа в веб-браузерах и на серверной платформе Node. Издание предназначено для широкого круга читателей — от новичков, желающих освоить основы, до опытных специалистов, которым необходим детальный справочник по современным возможностям JavaScript.</t>
  </si>
  <si>
    <t>JavaScript: сильные стороны</t>
  </si>
  <si>
    <t>Дуглас Крокфорд</t>
  </si>
  <si>
    <t>JavaScript. Сильные стороны.pdf</t>
  </si>
  <si>
    <t>Книга Дугласа Крокфорда посвящена выделению лучших, наиболее надёжных и эффективных возможностей языка JavaScript, который, по мнению автора, содержит много слабых сторон из-за поспешной разработки. Ключевые разделы охватывают грамматику, объекты, функции, наследование, массивы, регулярные выражения и стиль кода, а также содержат приложения с описанием «кошмарных» и «плохих» конструкций, которых следует избегать. Издание предназначено для разработчиков сайтов и веб-приложений, стремящихся писать расширяемый и эффективный код, независимо от уровня их подготовки.</t>
  </si>
  <si>
    <t>Javascript Absolute Beginners Guide, 3rd Edition</t>
  </si>
  <si>
    <t>Javascript.Absolute.Beginners.Guide.3rd.Edition.epub</t>
  </si>
  <si>
    <t>Эта книга представляет собой практическое руководство по изучению JavaScript с нуля, начиная с основ и постепенно переходя к созданию масштабируемых и производительных веб-приложений. Издание охватывает фундаментальные концепции языка, а также продвинутые техники разработки, предлагая пошаговое обучение. Материал предназначен для абсолютных новичков, никогда ранее не программировавших, и позволяет освоить JavaScript простыми и понятными шагами.</t>
  </si>
  <si>
    <t>JavaScript From Zero to Hero: The Most Complete Guide Ever, Master Modern JavaScript Even If You’re New to Programming</t>
  </si>
  <si>
    <t>Sekuloski, Rick</t>
  </si>
  <si>
    <t>JavaScript.From.Zero.to.Hero.pdf</t>
  </si>
  <si>
    <t>Эта книга представляет собой полное руководство по современному JavaScript, охватывающее темы от продвинутых концепций, таких как строки и регулярные выражения, асинхронное программирование и модули, до основ языка, включая переменные, функции, классы и работу с DOM. Ключевые разделы посвящены промисам, async/await, объектной модели документа и обработке событий. Издание предназначено как для новичков, которые могут начать с глав о базовом синтаксисе, так и для опытных разработчиков, желающих углубить знания в продвинутых темах.</t>
  </si>
  <si>
    <t>JavaScript: JavaScript Programming Made Easy for Beginners &amp; Intermediates (Step By Step With Hands On Projects)</t>
  </si>
  <si>
    <t>Berg, Craig</t>
  </si>
  <si>
    <t>JavaScript_JavaScript_Programming_Made_Easy_for_Beginners_and_Intermediates 2019.epub</t>
  </si>
  <si>
    <t>Эта книга представляет собой практическое руководство по языку JavaScript для новичков и пользователей со средним уровнем подготовки. Автор объясняет основы языка, включая переменные, типы данных, операторы, функции и работу с DOM, а также знакомит с популярными фреймворками и библиотеками. В качестве итогового проекта предлагается создание динамической веб-игры с двумя уровнями сложности. Материал ориентирован на тех, кто хочет освоить JavaScript для веб-разработки с нуля или углубить свои знания через выполнение проектов.</t>
  </si>
  <si>
    <t>JavaScript: The Definitive Guide, 7th Edition</t>
  </si>
  <si>
    <t>JavaScript_The_Definitive_Guide.pdf</t>
  </si>
  <si>
    <t>Это фрагмент оглавления седьмого издания книги «JavaScript: The Definitive Guide» Дэвида Фланагана. Книга представляет собой исчерпывающий справочник и учебник по языку JavaScript, охватывающий все ключевые аспекты: от лексической структуры, типов данных и переменных до объектов, массивов, функций и операторов. Издание предназначено для разработчиков среднего и продвинутого уровня, желающих углубить понимание языка, включая работу с прототипами, замыканиями, современным синтаксисом ES6+ и особенностями выполнения кода.</t>
  </si>
  <si>
    <t>JavaScript для профессиональных веб-разработчиков</t>
  </si>
  <si>
    <t>Javascript_для_профессиональных_веб_разработчиков.pdf</t>
  </si>
  <si>
    <t>Это четвёртое международное издание книги Мэтта Фрисби, представляющее собой наиболее полное руководство по современному JavaScript для профессиональных веб-разработчиков. Книга охватывает широкий спектр тем: от основ языка, переменных и ссылочных типов до продвинутых концепций, таких как промисы, асинхронные функции, прокси, объектная модель документа (DOM), события, API, модули и рабочие потоки. Издание предназначено для разработчиков, уже имеющих базовые знания JavaScript, и нацелено на углубление их навыков до профессионального уровня.</t>
  </si>
  <si>
    <t>JavaScript с нуля до профи</t>
  </si>
  <si>
    <t>Лоренс Ларс Свекис; Майке ван Путтен; Роб Персиваль</t>
  </si>
  <si>
    <t>JS с нуля до профи.pdf</t>
  </si>
  <si>
    <t>Книга «JavaScript с нуля до профи» представляет собой практическое руководство по изучению JavaScript для создания веб-приложений, от динамических сайтов до браузерных игр. Основное внимание уделяется ключевым концепциям программирования, манипуляциям с DOM, асинхронности и многопоточности, а также включает ускоренный курс по HTML и CSS. Издание содержит теоретические блоки, упражнения и проекты, такие как валидаторы данных, игры и анимации. Книга предназначена для новичков, желающих освоить JavaScript с нуля и перейти к профессиональному уровню.</t>
  </si>
  <si>
    <t>JavaScript Absolute Beginner's Guide, Second Edition</t>
  </si>
  <si>
    <t>JSBegin2ed.epub</t>
  </si>
  <si>
    <t>Эта книга представляет собой понятное руководство по основам JavaScript для абсолютных новичков. Она охватывает ключевые концепции языка, такие как переменные, функции, условные операторы и циклы, а также более сложные темы: объекты, массивы, работу с DOM и обработку событий. Издание предназначено для читателей, которые только начинают изучать программирование и хотят освоить JavaScript с нуля.</t>
  </si>
  <si>
    <t>Как устроен JavaScript</t>
  </si>
  <si>
    <t>Kak_ustroen_JavaScript_2019_Krokford_Duglas.pdf</t>
  </si>
  <si>
    <t>Книга Дугласа Крокфорда «Как устроен JavaScript» посвящена глубокому анализу внутреннего устройства языка JavaScript, его сильных и слабых сторон, а также перспективам развития программирования. Автор последовательно разбирает фундаментальные концепции: работу имен, чисел, булевых значений, массивов, объектов, строк, функций, исключений и других механизмов, включая продвинутые темы вроде генераторов, событийного программирования, JSON, тестирования и оптимизации. Издание предназначено для опытных разработчиков, уже имеющих практический опыт с JavaScript и желающих углубить своё понимание языка, и не подходит для начинающих.</t>
  </si>
  <si>
    <t>Познакомьтесь, JavaScript</t>
  </si>
  <si>
    <t>Кайл Симпсон</t>
  </si>
  <si>
    <t>Poznakomtes-javascript.pdf</t>
  </si>
  <si>
    <t>Эта книга Кайла Симпсона из серии «Вы пока еще не знаете JS» посвящена основам языка JavaScript и его месту в экосистеме веб-разработки. В ней рассматриваются ключевые концепции: спецификация языка, прямая и обратная совместимость, транспиляция, полифилы, а также обзор базовых возможностей JS, таких как значения, переменные и функции. Книга предназначена для разработчиков, уже имеющих опыт написания кода на JavaScript, которые хотят углубить свои знания и заполнить возможные пробелы перед изучением более сложных тем.</t>
  </si>
  <si>
    <t>Practical Nest.js: Develop clean MVC web applications</t>
  </si>
  <si>
    <t>Daniel Correa; Greg Lim</t>
  </si>
  <si>
    <t>Practical Books</t>
  </si>
  <si>
    <t>Practical Nest.js Develop clean MVC web applications.pdf</t>
  </si>
  <si>
    <t>Эта книга посвящена созданию чистых, поддерживаемых и масштабируемых MVC-веб-приложений с использованием фреймворка NestJS. Ключевые концепции включают разработку полноценного интернет-магазина с нуля, интеграцию с MySQL и TypeORM, а также реализацию аутентификации, авторизации, корзины покупок и развертывания в облаке. Издание подойдет как новичкам, не знакомым с Nest, так и опытным разработчикам, желающим освоить практики чистого кода, применимые и в других фреймворках.</t>
  </si>
  <si>
    <t>Professional JavaScript</t>
  </si>
  <si>
    <t>Hugo Di Francesco;Siyuan Gao;Vinicius Isola;Philip Kirkbride</t>
  </si>
  <si>
    <t>Professional.JavaScript 2022.pdf</t>
  </si>
  <si>
    <t>Эта книга посвящена продвинутым возможностям JavaScript для профессиональной веб-разработки. В ней рассматриваются такие ключевые темы, как работа с DOM и HTML, использование Node.js и npm для создания инструментов командной строки, а также применение Node.js API для веб-скрапинга. Издание предназначено для разработчиков, уже имеющих базовые знания JavaScript и стремящихся углубить свои навыки.</t>
  </si>
  <si>
    <t>You Don't Know JS Yet: Get Started</t>
  </si>
  <si>
    <t>Kyle Simpson</t>
  </si>
  <si>
    <t>GetiPub</t>
  </si>
  <si>
    <t>you-do-not-know JS yet.pdf</t>
  </si>
  <si>
    <t>Эта книга Кайла Симпсона из серии «You Don’t Know JS Yet» посвящена глубокому пониманию основ JavaScript, включая такие ключевые концепции, как область видимости, замыкания, прототипы, типы и приведение типов. Материал предназначен для разработчиков, которые уже имеют опыт работы с языком, но хотят выйти за рамки поверхностного использования и по-настоящему освоить его внутренние механизмы. В книге рассматриваются не только базовые темы, но и сложные аспекты вроде итерации, ключевого слова this и прототипного наследования.</t>
  </si>
  <si>
    <t>jQuery in Action</t>
  </si>
  <si>
    <t>Bear Bibeault; Yehuda Katz</t>
  </si>
  <si>
    <t>Берб - jQuery - для профессионалов 2011.pdf</t>
  </si>
  <si>
    <t>Книга «jQuery. Подробное руководство по продвинутому JavaScript» Берна Бибо и Иегуды Каца представляет собой введение и справочное руководство по библиотеке jQuery, предназначенное для разработчиков, знакомых с JavaScript и Ajax. В издании подробно описываются обход HTML-документов, обработка событий, поддержка Ajax, анимация и визуальные эффекты, а также рассматривается создание модулей расширения и взаимодействие jQuery с другими инструментами. Второе издание дополнено новыми возможностями версии jQuery 1.4 и новой частью, посвященной библиотеке jQuery UI. Книга рассчитана на специалистов, стремящихся создавать краткий и понятный код.</t>
  </si>
  <si>
    <t>Изучаем JavaScript</t>
  </si>
  <si>
    <t>Этан Браун</t>
  </si>
  <si>
    <t>Браун Изучаем JavaScript-3e 2017.pdf</t>
  </si>
  <si>
    <t>Книга Этана Брауна «Изучаем JavaScript» представляет собой практическое руководство по современной разработке на JavaScript с акцентом на стандарт ECMAScript 6 (ES6). В ней рассматриваются как базовые темы (переменные, массивы, управление потоком), так и продвинутые концепции, включая функциональное и асинхронное программирование, итераторы, генераторы и прокси-объекты. Издание охватывает разработку как для браузера (через DOM и jQuery), так и для серверной платформы Node.js. Книга предназначена для программистов любого уровня — от любителей до профессионалов, желающих углублённо изучить современный JavaScript.</t>
  </si>
  <si>
    <t>Васильев - программирование на JavaScript взадачах и примерх 2017.pdf</t>
  </si>
  <si>
    <t>Эта книга представляет собой самоучитель по языку программирования JavaScript, построенный на примерах и задачах. В ней рассматриваются основы языка, включая переменные, операторы, управляющие инструкции (условные операторы и циклы) и функции. Издание предназначено для широкого круга читателей — от новичков до специалистов, желающих освоить JavaScript.</t>
  </si>
  <si>
    <t>JavaScript Web Applications</t>
  </si>
  <si>
    <t>Alex MacCaw</t>
  </si>
  <si>
    <t>Веб приложения на JavaScript.pdf</t>
  </si>
  <si>
    <t>Книга Алекса Маккоу «Веб-приложения на JavaScript» посвящена созданию многофункциональных клиентских приложений на JavaScript. В ней рассматриваются ключевые концепции, такие как архитектура MVC, работа с моделями, контроллерами и представлениями, а также темы управления зависимостями, веб-технологий реального времени, тестирования и развертывания. Издание предназначено для опытных разработчиков, желающих освоить современные приемы построения JavaScript-приложений.</t>
  </si>
  <si>
    <t>Data Visualization with Python and JavaScript: Scrape, Clean, Explore, and Transform Your Data</t>
  </si>
  <si>
    <t>Астана иностранная пресса</t>
  </si>
  <si>
    <t>Визуализация данных с помощью Python и jаvascript.pdf</t>
  </si>
  <si>
    <t>Эта книга представляет собой практическое руководство по полному циклу визуализации данных — от сбора и очистки до создания интерактивных веб-интерфейсов с использованием Python и JavaScript. Ключевые разделы охватывают подготовку окружения, парсинг данных (включая Scrapy), работу с библиотеками NumPy и pandas, а также основы веб-разработки для отображения результатов. Издание предназначено для специалистов, уже имеющих базовые навыки программирования и желающих освоить современные инструменты обработки и представления данных в браузере.</t>
  </si>
  <si>
    <t>Вы не знаете JS. Типы и грамматические конструкции</t>
  </si>
  <si>
    <t>Вы_не_знаете_JS_Типы_и_грамматические_конструкции.pdf</t>
  </si>
  <si>
    <t>Эта книга из серии «Вы не знаете JS» посвящена глубокому исследованию типов данных и грамматических конструкций в JavaScript. Ключевые разделы охватывают встроенные типы, работу со значениями (массивы, строки, числа, специальные значения), встроенные объекты, а также явное и неявное преобразование типов. Издание предназначено для программистов любого уровня, стремящихся к истинному мастерству в JavaScript и желающих разобраться в нетривиальных аспектах языка, которые часто остаются за рамками стандартных руководств.</t>
  </si>
  <si>
    <t>Eloquent JavaScript: A Modern Introduction to Programming</t>
  </si>
  <si>
    <t>Marijn Haverbeke</t>
  </si>
  <si>
    <t>Выразительный_JavaScript_Современное_веб_программирование.pdf</t>
  </si>
  <si>
    <t>Это третье издание книги «Выразительный JavaScript», посвящённое современному веб-программированию на языке JavaScript. Книга охватывает фундаментальные концепции языка, включая синтаксис, функции, структуры данных, а также более продвинутые темы: асинхронное программирование, модули, работу с браузером и Node.js. Издание содержит практические проекты (робот, игровая платформа, растровый редактор) и упражнения для закрепления материала. Книга предназначена для программистов начального и среднего уровня, желающих глубоко изучить JavaScript и научиться писать эффективный код.</t>
  </si>
  <si>
    <t>Закас</t>
  </si>
  <si>
    <t>Закас JavaScript для профессиональных веб-разработчиков 2014.pdf</t>
  </si>
  <si>
    <t>Эта книга представляет собой углублённое руководство по JavaScript для опытных веб-разработчиков, которые уже владеют основами языка. В ней подробно разбираются продвинутые концепции, такие как объектно-ориентированное программирование, работа с DOM, события, асинхронное программирование и шаблоны проектирования. Издание предназначено для специалистов среднего и высокого уровня, стремящихся систематизировать знания и освоить профессиональные приёмы разработки на JavaScript.</t>
  </si>
  <si>
    <t>Изучаем JQuery</t>
  </si>
  <si>
    <t>Изучаем JQuery.pdf</t>
  </si>
  <si>
    <t>Книга «Изучаем работу с jQuery» из серии Head First посвящена библиотеке JavaScript jQuery, которая позволяет добавлять интерактивность на веб-сайты и создавать RIA-приложения с минимальным количеством кода. Ключевые концепции включают доступ к элементам DOM, работу с атрибутами и содержимым, а также взаимодействие с AJAX. Издание предназначено для разработчиков, желающих быстро освоить jQuery, и отличается уникальным визуальным стилем подачи материала, характерным для серии Head First.</t>
  </si>
  <si>
    <t>Как устроен JavaScript -2019.pdf</t>
  </si>
  <si>
    <t>Эта книга Дугласа Крокфорда посвящена глубокому и детальному анализу устройства JavaScript, его внутренних механизмов и особенностей работы. Автор последовательно разбирает базовые типы данных (числа, строки, булевы значения), структуры данных (массивы, объекты), функции, а также более сложные темы, такие как событийное программирование, оптимизация, транспиляция и работа парсера. Книга предназначена для опытных программистов, уже имеющих опыт работы с JavaScript, и не подходит для начинающих.</t>
  </si>
  <si>
    <t>Кирупа - JavaScript с нуля 2021.pdf</t>
  </si>
  <si>
    <t>Книга «JavaScript с нуля» Кирупы Чиннатхамби представляет собой практическое руководство по основам языка JavaScript, ориентированное на начинающих программистов. В ней последовательно разбираются ключевые концепции: переменные, функции, условные операторы, циклы, объекты, массивы, строки и работа с DOM. Материал изложен простым языком с примерами, иллюстрациями и юмором, что позволяет новичку без подготовки освоить написание кода, от простых скриптов до браузерных игр.</t>
  </si>
  <si>
    <t>JavaScript для детей. Самоучитель по программированию</t>
  </si>
  <si>
    <t>Ник Морган</t>
  </si>
  <si>
    <t>Морган_Ник_JavaScript_для_детей 2016.pdf</t>
  </si>
  <si>
    <t>Эта книга представляет собой самоучитель по программированию на JavaScript для детей от 10 лет. Она знакомит с основами языка: типами данных, переменными, массивами и объектами. Ключевая особенность — обучение через создание игр, таких как «Виселица» и «Змейка». Издание рассчитано на новичков, содержит понятные инструкции и иллюстрации.</t>
  </si>
  <si>
    <t>JavaScript. Оптимизация производительности</t>
  </si>
  <si>
    <t>Николас Закас</t>
  </si>
  <si>
    <t>Николас Закас - JavaScript. Оптимизация производительности - 2012.pdf</t>
  </si>
  <si>
    <t>Эта книга Николаса Закаса посвящена оптимизации производительности веб-приложений на JavaScript. В ней рассматриваются ключевые концепции, такие как неблокирующая загрузка сценариев, управление областью видимости и цепочками прототипов, а также эффективная работа с деревом DOM. Издание адресовано веб-разработчикам со средним и высоким уровнем владения JavaScript, стремящимся устранить узкие места и ускорить выполнение кода.</t>
  </si>
  <si>
    <t>JavaScript на примерах</t>
  </si>
  <si>
    <t>Никольский А. П.</t>
  </si>
  <si>
    <t>Никольский Javascript на примерах  2017.pdf</t>
  </si>
  <si>
    <t>Эта книга представляет собой учебное пособие по языку программирования JavaScript, построенное на практических примерах. Изложение ведется последовательно от основ синтаксиса и работы с массивами до создания полноценных интерактивных элементов, таких как слайдеры, подсказки и лендинговая страница. Книга предназначена для новичков, желающих результативно изучить JavaScript с нуля.</t>
  </si>
  <si>
    <t>Основы Redux 2018</t>
  </si>
  <si>
    <t>Основы Redux 2018.pdf</t>
  </si>
  <si>
    <t>Книга представляет собой практическое руководство по основам Redux в связке с React, актуальное для версий 2018 года. В ней рассматриваются ключевые концепции: редьюсеры, connect, комбинирование редьюсеров, создание actions, middleware (включая redux-thunk для асинхронных запросов) и оптимизация перерисовок. Курс включает разделы по подготовке рабочего окружения (create-react-app, ESLint, Prettier) и пошаговое создание приложения, взаимодействующего с VK API. Материал предназначен для разработчиков, уже знакомых с React, и направлен на углубление знаний в области управления состоянием и построения SPA.</t>
  </si>
  <si>
    <t>JavaScript Everywhere</t>
  </si>
  <si>
    <t>Adam D. Scott</t>
  </si>
  <si>
    <t>Разработка на JAVASCRIPT.pdf</t>
  </si>
  <si>
    <t>Книга Адама Д. Скотта посвящена созданию кроссплатформенных приложений на современном JavaScript с использованием стека технологий: GraphQL, React, React Native и Electron. В издании последовательно рассматриваются этапы разработки API, веб-интерфейса, десктопной и мобильной версий приложения, включая работу с базами данных, аутентификацию и развертывание. Материал ориентирован на разработчиков любого уровня, желающих освоить создание полноценного, мощного и надежного программного обеспечения на JavaScript.</t>
  </si>
  <si>
    <t>Резинг JavaScript для профессионалов</t>
  </si>
  <si>
    <t>Резинг JavaScript для профессионалов 2016.pdf</t>
  </si>
  <si>
    <t>Фрагмент книги Джона Резига «JavaScript для профессионалов» посвящён углублённым аспектам языка JavaScript, таким как продвинутые функции, замыкания и объектно-ориентированное программирование. Ключевые концепции включают работу с прототипами, контекст выполнения и шаблоны проектирования. Книга предназначена для опытных разработчиков, уже знакомых с основами JavaScript, и помогает им перейти на профессиональный уровень.</t>
  </si>
  <si>
    <t>Вы не знаете JS. Замыкания и объекты</t>
  </si>
  <si>
    <t>Симпсон_К_Вы_не_знаете_JS_Замыкания.pdf</t>
  </si>
  <si>
    <t>Это книга из серии «Вы не знаете JS», посвященная углубленному изучению областей видимости, замыканий, ключевого слова this и объектов в JavaScript. В ней подробно разбираются такие концепции, как лексическая область видимости, работа компилятора, механизмы поиска переменных, а также способы искажения области видимости (eval, with). Издание предназначено для программистов JavaScript, которые уже имеют опыт и хотят достичь истинного мастерства, разобравшись в нетривиальных аспектах языка.</t>
  </si>
  <si>
    <t>Современный учебник JavaScript</t>
  </si>
  <si>
    <t>Современный учебник JavaScript [3 книги] [2019] Кантор.zip</t>
  </si>
  <si>
    <t>На основе предоставленного фрагмента невозможно определить содержимое книги, так как текст отсутствует или нечитаем.</t>
  </si>
  <si>
    <t>Современный JavaScript для нетерпеливых</t>
  </si>
  <si>
    <t>Кэй С. Хорстман</t>
  </si>
  <si>
    <t>Современный_jаvascript_для_нетерпеливых - 2021.pdf</t>
  </si>
  <si>
    <t>Книга «Современный JavaScript для нетерпеливых» Кея Хорстманна представляет собой практическое руководство по изучению современного JavaScript для опытных программистов, знакомых с другими языками (Java, C#, C++). Ключевые концепции включают типы и переменные, управляющие конструкции, работу с числами, строками, объектами, массивами и JSON, а также деструктуризацию. Материал структурирован по уровням сложности (начальный, средний, высокий) и предназначен для профессиональных веб-разработчиков, желающих быстро освоить современный JavaScript для создания приложений.</t>
  </si>
  <si>
    <t>Разработка программных комплексов на языке JavaScript</t>
  </si>
  <si>
    <t>Солодушкин, С. И.; Юманова, И. Ф.</t>
  </si>
  <si>
    <t>Солодушкин_С_И_Разработка_программных_комплексов_на_языке_JavaScript.pdf</t>
  </si>
  <si>
    <t>Данное учебное пособие посвящено практическому использованию языка JavaScript для разработки веб-сервисов. Ключевое внимание уделяется разбору прототипного наследования, политики безопасности Same Origin Policy и методам её обхода, а также работе с платформой Node.js и фреймворком Express. Книга предназначена для студентов, специализирующихся в области прикладной информатики и компьютерных наук, и предполагает наличие базовых знаний в программировании.</t>
  </si>
  <si>
    <t>Справочник JavaScript</t>
  </si>
  <si>
    <t>Никольский А.П.; Дубовик Е.В.</t>
  </si>
  <si>
    <t>Справочник JavaScript 2021.pdf</t>
  </si>
  <si>
    <t>Этот справочник содержит ключевую информацию о JavaScript в удобной и наглядной форме, охватывая синтаксис, объектную модель браузера и библиотеки jQuery. В книге подробно рассматриваются базовые конструкции языка, массивы, функции, а также вопросы отладки и обработки ошибок. Издание будет полезно как начинающим, так и профессиональным разработчикам, использующим или изучающим JavaScript.</t>
  </si>
  <si>
    <t>Pro jQuery</t>
  </si>
  <si>
    <t>Фримен  jQuery для профессионалов 2013.pdf</t>
  </si>
  <si>
    <t>Книга Адама Фримена «jQuery для профессионалов» представляет собой углубленное руководство по использованию библиотеки jQuery для веб-разработки. Она охватывает широкий спектр тем, включая основы работы с jQuery, манипуляции с DOM, обработку событий, использование Ajax и работу с данными, а также рассматривает библиотеки jQuery UI и jQuery Mobile для создания интерфейсов и мобильных приложений. Издание предназначено для специалистов, уже знакомых с HTML, CSS и JavaScript, которые хотят освоить профессиональные приемы работы с jQuery.</t>
  </si>
  <si>
    <t>Изучаем программирование на JavaScript (Head First O'Reilly)</t>
  </si>
  <si>
    <t>Фримен Э.; Робсон Э.</t>
  </si>
  <si>
    <t>Фримен Э., Робсон Э. - Изучаем программирование на JavaScript (Head First O'Reilly) - 2015.pdf</t>
  </si>
  <si>
    <t>Этот фрагмент представляет собой введение к книге «Изучаем программирование на JavaScript» из серии Head First, которая посвящена обучению языку JavaScript для создания динамических веб-страниц. Книга охватывает ключевые концепции от переменных до циклов, а также учит писать универсальный код, работающий во всех браузерах. Благодаря уникальному визуальному и доступному формату подачи материала, издание предназначено для новичков, которые ранее не писали код, и помогает пройти путь от простейших скриптов до сложных веб-проектов.</t>
  </si>
  <si>
    <t>Хавербеке_М_Выразительный_JavaScript.pdf</t>
  </si>
  <si>
    <t>Это третье издание книги Марейна Хавербеке, посвящённое современному веб-программированию на JavaScript. Книга охватывает как базовые темы (синтаксис, функции, структуры данных), так и продвинутые концепции, включая асинхронное программирование, модули, работу с браузером и Node.js. Издание содержит практические проекты (робот, игровая платформа, графический редактор) и упражнения для закрепления материала. Книга предназначена для читателей, уже имеющих начальный опыт программирования, и позволяет углублённо изучить язык для создания эффективного кода.</t>
  </si>
  <si>
    <t>Графика на JavaScript</t>
  </si>
  <si>
    <t>Рафаэлло Чекко</t>
  </si>
  <si>
    <t>Чекко Р. - Графика на JavaScript - 2013.pdf</t>
  </si>
  <si>
    <t>Книга Рафаэлло Чекко посвящена созданию высокопроизводительной веб-графики с использованием JavaScript, jQuery, DHTML и элемента Canvas из HTML5. В ней рассматриваются такие ключевые концепции, как оптимизация кода, работа с DHTML-спрайтами, анимация, программирование игр и создание приложений для мобильных устройств. Издание предназначено для опытных веб-разработчиков, желающих освоить продвинутые подходы к визуализации и разработке аркадных игр.</t>
  </si>
  <si>
    <t>JavaScript. Готовые программы</t>
  </si>
  <si>
    <t>В. В. Янцев</t>
  </si>
  <si>
    <t>Янцев_В_В_JavaScript_Готовые_программы_учебное_пособие_для_вузов.pdf</t>
  </si>
  <si>
    <t>Книга представляет собой учебное пособие по JavaScript, содержащее готовые программные решения для веб-разработки. В ней рассматриваются такие темы, как работа с фотографиями (галереи, слайд-шоу), создание меню, обработка форм, разработка редакторов для CMS и другие полезные утилиты. Издание предназначено для программистов, уже знакомых с основами HTML и JavaScript, и призвано облегчить переход от теории к практике при создании сайтов.</t>
  </si>
  <si>
    <t>Julia as a Second Language MEAP V03</t>
  </si>
  <si>
    <t>Erik Engheim</t>
  </si>
  <si>
    <t>Программирование/Julia</t>
  </si>
  <si>
    <t>Julia</t>
  </si>
  <si>
    <t>Julia as a Second Language (MEAP v03).pdf</t>
  </si>
  <si>
    <t>C:\Users\alexa\YandexDisk\Книги\Программирование\Julia</t>
  </si>
  <si>
    <t>Книга «Julia as a Second Language» знакомит читателей с языком программирования Julia, который сочетает высокую производительность, простоту использования и продуктивность, подходя как для научных вычислений, так и для общего программирования. Автор подробно рассматривает ключевые концепции, такие как множественная диспетчеризация, функциональное программирование, работа с типами и коллекциями, а также интерактивную разработку через REPL. Издание ориентировано на программистов с опытом объектно-ориентированного программирования, желающих освоить Julia, включая новичков, и содержит практические примеры (симуляции, анализ данных, шифрование).</t>
  </si>
  <si>
    <t>Julia for Data Analysis</t>
  </si>
  <si>
    <t>Bogumil Kaminski</t>
  </si>
  <si>
    <t>Julia for Data Analysis.pdf</t>
  </si>
  <si>
    <t>Эта книга представляет собой практическое руководство по анализу данных на языке Julia, охватывающее полный цикл работы: от загрузки и обработки данных до их визуализации и создания веб-сервисов. Ключевые разделы включают работу с коллекциями, строками, временными рядами, пропущенными значениями и, в особенности, с фреймами данных (DataFrames.jl), а также интеграцию с Python и R. Издание предназначено для специалистов по данным и разработчиков, уже знакомых с основами программирования, которые хотят освоить Julia для решения практических аналитических задач.</t>
  </si>
  <si>
    <t>The Julia Language</t>
  </si>
  <si>
    <t>The Julia Project</t>
  </si>
  <si>
    <t>julia-1.4.1 2020 .pdf</t>
  </si>
  <si>
    <t>Данный фрагмент представляет собой официальную документацию языка программирования Julia версии 1.4, выпущенную в апреле 2020 года. Ключевые разделы включают описание новых возможностей и изменений в языке, многопоточности, а также подробное руководство по основам: переменным, числам, математическим операциям, строкам и функциям. Материал предназначен для программистов, уже знакомых с основами программирования, которые хотят изучить синтаксис и возможности Julia, начиная с начального уровня.</t>
  </si>
  <si>
    <t>Julia for Beginners</t>
  </si>
  <si>
    <t>julia-for-beginners.pdf</t>
  </si>
  <si>
    <t>Эта книга представляет собой введение в язык программирования Julia, написанное с акцентом на увлекательное обучение через интересные примеры, такие как симуляция запуска ракет и исторические шифры, вместо скучных бизнес-задач. Автор развенчивает миф о том, что Julia предназначена только для учёных, подчёркивая её универсальность, простоту, мощность и высокую производительность. Книга структурирована для трёх типов читателей: начинающих программистов, опытных разработчиков и технических энтузиастов, с последовательными главами, охватывающими установку, работу с числами и текстом.</t>
  </si>
  <si>
    <t>Think Julia: How to Think Like a Computer Scientist</t>
  </si>
  <si>
    <t>Ben Lauwens; Allen Downey</t>
  </si>
  <si>
    <t>Think_Julia_How_to_Think_Like_a_Computer_Scientist_by_Allen_Downey.pdf</t>
  </si>
  <si>
    <t>Это фрагмент оглавления и вступительной части книги «Think Julia: How to Think Like a Computer Scientist» (Бен Лауэнс и Аллен Дауни), которая представляет собой учебник по языку программирования Julia для начинающих. Книга последовательно охватывает фундаментальные концепции программирования: переменные, функции, условные конструкции, рекурсию, строки, массивы, словари, кортежи, работу с файлами, структуры и множественную диспетчеризацию. Материал предназначен для новичков в программировании, желающих освоить Julia с акцентом на вычислительное мышление и практические упражнения.</t>
  </si>
  <si>
    <t>Краткое описание языка Julia</t>
  </si>
  <si>
    <t>Белов Глеб Витальевич</t>
  </si>
  <si>
    <t>Краткое описание языка  Julia 2022.pdf</t>
  </si>
  <si>
    <t>Данная работа представляет собой краткое описание языка программирования Julia, ориентированное на решение научных и технических задач. В книге рассматриваются базовые типы данных, работа с массивами, строками и словарями, а также приводятся примеры использования библиотек JuMP и Ipopt для расчета термодинамических систем. Материал предназначен для читателей, уже знакомых с основами программирования, и служит справочником по стандартным функциям и популярным прикладным библиотекам.</t>
  </si>
  <si>
    <t>Осваиваем язык Julia</t>
  </si>
  <si>
    <t>Осваиваем язык Julia.pdf</t>
  </si>
  <si>
    <t>Книга «Осваиваем язык Julia» посвящена изучению языка программирования Julia, ориентированного на высокопроизводительные научные и технические вычисления. В представленном фрагменте рассматриваются основы синтаксиса, работа с типами данных и функции, что составляет фундамент для дальнейшего освоения более сложных концепций, таких как метапрограммирование и параллельные вычисления. Материал предназначен для новичков и программистов среднего уровня, желающих перейти на Julia с других языков или начать с нуля.</t>
  </si>
  <si>
    <t>Язык Julia как инструмент исследователя</t>
  </si>
  <si>
    <t>Антонюк Валерий Алексеевич</t>
  </si>
  <si>
    <t>Физический факультет МГУ им. М. В. Ломоносова</t>
  </si>
  <si>
    <t>Язык_Julia_как_инструмент_исследователя_.pdf</t>
  </si>
  <si>
    <t>Книга Валерия Антонюка знакомит с языком программирования Julia, позиционируемым как инструмент для научных вычислений, который сочетает простоту прототипирования (как в Python или MATLAB) с высокой производительностью компилируемых языков (C, C++). В пособии рассматриваются ключевые концепции языка: система типов, функциональная диспетчеризация, работа с REPL и Jupyter, а также приводятся практические примеры (метод Монте-Карло, умножение матриц). Издание рассчитано на студентов старших курсов, аспирантов и научных сотрудников, желающих освоить современный язык для эффективных вычислений.</t>
  </si>
  <si>
    <t>Beginning Kotlin</t>
  </si>
  <si>
    <t>Программирование/Kotlin</t>
  </si>
  <si>
    <t>Kotlin</t>
  </si>
  <si>
    <t>Apress.Beginning.Kotlin.pdf</t>
  </si>
  <si>
    <t>C:\Users\alexa\YandexDisk\Книги\Программирование\Kotlin</t>
  </si>
  <si>
    <t>Книга «Beginning Kotlin» Теда Хагоса представляет собой вводное руководство по языку программирования Kotlin, предназначенное для создания приложений с улучшенным кодом, производительностью и продуктивностью. В ней рассматриваются ключевые концепции, такие как простота, асинхронность, объектно-ориентированное и функциональное программирование, а также настройка среды разработки IntelliJ. Издание ориентировано на новичков, желающих освоить Kotlin с нуля.</t>
  </si>
  <si>
    <t>Atomic Kotlin</t>
  </si>
  <si>
    <t>Bruce Eckel; Svetlana Isakova</t>
  </si>
  <si>
    <t>Mindview LLC</t>
  </si>
  <si>
    <t>AtomicKotlin.epub</t>
  </si>
  <si>
    <t>Это книга «Atomic Kotlin» Брюса Эккеля и Светланы Исаковой, представляющая собой учебное пособие по языку программирования Kotlin. Книга охватывает широкий спектр тем: от основ (переменные, функции, типы данных) до продвинутых концепций, включая объектно-ориентированное и функциональное программирование, обработку ошибок и работу с обобщениями. Материал структурирован по разделам, начиная с «Основ программирования» и заканчивая «Инструментами для продвинутых», что делает её подходящей как для новичков, так и для опытных разработчиков, желающих освоить Kotlin.</t>
  </si>
  <si>
    <t>Bruce Eckel;Svetlana Isakova</t>
  </si>
  <si>
    <t>AtomicKotlin.pdf</t>
  </si>
  <si>
    <t>Этот фрагмент представляет собой оглавление книги «Atomic Kotlin» Брюса Эккеля и Светланы Исаковой, которая является учебным пособием по языку программирования Kotlin. Книга охватывает широкий спектр тем, начиная с основ программирования (переменные, типы данных, функции) и введения в объектно-ориентированное программирование (классы, свойства, конструкторы), заканчивая продвинутыми разделами, такими как функциональное программирование (лямбды, работа с коллекциями) и аспекты удобства использования (nullable-типы, generics). Материал структурирован по принципу «атомарных» уроков, что делает его подходящим для новичков, желающих последовательно изучить язык с нуля.</t>
  </si>
  <si>
    <t>Beginning.Kotlin.pdf</t>
  </si>
  <si>
    <t>Книга «Beginning Kotlin» Теда Хагоса представляет собой вводное руководство по языку программирования Kotlin, предназначенное для создания приложений с улучшенным кодом, производительностью и продуктивностью. В ней рассматриваются ключевые концепции языка, включая его простоту, асинхронность, объектно-ориентированный и функциональный подходы, а также настройку среды разработки IntelliJ и запуск проектов. Издание ориентировано на начинающих разработчиков, желающих освоить Kotlin с нуля.</t>
  </si>
  <si>
    <t>Data Structures &amp; Algorithms using Kotlin</t>
  </si>
  <si>
    <t>Hemant Jain</t>
  </si>
  <si>
    <t>Data Structures &amp; Algorithms using Kotlin 2022.pdf</t>
  </si>
  <si>
    <t>Эта книга представляет собой учебное пособие по структурам данных и алгоритмам с использованием языка Kotlin, охватывающее широкий спектр тем от анализа алгоритмов и сортировки до графов, динамического программирования и теории сложности. Ключевые разделы включают работу с линейными структурами (связные списки, стеки, очереди), деревьями, хеш-таблицами, а также различные подходы к решению задач, такие как жадные алгоритмы и метод «разделяй и властвуй». Издание предназначено для читателей, уже имеющих базовые знания программирования, и подходит как для студентов, так и для практикующих разработчиков, желающих углубить понимание алгоритмов в контексте Kotlin.</t>
  </si>
  <si>
    <t>Head First. Kotlin</t>
  </si>
  <si>
    <t>Дон Гриффитс; Дэвид Гриффитс</t>
  </si>
  <si>
    <t>Head First. Kotlin (на русском).pdf</t>
  </si>
  <si>
    <t>Фрагмент представляет собой введение к книге «Head First. Kotlin» Дона и Дэвида Гриффитс. Книга посвящена изучению языка программирования Kotlin, начиная с основ синтаксиса и заканчивая продвинутыми темами, такими как объектно-ориентированное и функциональное программирование, коллекции, обобщения и лямбда-выражения. Издание ориентировано на новичков и использует визуальный, основанный на когнитивистике подход для эффективного обучения. В книге также рассматриваются сопрограммы и тестирование.</t>
  </si>
  <si>
    <t>Java to Kotlin</t>
  </si>
  <si>
    <t>Duncan McGregor; Nat Pryce</t>
  </si>
  <si>
    <t>Java to Kotlin_Final 2021.pdf</t>
  </si>
  <si>
    <t>Книга «Java to Kotlin» Дункана Макгрегора и Ната Прайса предназначена для опытных Java-разработчиков, которые уже освоили основы Kotlin и хотят научиться эффективно проектировать системы и мигрировать существующий Java-код, избегая написания «Java в синтаксисе Kotlin». Вместо обучения языку с нуля авторы делятся практическим опытом рефакторинга и перехода, помогая адаптировать мышление и архитектуру под возможности Kotlin. Книга будет полезна техническим лидерам и разработчикам, ответственным за внедрение Kotlin в бизнес-критичные проекты.</t>
  </si>
  <si>
    <t>Kotlin Coroutines by Tutorials</t>
  </si>
  <si>
    <t>Filip Babić; Luka Kordić; Nishant Srivastava</t>
  </si>
  <si>
    <t>Kotlin Coroutines by Tutorials 2022.pdf</t>
  </si>
  <si>
    <t>Это книга-руководство по корутинам в Kotlin, предназначенная для разработчиков, желающих освоить асинхронное программирование. Она охватывает ключевые концепции, такие как приостанавливающие функции, async/await, контекст корутин, диспетчеризация, обработка исключений и отмена, а также продвинутые темы вроде каналов и Flow. Вторая часть книги посвящена практическому применению корутин в Android-разработке, включая работу с UI, сетевыми запросами, базами данных и библиотеками Jetpack. Материал рассчитан на читателей с базовыми знаниями Kotlin, от новичков до специалистов среднего уровня.</t>
  </si>
  <si>
    <t>Kotlin Kickstart</t>
  </si>
  <si>
    <t>Hunny Gupta;Nishant Gupta</t>
  </si>
  <si>
    <t>Kotlin Kickstart.pdf</t>
  </si>
  <si>
    <t>Эта книга представляет собой введение в язык программирования Kotlin, охватывающее его основные возможности, такие как переменные, типы данных, управляющие конструкции, функции, классы и объекты, а также более продвинутые темы, включая функциональное программирование, конкурентность и разработку под Android. Ключевые концепции включают безопасность типов, нулевую безопасность, иммутабельность переменных (val) и полную совместимость с Java. Материал предназначен для новичков, желающих изучить Kotlin с нуля, включая настройку среды разработки и написание первых программ.</t>
  </si>
  <si>
    <t>Kotlin Multiplatform by Tutorials</t>
  </si>
  <si>
    <t>Kevin Moore</t>
  </si>
  <si>
    <t>raywenderlich</t>
  </si>
  <si>
    <t>Kotlin Multiplatform by Tutorials.pdf</t>
  </si>
  <si>
    <t>Эта книга посвящена использованию Kotlin Multiplatform для обмена кодом между нативными приложениями под Android, iOS и Desktop. В ней рассматриваются вопросы интеграции с платформенными API, выбора архитектуры и фреймворков для UI, а также приводятся практические примеры. Издание предназначено для разработчиков, уже знакомых с основами Kotlin и нативной разработки, которые хотят сократить дублирование кода и затраты на тестирование.</t>
  </si>
  <si>
    <t>Kotlin в иллюстрациях</t>
  </si>
  <si>
    <t>Дэйв Лидс</t>
  </si>
  <si>
    <t>Kotlin в иллюстрациях.pdf</t>
  </si>
  <si>
    <t>Эта книга представляет собой иллюстрированное руководство по основам языка программирования Kotlin, предназначенное для начинающих. В ней последовательно, с помощью наглядных примеров и пояснений, рассматриваются ключевые концепции: переменные, типы данных, функции, условные конструкции (when и if), а также классы, объекты и пакеты. Материал изложен шаг за шагом, что позволяет новичкам построить прочную базу знаний без лишней сложности.</t>
  </si>
  <si>
    <t>Kotlin Волшебство</t>
  </si>
  <si>
    <t>Пьер-Ив Сомон</t>
  </si>
  <si>
    <t>Kotlin Волшебство.pdf</t>
  </si>
  <si>
    <t>Книга Пьера-Ива Сомона посвящена языку программирования Kotlin и его применению в парадигме функционального программирования. В ней рассматриваются такие ключевые концепции, как программирование с функциями, обработка необязательных данных и ошибок, работа со списками, ленивые вычисления и управление изменяемым состоянием. Издание предназначено для разработчиков, знакомых с Java или Kotlin, которые хотят повысить безопасность и надежность своего кода, освоив функциональный подход.</t>
  </si>
  <si>
    <t>Kotlin Programming: The Big Nerd Ranch Guide</t>
  </si>
  <si>
    <t>Josh Skeen; David Greenhalgh</t>
  </si>
  <si>
    <t>Big Nerd Ranch, LLC</t>
  </si>
  <si>
    <t>Kotlin для профи.pdf</t>
  </si>
  <si>
    <t>Книга «Kotlin. Программирование для профессионалов» Джоша Скина и Дэвида Гринхола представляет собой учебное пособие по языку программирования Kotlin со статической типизацией, который используется в разработке под Android. Ключевые разделы включают установку среды IntelliJ IDEA, работу с переменными, константами, типами и условными конструкциями, а также изучение байт-кода Kotlin. Издание основано на курсе Kotlin Essentials от Big Nerd Ranch и подходит как для опытных разработчиков, желающих выйти за рамки Java, так и для новичков, начинающих изучать программирование.</t>
  </si>
  <si>
    <t>Kotlin программирование на примерах</t>
  </si>
  <si>
    <t>Kotlin программирование на примерах 2020.pdf</t>
  </si>
  <si>
    <t>Книга посвящена изучению языка программирования Kotlin через практические примеры и проекты. В ней рассматриваются ключевые концепции, такие как синтаксис, работа с коллекциями, корутины, а также создание приложений под Android и серверных решений. Материал ориентирован на разработчиков, уже знакомых с основами программирования, которые хотят углубить свои навыки в Kotlin.</t>
  </si>
  <si>
    <t>Kotlin. Паттерны проектирования и лучшие практики, 3-е изд.</t>
  </si>
  <si>
    <t>Алексей Сошин</t>
  </si>
  <si>
    <t>Kotlin. Паттерны проектирования и лучшие практики, 3-е изд..pdf</t>
  </si>
  <si>
    <t>Книга Алексея Сошина «Kotlin. Паттерны проектирования и лучшие практики, 3-е изд.» посвящена применению классических и современных паттернов проектирования в языке Kotlin. Издание охватывает порождающие, структурные и поведенческие паттерны, а также углубляется в функциональное программирование, реактивные и конкурентные паттерны, включая корутины и структурированную конкурентность. Особое внимание уделяется архитектурным подходам для микросервисов с использованием фреймворков Ktor и Vert.x. Книга предназначена для разработчиков, уже знакомых с Kotlin, которые хотят применить продвинутые концепции и лучшие практики в своих проектах.</t>
  </si>
  <si>
    <t>Kotlin. Программирование для профессионалов. 2-е изд.</t>
  </si>
  <si>
    <t>Скин Д.; Гринхол Д.; Бэйли Э.</t>
  </si>
  <si>
    <t>Kotlin. Программирование для профи.pdf</t>
  </si>
  <si>
    <t>Книга «Kotlin. Программирование для профессионалов» посвящена изучению современного языка программирования Kotlin, который используется для разработки под Android, а также является мультиплатформенным. Авторы на практических примерах знакомят читателя с ключевыми концепциями языка, начиная с основ и заканчивая продвинутыми темами, такими как сопрограммы, каналы и потоки данных. Издание предназначено для специалистов, желающих углубить свои знания и создавать надежные приложения, а также для тех, кто хочет освоить Kotlin как альтернативу Java.</t>
  </si>
  <si>
    <t>Kotlin. Сборник рецептов</t>
  </si>
  <si>
    <t>Кен Коузен</t>
  </si>
  <si>
    <t>Kotlin. Сборник рецептов.pdf</t>
  </si>
  <si>
    <t>Книга «Kotlin. Сборник рецептов» представляет собой практическое руководство по языку Kotlin, построенное на решении конкретных задач. Она охватывает установку и настройку среды, основы языка, объектно-ориентированное и функциональное программирование, а также работу с коллекциями. Материал структурирован по тематическим главам, каждый рецепт содержит постановку задачи, её решение и подробное обсуждение. Издание предназначено для разработчиков, знакомых с объектно-ориентированным программированием, особенно на Java, и желающих освоить Kotlin на профессиональном уровне.</t>
  </si>
  <si>
    <t>Kotlin Programming for Beginners: An Introduction to Learn the Kotlin Programming Language with Tutorials and Hands-On Examples</t>
  </si>
  <si>
    <t>Metzler, Nathan</t>
  </si>
  <si>
    <t>Lightbulb Publishing</t>
  </si>
  <si>
    <t>Kotlin.Programming.for.Beginners 2021.pdf</t>
  </si>
  <si>
    <t>Книга представляет собой введение в язык программирования Kotlin для начинающих, охватывая его историю, возможности и сферы применения, включая разработку под Android. В ней рассматриваются ключевые концепции: синтаксис, типы данных, переменные, объектно-ориентированное программирование, функции, массивы и строки, а также работа с пользовательским вводом и управление потоком. Издание предназначено для новичков, желающих изучить Kotlin с нуля с помощью практических примеров и пошаговых руководств.</t>
  </si>
  <si>
    <t>Kotlin_Программирование_для_профессионалов.pdf</t>
  </si>
  <si>
    <t>Фрагмент представляет собой введение к книге «Kotlin. Программирование для профессионалов», которая посвящена языку программирования Kotlin со статической типизацией, используемому в Android-разработке. Книга основана на курсе Kotlin Essentials и охватывает ключевые концепции, начиная с установки IntelliJ IDEA и создания первого приложения, а также включает такие темы, как переменные, константы, типы и условные конструкции. Издание предназначено как для опытных разработчиков, желающих выйти за рамки Java, так и для новичков, изучающих свой первый язык программирования.</t>
  </si>
  <si>
    <t>Learning Concurrency in Kotlin</t>
  </si>
  <si>
    <t>Miguel Angel Castiblanco Torres</t>
  </si>
  <si>
    <t>Learning_Concurrency_in_Kotlin_Build_highly_efficient_and_robust.pdf</t>
  </si>
  <si>
    <t>Книга «Learning Concurrency in Kotlin» посвящена созданию высокоэффективных и надёжных приложений на Kotlin с использованием конкурентности. В ней рассматриваются ключевые концепции, такие как процессы, потоки и корутины, объясняется разница между конкурентностью и параллелизмом, а также разбираются типичные проблемы (состояния гонки, взаимоблокировки). Отдельное внимание уделяется практическому применению корутин в Android, включая работу с диспетчерами и асинхронными вызовами. Книга ориентирована на разработчиков, уже знакомых с основами Kotlin, и подходит как для новичков в теме конкурентности, так и для специалистов, желающих углубить знания.</t>
  </si>
  <si>
    <t>Mastering Kotlin: A Beginner’s Guide</t>
  </si>
  <si>
    <t>Mastering Kotlin A Beginner s Guide.pdf</t>
  </si>
  <si>
    <t>Книга «Mastering Kotlin: A Beginner’s Guide» представляет собой подробное руководство по языку программирования Kotlin, начиная с основ и переходя к практическим проектам. В ней рассматриваются ключевые концепции, такие как статическая типизация, работа с Java Virtual Machine, автоматические приведения типов и простой синтаксис, а также объясняется, почему Kotlin стал предпочтительным языком для разработки Android-приложений. Издание предназначено как для опытных разработчиков, так и для новичков без формального опыта в программировании.</t>
  </si>
  <si>
    <t>Волшебство Kotlin</t>
  </si>
  <si>
    <t>Пьер-Ив Симон</t>
  </si>
  <si>
    <t>Волшебство Kotlin (Пьер-Ив Симон) 2020.pdf</t>
  </si>
  <si>
    <t>Книга Пьера-Ива Симона «Волшебство Kotlin» посвящена изучению языка Kotlin с акцентом на функциональное программирование и написание безопасного, выразительного кода. В ней рассматриваются такие ключевые концепции, как программирование с функциями, обработка необязательных данных и ошибок, рекурсия, ленивые вычисления, работа со списками и деревьями, а также управление изменяемым состоянием. Издание предназначено для разработчиков, уже знакомых с Java или Kotlin, которые хотят освоить функциональный подход для создания более надежных и простых в сопровождении программ.</t>
  </si>
  <si>
    <t>Котлин в действии</t>
  </si>
  <si>
    <t>Котлин в действии 2017.pdf</t>
  </si>
  <si>
    <t>Книга «Котлин в действии» посвящена языку программирования Kotlin, его синтаксису, возможностям и практическому применению, особенно в связке с Java и Android-разработкой. Ключевые концепции включают нуль-безопасность, функциональное программирование, работу с коллекциями, лямбда-выражениями и DSL. Издание ориентировано на разработчиков, уже знакомых с Java, и подходит как для специалистов среднего уровня, так и для опытных программистов, желающих освоить Kotlin.</t>
  </si>
  <si>
    <t>От Java к Kotlin</t>
  </si>
  <si>
    <t>Дункан Макгрегор; Нэт Прайс</t>
  </si>
  <si>
    <t>От Java к Kotlin.pdf</t>
  </si>
  <si>
    <t>Книга Дункана Макгрегора и Нэта Прайса посвящена практическим приемам рефакторинга и переноса кода Android-приложений с Java на Kotlin с сохранением совместимости. В ней подробно сравниваются два языка, рассматриваются примеры перевода проектов, переход от классов Java к классам Kotlin, от коллекций к коллекциям Kotlin, а также замена статических методов функциями верхнего уровня. Отдельное внимание уделяется обработке ошибок, управлению проектами со смешанной кодовой базой и функциональному программированию на Kotlin. Издание предназначено для программистов, уже знакомых с Java и желающих освоить Kotlin для разработки под Android.</t>
  </si>
  <si>
    <t>Mathematica Beyond Mathematics: The Wolfram Language in the Real World: Second Edition</t>
  </si>
  <si>
    <t>José Guillermo Sánchez León</t>
  </si>
  <si>
    <t>Программирование/MATLAB</t>
  </si>
  <si>
    <t>MATLAB</t>
  </si>
  <si>
    <t>Mathematica_Beyond_Mathematics 2Ed.pdf</t>
  </si>
  <si>
    <t>C:\Users\alexa\YandexDisk\Книги\Программирование\MATLAB</t>
  </si>
  <si>
    <t>Это второе издание книги, посвящённой практическому применению языка Wolfram Language и системы Mathematica для решения реальных задач из различных областей — от физики и экономики до машинного обучения и анализа больших данных. Ключевые концепции включают моделирование природных явлений, работу с радиоактивными изотопами, генетическое сравнение организмов и новые возможности версии Mathematica 13. Книга предназначена для читателей с разным уровнем подготовки, позволяя постепенно наращивать навыки работы с синтаксисом Mathematica.</t>
  </si>
  <si>
    <t>MATLAB. Теория и практика</t>
  </si>
  <si>
    <t>Амос Гилат</t>
  </si>
  <si>
    <t>MATLAB. Теория и практика.pdf</t>
  </si>
  <si>
    <t>Книга Амоса Гилата представляет собой практическое введение в пакет MATLAB, предназначенное для решения задач технических вычислений. Издание охватывает все ключевые концепции: от простых арифметических операций со скалярами и создания массивов до работы с трехмерными графиками и решения дифференциальных уравнений. Материал включает учебные примеры, снимки экранов и домашние задания, что делает освоение программы основательным. Книга предназначена в первую очередь для студентов технических вузов, а также для инженеров и научных работников, начинающих или продолжающих изучение MATLAB.</t>
  </si>
  <si>
    <t>Теория автоматического управления (с использованием MATLAB — SIMULINK)</t>
  </si>
  <si>
    <t>Ю. И. Кудинов; Ф. Ф. Пащенко</t>
  </si>
  <si>
    <t>Теория_автоматического_управления.pdf</t>
  </si>
  <si>
    <t>Данный фрагмент представляет собой введение к учебному пособию «Теория автоматического управления (с использованием MATLAB — SIMULINK)» под редакцией Ю. И. Кудинова и Ф. Ф. Пащенко. Книга посвящена современным методам анализа и синтеза систем управления, включая линейные, дискретные и нелинейные системы, с акцентом на практическое применение программного пакета MATLAB для численных расчётов и моделирования. Ключевые разделы охватывают основные понятия ТАУ, линейные модели, анализ устойчивости и качества переходных процессов, а также синтез систем при детерминированных воздействиях. Пособие предназначено для студентов (бакалавров, магистров и аспирантов), обучающихся по направлениям «Прикладная математика и физика» и «Управление в технических системах», то есть для уровня от начального до продвинутого.</t>
  </si>
  <si>
    <t>PHP and MySQL: Creating Internet Shops</t>
  </si>
  <si>
    <t>Larry Ullman</t>
  </si>
  <si>
    <t>Программирование/PHP</t>
  </si>
  <si>
    <t>PHP</t>
  </si>
  <si>
    <t>! РНР_и_MySQL_создание_интернет_магазинов.pdf</t>
  </si>
  <si>
    <t>C:\Users\alexa\YandexDisk\Книги\Программирование\PHP</t>
  </si>
  <si>
    <t>Книга Ларри Ульмана «PHP и MySQL: создание интернет-магазинов» посвящена практическому построению сайтов электронной коммерции с использованием связки PHP и MySQL. В ней рассматриваются ключевые этапы разработки: от основ безопасности и выбора хостинга до создания каталогов, корзин, интеграции с платёжными системами (PayPal, Яндекс.Деньги) и администрирования. Издание предназначено для разработчиков, уже имеющих базовые знания PHP и MySQL, и помогает освоить создание как виртуальных, так и реальных товарных площадок.</t>
  </si>
  <si>
    <t>PHP and MySQL</t>
  </si>
  <si>
    <t>Brett McLaughlin</t>
  </si>
  <si>
    <t>Brett McLaughlin.PHP and MySQL.- 2013.pdf</t>
  </si>
  <si>
    <t>Эта книга представляет собой исчерпывающее руководство по созданию динамических веб-сайтов с использованием PHP и MySQL, предназначенное для разработчиков, уже имеющих опыт работы с CSS и JavaScript. Ключевые разделы охватывают синтаксис PHP и SQL, управление базами данных, создание динамических страниц, обработку ошибок, работу с файлами и изображениями, а также вопросы безопасности, аутентификации и управления сессиями. Издание рассчитано на читателей, желающих перейти от статической верстки к серверному программированию и созданию полноценных веб-приложений.</t>
  </si>
  <si>
    <t>Learning PHP</t>
  </si>
  <si>
    <t>David Sklar</t>
  </si>
  <si>
    <t>David Sklar Learning PHP 2016.pdf</t>
  </si>
  <si>
    <t>Книга Дэвида Скляра «Learning PHP» представляет собой введение в язык PHP, ориентированное на создание динамических веб-сайтов на стороне сервера, с акцентом на возможности PHP 5.x и нововведения PHP 7. Ключевые разделы охватывают основы языка (типы данных, переменные, логику, циклы), работу с массивами, функциями и объектами, а также практические темы: создание и валидацию веб-форм, взаимодействие с базами данных, управление сессиями и доступ к API. Издание предназначено для новичков, желающих освоить веб-программирование, фронтенд-разработчиков, стремящихся изучить серверную часть, и опытных программистов, знакомящихся с современным PHP.</t>
  </si>
  <si>
    <t>Drupal 10 Module Development</t>
  </si>
  <si>
    <t>Daniel Sipos</t>
  </si>
  <si>
    <t>DRUPAL-10.pdf</t>
  </si>
  <si>
    <t>Эта книга представляет собой практическое руководство по разработке модулей для Drupal 10, охватывающее создание первого модуля, работу с API логирования, почты, токенов, тем оформления, меню и системой хранения данных. Ключевые концепции включают архитектуру Drupal, хуки, сервисы, контроллеры, Form API, блоки, сущности и TypedData. Издание предназначено для разработчиков, уже знакомых с основами Drupal и желающих углубить свои навыки в создании корпоративных приложений.</t>
  </si>
  <si>
    <t>Laravel 9</t>
  </si>
  <si>
    <t>Laravel 9.zip</t>
  </si>
  <si>
    <t>Laravel 8. Быстрая разработка веб-сайтов на PHP</t>
  </si>
  <si>
    <t>Laravel_8_Быстрая_разработка_веб_сайтов_на_PHP.pdf</t>
  </si>
  <si>
    <t>Книга Владимира Дронова представляет собой полное руководство по фреймворку Laravel 8 для быстрой разработки веб-сайтов на PHP. Она охватывает ключевые концепции, такие как модели, контроллеры, шаблоны, валидация, разграничение доступа, работа с очередями, кэширование и веб-службы REST, а также включает практический пример создания электронной доски объявлений. Издание предназначено для веб-программистов, начиная с краткого вводного курса для новичков и заканчивая углубленными темами для опытных разработчиков.</t>
  </si>
  <si>
    <t>Laravel: Up &amp; Running</t>
  </si>
  <si>
    <t>Мэтт Стаффер</t>
  </si>
  <si>
    <t>Laravel_Полное_руководство.pdf</t>
  </si>
  <si>
    <t>Это второе издание книги Мэтта Стаффера, представляющее собой полное руководство по PHP-фреймворку Laravel, в котором основное внимание уделяется его скорости, простоте и чистоте кода. Ключевые разделы охватывают маршрутизацию, контроллеры, шаблонизатор Blade, работу с базами данных через Eloquent, аутентификацию, тестирование, создание API и экосистему инструментов вроде Laravel Dusk и Horizon. Книга предназначена для опытных PHP-разработчиков, желающих быстро освоить фреймворк для реализации проектов, а также для тех, кто хочет углубить свои знания.</t>
  </si>
  <si>
    <t>Beginning PHP</t>
  </si>
  <si>
    <t>David Carr;Markus Gray</t>
  </si>
  <si>
    <t>Packt.Beginning.PHP - 2018.pdf</t>
  </si>
  <si>
    <t>Книга «Beginning PHP» представляет собой руководство по освоению современной разработки на PHP 7, охватывающее основы языка, включая переменные, операторы, массивы, циклы, функции, классы и работу с базами данных. Ключевые разделы посвящены построению веб-приложений, объектно-ориентированному программированию и практическим проектам, таким как калькулятор зарплаты сотрудника. Издание предназначено для новичков, желающих изучить PHP с нуля и перейти к созданию полноценных веб-приложений.</t>
  </si>
  <si>
    <t>PHP 8 Objects, Patterns, and Practice</t>
  </si>
  <si>
    <t>Matt Zandstra</t>
  </si>
  <si>
    <t>PHP 8 объекты, шаблоны и методики.pdf</t>
  </si>
  <si>
    <t>Это шестое издание книги Мэтта Зандстры, посвященное объектно-ориентированному программированию на PHP 8, проектным шаблонам и современным методикам разработки. Книга разделена на три части: основы работы с объектами, классические и корпоративные шаблоны проектирования, а также практические инструменты (Composer, Git, PHPUnit, непрерывная интеграция). Издание полностью обновлено с учетом версии PHP 8, включая атрибуты и новые возможности типизации. Книга предназначена для разработчиков, уже знакомых с PHP и желающих углубить знания в ООП, архитектуре и профессиональных практиках.</t>
  </si>
  <si>
    <t>PHP 8. Наиболее полное руководство</t>
  </si>
  <si>
    <t>Дмитрий Катеров; Игорь Симдянов</t>
  </si>
  <si>
    <t>PHP 8. Наиболее полное руководство.pdf</t>
  </si>
  <si>
    <t>Книга представляет собой полное руководство по языку PHP 8, охватывающее все значимые нововведения версии, включая новые типы, атрибуты, перечисления, именованные аргументы и объединенные типы. Основной упор сделан на объектно-ориентированное программирование, при этом подробно рассматриваются работа с массивами, файлами, СУБД PostgreSQL, Redis и другими инструментами. Издание предназначено для веб-программистов, его можно использовать как для изучения языка с нуля, так и для структурирования знаний опытными специалистами.</t>
  </si>
  <si>
    <t>PHP Objects, Patterns, and Practice</t>
  </si>
  <si>
    <t>PHP Объекты и шаблоны программирования 2015.pdf</t>
  </si>
  <si>
    <t>Книга Мэтта Зандстры «PHP: объекты, шаблоны и методики программирования» (4-е издание) посвящена углублённому изучению объектно-ориентированного программирования на PHP, применению проектных шаблонов и лучших практик разработки. Ключевые разделы охватывают основы и расширенные возможности ООП в PHP, каталог шаблонов проектирования (включая генерацию объектов, гибкие объекты и корпоративные шаблоны), а также практические аспекты: контроль версий, тестирование, автоматическую сборку и непрерывную интеграцию. Издание предназначено для PHP-разработчиков среднего и продвинутого уровня, стремящихся повысить качество и сопровождаемость своего кода.</t>
  </si>
  <si>
    <t>PHP. Рецепты программирования</t>
  </si>
  <si>
    <t>David Sklar; Adam Trachtenberg</t>
  </si>
  <si>
    <t>PHP Рецепты программирования.pdf</t>
  </si>
  <si>
    <t>Третье издание книги «PHP. Рецепты программирования» представляет собой сборник готовых решений для наиболее распространённых задач на языке PHP, обновлённый под версию 5.4. Книга охватывает широкий спектр тем: от базовых типов данных и работы со строками до безопасности, графики, REST API и оптимизации производительности. Каждый рецепт является самодостаточным и демонстрирует полный путь решения задачи, включая основы ООП и новые функциональные возможности. Издание предназначено для разработчиков любого уровня, от новичков до опытных специалистов, желающих быстро найти практическое решение.</t>
  </si>
  <si>
    <t>PHP: The Ultimate Guide</t>
  </si>
  <si>
    <t>PHP-The Ultimate Guide.pdf</t>
  </si>
  <si>
    <t>Книга Sufyan bin Uzayr представляет собой подробное руководство по PHP, предназначенное как для новичков, так и для опытных разработчиков, желающих углубить знания. В ней рассматриваются основы языка, его возможности (работа с базами данных, аутентификация, платежи) и свойства, такие как кроссплатформенность и простота синтаксиса. Особый акцент сделан на написании оптимизированного и хорошо структурированного кода, а также на решении реальных задач с помощью продвинутых упражнений. Издание включает в себя ускоренный курс по базовым концепциям и главы, посвящённые методологии программирования.</t>
  </si>
  <si>
    <t>PHP-задачник</t>
  </si>
  <si>
    <t>PHP-задачник.zip</t>
  </si>
  <si>
    <t>PHP_8_объекты,_шаблоны_и_методики_программирования,_6_е_издание.pdf</t>
  </si>
  <si>
    <t>Книга Мэтта Зандстры посвящена объектно-ориентированному программированию на PHP, проектным шаблонам и современным методикам разработки, полностью обновлена для версии PHP 8. Ключевые разделы охватывают основы и расширенные возможности ООП, классические проектные шаблоны (генерации, гибких объектов, корпоративных приложений), а также практические инструменты, такие как Composer, Git, PHPUnit и непрерывная интеграция. Издание предназначено для разработчиков, уже знакомых с PHP, которые хотят углубить знания в области проектирования и создания надежного кода.</t>
  </si>
  <si>
    <t>PHP и MySQL. Исчерпывающее руководство</t>
  </si>
  <si>
    <t>Маклафлин Б.</t>
  </si>
  <si>
    <t>PHP_и_MySQL_Исчерпывающее_руководство.pdf</t>
  </si>
  <si>
    <t>Книга Бретта Маклафлина «PHP и MySQL. Исчерпывающее руководство» посвящена созданию динамических веб-сайтов с использованием серверного языка PHP и базы данных MySQL. Ключевые разделы охватывают написание PHP-сценариев и SQL-запросов, управление базами данных, создание динамических страниц, обработку ошибок, работу с файлами и изображениями, а также вопросы безопасности и аутентификации пользователей. Издание предназначено для разработчиков, уже имеющих опыт работы с CSS и JavaScript, и желающих перейти на уровень серверного программирования.</t>
  </si>
  <si>
    <t>PHP и MySQL. От новичка к профессионалу</t>
  </si>
  <si>
    <t>Кевин Янк</t>
  </si>
  <si>
    <t>PHP_и_MySQL_от_новичка до проф. 2015.pdf</t>
  </si>
  <si>
    <t>Книга Кевина Янка «PHP и MySQL. От новичка к профессионалу» представляет собой практическое руководство по созданию сайтов на основе базы данных с использованием бесплатного программного обеспечения. В издании рассматриваются установка и настройка PHP и MySQL, проектирование реляционных баз данных, структурное программирование, создание системы управления содержимым (CMS), а также работа с куками, сессиями и бинарными данными. Материал ориентирован на начинающих разработчиков, желающих освоить создание динамических веб-сайтов с нуля до профессионального уровня.</t>
  </si>
  <si>
    <t>PHP. Полное руководство и справочник функций</t>
  </si>
  <si>
    <t>Лукьянов М. Ю.</t>
  </si>
  <si>
    <t>PHP_Полное_руководство_и_справочник_функций_2020_Лукьянов.pdf</t>
  </si>
  <si>
    <t>Эта книга представляет собой полное руководство по языку PHP, предназначенное для изучения с нуля до создания собственных приложений. Она охватывает основы языка, работу со строками и массивами, объектно-ориентированное программирование, взаимодействие с базами данных и графикой, а также вопросы безопасности. Значительная часть издания отведена подробному алфавитному справочнику функций PHP с описанием параметров и возвращаемых значений. Издание будет полезно программистам любого уровня — от начинающих до продвинутых пользователей.</t>
  </si>
  <si>
    <t>Symfony 5: The Fast Track</t>
  </si>
  <si>
    <t>Fabien Potencier</t>
  </si>
  <si>
    <t>Symfony SAS</t>
  </si>
  <si>
    <t>Symfony 5. Быстрый старт.pdf</t>
  </si>
  <si>
    <t>Книга «Symfony 5: Быстрый старт» Фабьена Потенсье представляет собой практическое руководство по веб-разработке на фреймворке Symfony 5, охватывающее полный цикл создания приложения — от настройки окружения до развертывания. Ключевые разделы включают работу с контроллерами, базами данных (Doctrine), формами, безопасностью, API, кешированием, асинхронностью и тестированием. Издание предназначено для разработчиков, уже знакомых с основами PHP, которые хотят быстро освоить современные возможности Symfony 5 на практических примерах.</t>
  </si>
  <si>
    <t>Быстрый_старт_Symfony_2020.pdf</t>
  </si>
  <si>
    <t>Книга «Symfony 5: The Fast Track» представляет собой практическое руководство по веб-разработке с использованием фреймворка Symfony 5, охватывающее полный цикл создания приложения — от настройки окружения до развертывания и оптимизации. Ключевые разделы включают создание контроллеров, работу с базами данных через Doctrine, разработку API, тестирование, кеширование, асинхронность и локализацию. Материал предназначен для разработчиков, уже знакомых с PHP, которые хотят быстро освоить Symfony на практических примерах.</t>
  </si>
  <si>
    <t>PHP and MySQL Web Development</t>
  </si>
  <si>
    <t>Luke Welling; Laura Thomson</t>
  </si>
  <si>
    <t>Веллинг_Л_,_Томсон_Л_Разработка_веб_приложений_с_помощью_PHP_и_MySQL.zip</t>
  </si>
  <si>
    <t>Книга Люка Веллинга и Лоры Томсон «Разработка веб-приложений с помощью PHP и MySQL» (пятое издание) представляет собой практическое руководство по созданию динамических веб-сайтов с использованием связки PHP и MySQL. Ключевые разделы охватывают основы PHP (включая объектно-ориентированное программирование), проектирование и администрирование баз данных MySQL, вопросы безопасности веб-приложений, а также продвинутые темы, такие как интеграция с JavaScript и работа с фреймворком Laravel. Издание предназначено как для начинающих разработчиков, желающих освоить веб-программирование с нуля, так и для специалистов, стремящихся углубить знания в области создания защищенных и масштабируемых проектов.</t>
  </si>
  <si>
    <t>Изучаем PHP 7. Руководство по созданию интерактивных веб-сайтов</t>
  </si>
  <si>
    <t>Дэвид Скляр</t>
  </si>
  <si>
    <t>Дэвид Скляр - Изучаем РНР 7.  Руководство по созданию интерактивных веб-сайтов - 2017.pdf</t>
  </si>
  <si>
    <t>Книга Дэвида Скляра представляет собой вводное руководство по языку PHP 7 для создания интерактивных веб-сайтов. Она охватывает ключевые концепции: работу с числами и текстом, управляющую логику, массивы, функции, объекты, веб-формы, базы данных, файлы, cookie и сеансы, а также отладку и тестирование. Издание предназначено для начинающих разработчиков, желающих освоить создание динамических веб-приложений с нуля.</t>
  </si>
  <si>
    <t>PHP для начинающих</t>
  </si>
  <si>
    <t>Жадаев</t>
  </si>
  <si>
    <t>Жадаев PHP для начинающих 2014.djvu</t>
  </si>
  <si>
    <t>Книга Александра Жадаева «PHP для начинающих» представляет собой практическое руководство по основам веб-программирования на языке PHP. В ней рассматриваются ключевые концепции: синтаксис языка, работа с переменными, массивами, функциями, управляющими конструкциями, а также основы взаимодействия с базами данных и формами. Издание ориентировано на новичков, которые только начинают изучать веб-разработку и хотят освоить создание динамических сайтов с нуля.</t>
  </si>
  <si>
    <t>Александр Жадаев</t>
  </si>
  <si>
    <t>Жадаев PHP для начинающих 2014.pdf</t>
  </si>
  <si>
    <t>Книга Александра Жадаева «PHP для начинающих» представляет собой практическое руководство по изучению языка PHP для создания динамических веб-приложений. В издании рассматриваются основы синтаксиса PHP, работа с базами данных MySQL, технология AJAX для загрузки данных, а также введение в объектно-ориентированное программирование. Материал ориентирован на читателей, уже имеющих опыт верстки веб-страниц и желающих перейти на новый уровень разработки.</t>
  </si>
  <si>
    <t>Как написать и продать свой PHP скрипт</t>
  </si>
  <si>
    <t>Самуэль Акопян</t>
  </si>
  <si>
    <t>Как написать и продать PHP скрипт.pdf</t>
  </si>
  <si>
    <t>Книга Самуэля Акопяна представляет собой практическое руководство для разработчиков, которые хотят монетизировать свои PHP-скрипты. Автор последовательно разбирает этапы от выбора типа проекта и предпродажной подготовки (включая лицензирование, ценообразование и защиту кода) до организации продаж, технической поддержки и масштабирования бизнеса. Особое внимание уделяется юридическим и финансовым аспектам, таким как налоги, рефанды и работа с «вредными» клиентами. Материал рассчитан на начинающих и опытных разработчиков, которые уже создали продукт и ищут пошаговую инструкцию по его коммерциализации.</t>
  </si>
  <si>
    <t>PHP 7</t>
  </si>
  <si>
    <t>Котеров Д. В.; Симдянов И. В.</t>
  </si>
  <si>
    <t>Котеров_PHP_7_Наиболее_полное_руководство.pdf</t>
  </si>
  <si>
    <t>Книга представляет собой наиболее полное руководство по языку PHP 7, охватывающее как основы языка, так и его рабочее окружение. Ключевые разделы включают синтаксис PHP 7, работу с массивами, файлами, базами данных MySQL, а также современные инструменты разработки, такие как Git, Composer и стандарты PSR. Издание предназначено для Web-программистов разного уровня, от новичков до опытных специалистов, и содержит обновлённые главы, отражающие радикальные изменения в языке.</t>
  </si>
  <si>
    <t>Modern PHP</t>
  </si>
  <si>
    <t>Josh Lockhart</t>
  </si>
  <si>
    <t>Локхарт  Современный PHP 2016.pdf</t>
  </si>
  <si>
    <t>Книга Джоша Локхарта «Современный PHP» посвящена новым возможностям и передовым практикам языка PHP, который превратился в зрелый объектно-ориентированный язык. Ключевые разделы охватывают особенности языка (пространства имен, трейты, генераторы, замыкания), стандарты PHP-FIG, а также методы проектирования, работы с базами данных, безопасности, тестирования и развертывания. Издание предназначено для разработчиков, уже знакомых с PHP и желающих углубить свои знания о современных подходах и инструментах.</t>
  </si>
  <si>
    <t>Лукьянов_М_PHP_Полное_руководство_и_справочник_функций_2020.pdf</t>
  </si>
  <si>
    <t>Эта книга представляет собой полное руководство по языку PHP, предназначенное для изучения веб-программирования с нуля. Она охватывает основы языка, работу со строками, массивами, объектно-ориентированное программирование, сессии, базы данных, графику и вопросы безопасности. Значительная часть издания отведена подробному алфавитному справочнику функций PHP с описанием параметров и возвращаемых значений. Издание будет полезно как начинающим, так и продвинутым программистам.</t>
  </si>
  <si>
    <t>Principles of Package Design: Creating Reusable Software Components</t>
  </si>
  <si>
    <t>Маттиас Нобак</t>
  </si>
  <si>
    <t>Нобак_Принципы_разработки_програмных_пакетов.pdf</t>
  </si>
  <si>
    <t>Книга Маттиаса Нобака посвящена проектированию повторно используемых программных компонентов (пакетов) и восполняет пробел в литературе по организации кода на уровне выше классов. В ней подробно разбираются ключевые принципы SOLID применительно к пакетам, включая единственную ответственность, открытость/закрытость, подстановку Лисков, разделение интерфейса и инверсию зависимостей, а также техники обеспечения связности и снижения зацепления. Издание адресовано программистам, использующим объектно-ориентированные языки, и будет полезно как специалистам, стремящимся углубить знания в архитектуре, так и разработчикам среднего уровня, желающим научиться создавать качественные, легко поддерживаемые пакеты.</t>
  </si>
  <si>
    <t>Организация доступа к данным из PHP приложений для различных СУБД</t>
  </si>
  <si>
    <t>Владимир Шабашов</t>
  </si>
  <si>
    <t>ОРГАНИЗАЦИЯ_ДОСТУПА_К_ДАННЫМ_ИЗ_PHP_ПРИЛОЖЕНИЙ_ДЛЯ_РАЗЛИЧНЫХ_СУБД.pdf</t>
  </si>
  <si>
    <t>Это учебное пособие Владимира Шабашова посвящено организации доступа к данным из PHP-приложений для четырёх систем управления базами данных: MySQL, Microsoft SQL Server, Firebird и PostgreSQL. Ключевые разделы книги охватывают установку PHP-расширений для работы с СУБД, концепцию унифицированных функций доступа, а также пошаговое создание вспомогательных функций (ExecNonQuery и ExecQuery) для каждой из рассматриваемых баз данных. Пособие предназначено для студентов, изучающих веб-программирование, и разработчиков, желающих упростить создание информационных систем, и может использоваться как для обучения, так и для практического применения.</t>
  </si>
  <si>
    <t>Погружение в Рефакторинг (PHP)</t>
  </si>
  <si>
    <t>Александр Швец</t>
  </si>
  <si>
    <t>Refactoring.Guru</t>
  </si>
  <si>
    <t>Погружение в рефакторинг (PHP) 2017.pdf</t>
  </si>
  <si>
    <t>Эта книга Александра Швеца посвящена рефакторингу кода на PHP и является вспомогательным материалом к одноименному онлайн-курсу. Она разделена на две основные секции: «Запахи плохого кода» (признаки проблем, такие как длинные методы и большие классы) и «Техники рефакторинга» (способы улучшения такого кода). Материал предназначен для разработчиков, уже знакомых с основами программирования, которые хотят научиться поддерживать и улучшать качество существующего кода.</t>
  </si>
  <si>
    <t>Программирование на PHP в примерах и задачах</t>
  </si>
  <si>
    <t>Российский компьютерный бестселлер</t>
  </si>
  <si>
    <t>Программирование на PHP в примерах и задачах.pdf</t>
  </si>
  <si>
    <t>Книга представляет собой практическое руководство по языку программирования PHP, начиная с основ: установки программного обеспечения, написания первой программы и работы с переменными и типами данных. Ключевые разделы охватывают управляющие конструкции (условия и циклы), массивы, функции, включая рекурсию и анонимные функции. Материал предназначен для новичков, желающих освоить PHP с нуля через примеры и задачи.</t>
  </si>
  <si>
    <t>Программирование с использованием PHP и MySQL в разработке веб-приложений</t>
  </si>
  <si>
    <t>Паршукова, Н.Б.</t>
  </si>
  <si>
    <t>Издательство Южно-Уральского государственного гуманитарно-педагогического университета</t>
  </si>
  <si>
    <t>Программирование_с_использованием_PHP_и_MySQL_в_разработке_в.pdf</t>
  </si>
  <si>
    <t>Это учебное пособие посвящено обучению технологии создания веб-приложений с использованием языка программирования PHP и системы управления базами данных MySQL. Книга охватывает как теоретические основы, включая синтаксис PHP, работу с формами, сессиями и файлами, так и практические аспекты, такие как создание базы данных, написание SQL-запросов и разработка модульной архитектуры веб-приложения. Пособие предназначено для студентов бакалавриата, изучающих информационные системы и педагогическое образование, а также для всех, кто уже знаком с основами программирования и хочет освоить веб-разработку.</t>
  </si>
  <si>
    <t>Разработка веб-приложений на PHP 8</t>
  </si>
  <si>
    <t>Колесниченко Д. Н.</t>
  </si>
  <si>
    <t>Разработка веб-приложений на PHP 8.pdf</t>
  </si>
  <si>
    <t>Книга Дмитрия Колесниченко посвящена созданию веб-приложений на языке PHP версии 8.x. В ней рассматриваются установка и настройка серверного окружения (Apache, MySQL, XAMPP), основы синтаксиса PHP, а также работа с фреймворком Laravel, шаблонизатором Blade и базами данных MySQL и MongoDB. Особое внимание уделяется вопросам безопасности веб-приложений, включая защиту от атак и установку SSL-сертификатов. Издание предназначено для веб-программистов, как начинающих, так и практикующих специалистов.</t>
  </si>
  <si>
    <t>Principles of Package Design</t>
  </si>
  <si>
    <t>Matthias Noback</t>
  </si>
  <si>
    <t>Разработка программных пакетов.pdf</t>
  </si>
  <si>
    <t>Книга Маттиаса Нобака посвящена принципам проектирования повторно используемых программных компонентов (пакетов) и организации кода в группы любого размера. В ней подробно разбираются ключевые концепции объектно-ориентированного проектирования, такие как принципы SOLID (единственной ответственности, открытости/закрытости, подстановки Лисков, разделения интерфейса и инверсии зависимостей), а также техники обеспечения связности и снижения зацепления. Издание адресовано программистам, использующим объектно-ориентированные языки, и рассчитано на специалистов, уже имеющих базовый опыт разработки.</t>
  </si>
  <si>
    <t>PHP and MySQL: создание интернет-магазинов</t>
  </si>
  <si>
    <t>Ларри Ульман</t>
  </si>
  <si>
    <t>РНР_и_MySQL_создание_интернет_магазинов.pdf</t>
  </si>
  <si>
    <t>Книга Ларри Ульмана «PHP и MySQL: создание интернет-магазинов» посвящена практическому построению сайтов электронной коммерции с использованием PHP и MySQL. В ней рассматриваются ключевые концепции: основы безопасности, создание учетных записей пользователей, управление контентом, интеграция платежных систем (включая PayPal и Яндекс.Деньги), а также разработка каталога товаров и корзины для реальных и виртуальных продуктов. Издание предназначено для разработчиков, уже имеющих базовые знания веб-программирования, и содержит пошаговые инструкции по созданию полнофункциональных интернет-магазинов.</t>
  </si>
  <si>
    <t>Самоучитель PHP 7</t>
  </si>
  <si>
    <t>Максим Кузнецов; Игорь Симдянов</t>
  </si>
  <si>
    <t>Самоучитель PHP 7.pdf</t>
  </si>
  <si>
    <t>Книга представляет собой самоучитель по языку PHP версии 7, ориентированный на веб-разработчиков. Основной упор в издании сделан на объектно-ориентированное программирование, шаблоны проектирования, итераторы и генераторы, а также на взаимодействие с современными базами данных, такими как PostgreSQL и Redis. Материал включает практические задания для закрепления, а электронный архив с кодами доступен на сайтах издательства. Книга рассчитана на читателей, уже имеющих базовые навыки веб-разработки и желающих освоить новейшие возможности PHP 7.</t>
  </si>
  <si>
    <t>Создаем динамические веб-сайты на PHP</t>
  </si>
  <si>
    <t>Кевин Татро; Питер Макинтайр</t>
  </si>
  <si>
    <t>Создаем_динамические_веб_сайты_на_PHP_4_е_международное_издание.pdf</t>
  </si>
  <si>
    <t>Это четвёртое международное издание книги Кевина Татро и Питера Макинтайра, посвящённое обучению созданию качественных веб-приложений на языке PHP. Книга охватывает полный спектр тем: от основ синтаксиса, типов данных и управляющих конструкций до работы с базами данных (MySQL и MongoDB), графикой, PDF, XML, JSON, а также вопросами безопасности и отладки. Издание предназначено для начинающих разработчиков, уже знакомых с HTML, и содержит множество практических примеров и рекомендаций по стилю программирования.</t>
  </si>
  <si>
    <t>Татро Макинтайр Создаем_динамические_веб_сайты_на_PHP - 2021.pdf</t>
  </si>
  <si>
    <t>Эта книга представляет собой практическое руководство по созданию динамических веб-сайтов на PHP, охватывающее синтаксис языка, работу с базами данных (MySQL и MongoDB), безопасность и веб-технологии. Ключевые разделы включают основы языка, функции, строки, массивы, объекты, обработку форм и сессий, а также генерацию изображений и PDF. Издание предназначено для начинающих разработчиков, уже знакомых с HTML, и содержит рекомендации по стилю программирования от опытных авторов.</t>
  </si>
  <si>
    <t>PHP. Быстрый старт</t>
  </si>
  <si>
    <t>Хопкинс</t>
  </si>
  <si>
    <t>Хопкинс PHP. Быстрый старт 2013.djvu</t>
  </si>
  <si>
    <t>Данный фрагмент книги Каллена Хопкинса «PHP. Быстрый старт» посвящён основам языка PHP и предназначен для начинающих разработчиков. В отрывке рассматриваются ключевые концепции, такие как синтаксис, работа с переменными и базовые конструкции языка. Книга ориентирована на новичков, желающих быстро освоить практические аспекты PHP для создания веб-приложений.</t>
  </si>
  <si>
    <t>Хопкинс PHP. Быстрый старт 2013.pdf</t>
  </si>
  <si>
    <t>Книга представляет собой практическое руководство по языку PHP, предназначенное для быстрого старта. В ней рассматриваются основы языка, включая установку сервера, работу с переменными, массивами, условными операторами и циклами, а также взаимодействие с базами данных MySQL. Особое внимание уделяется пошаговому созданию работающего блог-приложения и повышению безопасности PHP-кода. Издание ориентировано на начинающих разработчиков, желающих за несколько дней получить солидную базу для самостоятельного написания PHP-кода.</t>
  </si>
  <si>
    <t>Pyomo – Optimization Modeling in Python</t>
  </si>
  <si>
    <t>Michael L. Bynum; Gabriel A. Hackebeil; William E. Hart; Carl D. Laird; Bethany L. Nicholson; John D. Siirola; Jean-Paul Watson; David L. Woodruff</t>
  </si>
  <si>
    <t>Программирование/Python</t>
  </si>
  <si>
    <t>Python</t>
  </si>
  <si>
    <t>!!!!Pyomo_Моделирование_оптимизации_на_Python_2023.pdf</t>
  </si>
  <si>
    <t>C:\Users\alexa\YandexDisk\Книги\Программирование\Python</t>
  </si>
  <si>
    <t>Книга представляет собой полное руководство по пакету Pyomo с открытым исходным кодом, предназначенному для формулирования и решения крупномасштабных задач оптимизации на языке Python. В ней рассматриваются ключевые концепции математического моделирования, линейные и нелинейные модели, а также интеграция с решателями, при этом особое внимание уделяется объектно-ориентированному дизайну и выразительным возможностям моделирования. Издание предназначено как для начинающих, так и для опытных разработчиков моделей, включая студентов, научных работников и инженеров-практиков.</t>
  </si>
  <si>
    <t>The Well-Grounded Python Developer MEAP V05</t>
  </si>
  <si>
    <t>Doug Farrell</t>
  </si>
  <si>
    <t>!!!The Well-Grounded Python Developer MEAP5_2022.pdf</t>
  </si>
  <si>
    <t>Книга «The Well-Grounded Python Developer» предназначена для программистов, уже освоивших основы Python, и ставит целью превратить их в полноценных разработчиков, способных мыслить масштабно и решать сложные задачи. Автор проводит читателя через процесс создания веб-приложения (блог-платформы), акцентируя внимание не на конечном продукте, а на пути разработки: выборе архитектуры, паттернов и инструментов. Ключевые разделы охватывают настройку окружения, работу с пространствами имён, API, объектно-ориентированное программирование, обработку исключений, аутентификацию и сохранение данных. Книга рассчитана на читателей, которые уже уверенно владеют синтаксисом Python и хотят перейти на уровень профессионального разработчика.</t>
  </si>
  <si>
    <t>Основы Python для Data Science</t>
  </si>
  <si>
    <t>Кеннеди Берман</t>
  </si>
  <si>
    <t>!!!Основы Python для Data Science.pdf</t>
  </si>
  <si>
    <t>Эта книга представляет собой практическое руководство по основам языка Python для решения задач Data Science и машинного обучения. Автор начинает с изучения среды Jupyter Notebook, затем последовательно разбирает ключевые библиотеки: NumPy, SciPy, Pandas, библиотеки визуализации и машинного обучения. В завершение рассматриваются продвинутые техники Python, такие как функциональное и объектно-ориентированное программирование. Издание ориентировано на начинающих специалистов, желающих освоить программирование на Python для работы с данными.</t>
  </si>
  <si>
    <t>Python. Сборник упражнений</t>
  </si>
  <si>
    <t>Бен Стивенсон</t>
  </si>
  <si>
    <t>!!Python Сборник упражнений.pdf</t>
  </si>
  <si>
    <t>Книга представляет собой сборник из 186 задач по программированию на Python разной степени сложности, сгруппированных по темам: введение в программирование, принятие решений, списки, циклы, функции, словари, файлы и исключения, рекурсия. Для ряда упражнений приведены подробные решения с разбором кода. Издание предназначено для начинающих программистов, обладающих базовыми знаниями Python, и может использоваться как дополнение к учебнику или вводный курс.</t>
  </si>
  <si>
    <t>Рецепты Python. Коллекция лучших техник программирования</t>
  </si>
  <si>
    <t>Цуй Ю.</t>
  </si>
  <si>
    <t>!!_Рецепты_Python.epub</t>
  </si>
  <si>
    <t>Книга «Рецепты Python» Юн Цуя представляет собой сборник из 63 практических техник программирования, построенных по принципу «вопрос-решение-закрепление». Ключевая концепция — освоение языка через решение конкретных задач, начиная с базового кода и переходя к более сложным подходам, таким как поиск подстрок или создание пользовательских классов. Издание предназначено для читателей, которые уже освоили основы Python и хотят перейти на средний уровень, заполняя пробел между учебниками для новичков и литературой для опытных специалистов.</t>
  </si>
  <si>
    <t>Юн Цуй</t>
  </si>
  <si>
    <t>!!_Рецепты_Python.pdf</t>
  </si>
  <si>
    <t>Книга «Рецепты Python» представляет собой практическое руководство по освоению 63 базовых навыков программирования на Python, построенное на формате «вопрос-решение-закрепление». Ключевые разделы охватывают работу со строками, контейнерами данных, последовательностями, итерируемыми объектами, определение функций и классов, операции с объектами и файлами, а также защиту кода (логирование, отладка, тестирование) и построение веб-приложений. Издание предназначено для программистов начального и среднего уровня, стремящихся писать питонический код с использованием лучших техник и переиспользуемых решений.</t>
  </si>
  <si>
    <t>Modern Tkinter for Busy Python Developers: Quickly learn to create great looking user interfaces for Windows, Mac and Linux using Python's standard GUI toolkit</t>
  </si>
  <si>
    <t>Mark Roseman</t>
  </si>
  <si>
    <t>Late Afternoon Press</t>
  </si>
  <si>
    <t>!Mark_Roseman Modern_Tkinter_for_Busy_Python_Developers 2021.pdf</t>
  </si>
  <si>
    <t>Книга Марка Роземана посвящена созданию современных графических интерфейсов для настольных приложений с помощью стандартной библиотеки Python — Tkinter, с акцентом на версии Tk 8.5 и 8.6. В ней рассматриваются ключевые концепции: виджеты, менеджеры геометрии (особенно Grid), обработка событий, стили и темы, а также продвинутые виджеты (Canvas, Text, Treeview). Издание предназначено для разработчиков, уже владеющих основами Python, которые хотят быстро освоить актуальные практики создания кроссплатформенных GUI-приложений для Windows, macOS и Linux.</t>
  </si>
  <si>
    <t>Python: большая книга примеров</t>
  </si>
  <si>
    <t>Марченко, А. Л.</t>
  </si>
  <si>
    <t>!Python большая книга примеров.pdf</t>
  </si>
  <si>
    <t>Фрагмент книги представляет собой введение в язык программирования Python, где автор рассматривает общие понятия о языках как инструментах кодирования информации, включая естественные языки и языки программирования. Ключевая концепция — сравнение языков общения (например, жестов на палубе авианосца) с языками программирования, подчеркивающее важность точной передачи команд от программиста к компьютеру. Книга предназначена для новичков, желающих сформировать базовое представление о Python через описание языка и множество практических примеров.</t>
  </si>
  <si>
    <t>Advance Core Python Programming: Begin your Journey to Master the World of Python (English Edition)</t>
  </si>
  <si>
    <t>Meenu Kohli</t>
  </si>
  <si>
    <t>Advance.Core.Python.Programming.epub</t>
  </si>
  <si>
    <t>Книга «Advance Core Python Programming» авторства Meenu Kohli посвящена углубленному изучению языка Python, охватывая как фундаментальные темы (функции, рекурсия, классы, наследование, файлы), так и продвинутые концепции (подключение к MySQL, работа с потоками, обработка ошибок, тестирование, визуализация и анализ данных). Ключевые разделы включают функции и рекурсию, объектно-ориентированное программирование, работу с файлами и базами данных, многопоточность, отладку, а также библиотеки Matplotlib и NumPy. Издание предназначено для читателей, уже знакомых с основами Python и стремящихся перейти на продвинутый уровень, включая разработчиков, желающих освоить создание GUI и интеграцию с базами данных.</t>
  </si>
  <si>
    <t>Цифровая обработка сигналов на языке Python</t>
  </si>
  <si>
    <t>Allen_B_Dauni-Tsifrovaya_obrabotka_signalov_na_yazyke_Python-2017.pdf</t>
  </si>
  <si>
    <t>Книга Аллена Б. Дауни «Цифровая обработка сигналов на языке Python» посвящена практическому освоению методов цифровой обработки сигналов с использованием языка программирования Python. В ней рассматриваются ключевые концепции, такие как дискретное преобразование Фурье, фильтрация, спектральный анализ и работа с шумами, причем теория сопровождается примерами кода и визуализацией. Издание ориентировано на читателей с базовыми знаниями программирования на Python и начальным уровнем понимания математики, стремящихся применить теорию сигналов на практике.</t>
  </si>
  <si>
    <t>Applying Math with Python</t>
  </si>
  <si>
    <t>Sam Morley</t>
  </si>
  <si>
    <t>Applying_Math_with_Python 2020.pdf</t>
  </si>
  <si>
    <t>Книга «Applying Math with Python» посвящена практическому решению вычислительных математических задач с использованием языка Python и его библиотек. В ней рассматриваются такие ключевые концепции, как работа с числовыми типами данных, массивами NumPy, матрицами, системами уравнений, собственными значениями и векторами, а также основы построения графиков с помощью Matplotlib. Издание предназначено для специалистов и разработчиков, уже имеющих базовые знания Python, которые хотят применить математические методы на практике.</t>
  </si>
  <si>
    <t>Python Concurrency with asyncio</t>
  </si>
  <si>
    <t>Мэттью Фаулер</t>
  </si>
  <si>
    <t>Asyncio_и_конкурентное_программирование_на_Python_2022_Фаулер.pdf</t>
  </si>
  <si>
    <t>Книга посвящена библиотеке asyncio и конкурентному программированию на Python, охватывая темы от однопоточной конкурентности до многопроцессорной обработки. В ней рассматриваются такие ключевые концепции, как сопрограммы, цикл событий, асинхронные веб-запросы, работа с базами данных и управление подпроцессами. Издание предназначено как для Python-разработчиков, так и для программистов, желающих глубже понять проблемы конкурентности.</t>
  </si>
  <si>
    <t>Automate the Boring Stuff with Python, 2nd Edition</t>
  </si>
  <si>
    <t>Automate_the_Boring_Stuff_with_Python,_2nd_Edition.pdf</t>
  </si>
  <si>
    <t>Этот фрагмент представляет собой вступительную часть книги Эла Свейгарта «Automate the Boring Stuff with Python» (второе издание), которая посвящена практическому программированию для автоматизации рутинных задач с помощью Python. Книга разделена на две части: основы программирования на Python (типы данных, управление потоком, функции, списки, словари, строки) и автоматизацию конкретных задач (регулярные выражения, работа с файлами, отладка, веб-скрапинг, Excel, PDF и Google Таблицы). Издание предназначено для абсолютных новичков («total beginners»), не имеющих опыта в программировании, и распространяется по лицензии Creative Commons.</t>
  </si>
  <si>
    <t>Автостопом по Python</t>
  </si>
  <si>
    <t>Кеннет Рейтц; Таня Шлюссер</t>
  </si>
  <si>
    <t>Avtostopom_po_Python.pdf</t>
  </si>
  <si>
    <t>Книга «Автостопом по Python» представляет собой практическое руководство по профессиональной разработке на Python, основанное на одноименном онлайн-ресурсе. Она охватывает ключевые темы: выбор интерпретатора, настройку среды разработки, написание качественного кода, его чтение и публикацию, а также работу с пользовательским вводом, API и данными. Издание предназначено для программистов любого уровня, включая опытных разработчиков, желающих освоить проверенные методы и современные приемы в контексте перехода на Python 3.</t>
  </si>
  <si>
    <t>Beginning PyQt: A Hands-on Approach to GUI Programming with PyQt6</t>
  </si>
  <si>
    <t>Joshua M Willman</t>
  </si>
  <si>
    <t>Beginning PyQt A Hands-on.pdf</t>
  </si>
  <si>
    <t>Книга «Beginning PyQt» Джошуа Уиллмана представляет собой практическое руководство по созданию графических интерфейсов пользователя (GUI) с использованием фреймворка PyQt6 на языке Python. В ней рассматриваются основы работы с библиотекой, начиная с установки и создания простого окна, и переходя к изучению виджетов, таких как QLabel, и проектированию интерфейсов на примере профиля пользователя. Издание предназначено для новичков, желающих освоить разработку GUI-приложений с нуля.</t>
  </si>
  <si>
    <t>Beginning Programming with Python For Dummies, 3rd Edition</t>
  </si>
  <si>
    <t>John Paul Mueller</t>
  </si>
  <si>
    <t>Beginning_Programming_with_Python_For_Dummies_3Ed.pdf</t>
  </si>
  <si>
    <t>Это третье издание книги «Beginning Programming with Python® For Dummies®» Джона Пола Мюллера, представляющее собой вводное руководство по языку программирования Python. Книга охватывает фундаментальные концепции, начиная с основ взаимодействия с компьютером и работы в среде Google Colab, и переходит к таким темам, как хранение и изменение данных, принятие решений, выполнение повторяющихся задач и обработка ошибок. Издание предназначено для абсолютных новичков, желающих освоить программирование с нуля, и не требует предварительных знаний в этой области.</t>
  </si>
  <si>
    <t>Beyond the Basic Stuff with Python</t>
  </si>
  <si>
    <t>Beyond_the_Basic_Stuff_with_Python_Best_Practices_for_Writing_Clean.pdf</t>
  </si>
  <si>
    <t>Эта книга Эла Свейгарта посвящена лучшим практикам написания чистого кода на Python для тех, кто уже освоил основы языка. Ключевые разделы охватывают форматирование кода, выбор понятных имен, выявление «запахов кода», написание идиоматичного Python-кода, работу с функциями, комментариями и системой контроля версий Git. Издание предназначено для программистов среднего уровня, желающих перейти от написания просто работающего кода к профессиональному, поддерживаемому и эффективному.</t>
  </si>
  <si>
    <t>C and Python Applications: Embedding Python Code in C Programs, SQL Methods, and Python Sockets</t>
  </si>
  <si>
    <t>Philip Joyce</t>
  </si>
  <si>
    <t>C.and.Python.Applications.pdf</t>
  </si>
  <si>
    <t>Книга Филипа Джойса «C and Python Applications» посвящена интеграции языка Python в программы на C, а также работе с базами данных через SQL и сетевыми сокетами. Ключевые разделы охватывают основы программирования на Python (переменные, массивы, строки, списки), встраивание Python-кода в C и методы взаимодействия с SQL. Издание предназначено для разработчиков среднего уровня, уже знакомых с основами программирования и желающих освоить гибридную разработку на C и Python.</t>
  </si>
  <si>
    <t>Create GUI Applications with Python &amp; Qt5: The hands-on guide to making apps with Python</t>
  </si>
  <si>
    <t>Martin Fitzpatrick</t>
  </si>
  <si>
    <t>Create GUI Applications with Python and QT5.pdf</t>
  </si>
  <si>
    <t>Эта книга представляет собой практическое руководство по созданию графических приложений (GUI) на Python с использованием фреймворка Qt5 (библиотеки PySide2). В ней последовательно разбираются ключевые концепции: работа с виджетами, сигналами и слотами, компоновка интерфейсов, создание меню и диалогов, а также более продвинутые темы, такие как архитектура Model View, кастомизация виджетов, многопоточность и построение графиков. Материал ориентирован как на новичков, желающих освоить разработку GUI с нуля, так и на практикующих разработчиков, стремящихся углубить знания в создании полноценных приложений с помощью Qt.</t>
  </si>
  <si>
    <t>Practices of the Python Pro</t>
  </si>
  <si>
    <t>Dane Hillard</t>
  </si>
  <si>
    <t>Dane_Hillard_Practices_of_the_Python_Pro_Manning_Publications_2020.pdf</t>
  </si>
  <si>
    <t>Книга Дейна Хилларда «Practices of the Python Pro» посвящена профессиональным практикам проектирования и разработки на Python для создания масштабируемых и поддерживаемых программных систем. Ключевые концепции включают разделение ответственности, абстракцию и инкапсуляцию, проектирование для высокой производительности, тестирование, а также принципы построения крупных систем, такие как расширяемость и слабая связанность. Издание предназначено для разработчиков Python среднего и продвинутого уровня, стремящихся перейти от написания рабочего кода к созданию хорошо спроектированных приложений.</t>
  </si>
  <si>
    <t>Data Structures with Python: Get familiar with the common Data Structures and Algorithms in Python</t>
  </si>
  <si>
    <t>Dr. Harsh Bhasin</t>
  </si>
  <si>
    <t>Data Structure with Python.pdf</t>
  </si>
  <si>
    <t>Книга «Data Structures with Python» доктора Харша Бхасина представляет собой учебное пособие по структурам данных и алгоритмам на языке Python, начиная с основ анализа сложности и заканчивая такими подходами, как жадные алгоритмы, динамическое программирование и рекурсия. В первых главах рассматриваются фундаментальные концепции, включая оценку временной и пространственной сложности, а также методы разработки алгоритмов. Издание предназначено для читателей, желающих освоить структуры данных и алгоритмы с нуля или на начальном уровне, и содержит практические примеры для решения задач.</t>
  </si>
  <si>
    <t>Data Structures &amp; Algorithms in Python</t>
  </si>
  <si>
    <t>John Canning; Alan Broder; Robert Lafore</t>
  </si>
  <si>
    <t>Data Structures  Algorithms in Python...pdf</t>
  </si>
  <si>
    <t>Эта книга представляет собой практическое введение в структуры данных и алгоритмы, адаптированное для языка Python. Она охватывает ключевые темы, включая массивы, сортировку, стеки, очереди, связные списки, рекурсию, деревья, хеш-таблицы и графы, с акцентом на реальные примеры и масштабирование кода. Издание предназначено для программистов, желающих писать более эффективное программное обеспечение, и подойдет как новичкам, так и специалистам, стремящимся углубить понимание работы алгоритмов.</t>
  </si>
  <si>
    <t>Python: Искусственный интеллект, большие данные и облачные вычисления</t>
  </si>
  <si>
    <t>Дейтел Пол; Дейтел Харви</t>
  </si>
  <si>
    <t>Deytel_Iskusstvennyy_intellekt_bolshie_dannye_i_oblachnye_vychisleniya.pdf</t>
  </si>
  <si>
    <t>Книга Пола и Харви Дейтелов посвящена практическому применению Python для решения задач в области искусственного интеллекта, больших данных и облачных вычислений. Ключевые разделы охватывают обработку естественного языка, машинное обучение (с учителем и без), глубокое обучение с нейронными сетями, а также работу с большими данными через Hadoop, Spark и NoSQL. Издание предназначено для профессионалов и специалистов, желающих освоить современные вычислительные технологии на более чем 500 реальных примерах и сценариях.</t>
  </si>
  <si>
    <t>Python for Everybody</t>
  </si>
  <si>
    <t>Dr. Charles R. Severance</t>
  </si>
  <si>
    <t>Exploring Data Using Python 3.pdf</t>
  </si>
  <si>
    <t>Эта книга представляет собой переработанную версию «Think Python», адаптированную для обучения анализу данных, а не абстрактным алгоритмам. Ключевые разделы охватывают работу с регулярными выражениями, веб-скрапинг, парсинг XML и JSON, базы данных SQL и визуализацию данных. Материал предназначен для новичков, которые хотят освоить практические навыки работы с данными на Python, не планируя становиться профессиональными программистами.</t>
  </si>
  <si>
    <t>Fast Python for Data Science MEAP V08</t>
  </si>
  <si>
    <t>Tiago Rodrigues Antão</t>
  </si>
  <si>
    <t>Fast Python for Data Science M V8 2022.pdf</t>
  </si>
  <si>
    <t>Книга «Fast Python for Data Science» Тиаго Родригеса Антана посвящена методам повышения производительности Python-кода для обработки данных, включая ускорение вычислений, оптимизацию использования CPU, памяти и ввода-вывода. Ключевые разделы охватывают работу с чистыми Python-решениями, многопроцессорность, высокопроизводительные библиотеки (NumPy, Pandas, Apache Arrow), переписывание критических частей на Cython и Numba, а также хранение больших данных и вычисления на GPU и в облаке. Книга предназначена для опытных Python-программистов, уже знакомых с основами языка и библиотеками для анализа данных, которые хотят углубить знания для создания более эффективных решений.</t>
  </si>
  <si>
    <t>GPT_3 на Python в примерах.pdf</t>
  </si>
  <si>
    <t>Эта книга посвящена практическому применению генеративной текстовой модели GPT для создания приложений на Python. В ней рассматриваются такие ключевые концепции, как управление креативностью моделей, генерация и редактирование текста, а также классификация изображений с помощью OpenAI CLIP. Издание предназначено для разработчиков, владеющих основами Python и желающих использовать GPT для решения прикладных задач.</t>
  </si>
  <si>
    <t>Handbook of Computer Programming with Python</t>
  </si>
  <si>
    <t>Dimitrios Xanthidis; Christos Manolas; Ourania K. Xanthidou; Han-I Wang</t>
  </si>
  <si>
    <t>Handbook.of.Computer.Programming.with.Python.pdf</t>
  </si>
  <si>
    <t>Это практическое руководство по программированию на Python, охватывающее широкий спектр тем: от основ и объектно-ориентированного программирования до разработки GUI, баз данных, анализа данных, машинного обучения и виртуальной реальности. Книга предназначена для студентов и преподавателей компьютерных наук, а также для специалистов, переходящих на Python, и содержит примеры кода, результаты выполнения и кейсы в конце каждой главы.</t>
  </si>
  <si>
    <t>Hands-On Python Programming For Beginners</t>
  </si>
  <si>
    <t>AI Publishing</t>
  </si>
  <si>
    <t>AI Publishing LLC</t>
  </si>
  <si>
    <t>Hands_on_Python_Programming_for_Beginners_Learn_Practical_Python.epub</t>
  </si>
  <si>
    <t>Эта книга представляет собой практическое руководство по языку программирования Python, предназначенное для начинающих. Она охватывает основы программирования, а также содержит материалы для изучения Data Science и искусственного интеллекта. Ключевые разделы включают введение в Python, практические упражнения и доступ к исходным кодам. Издание ориентировано на новичков, студентов, владельцев малого бизнеса и всех, кто хочет освоить Python с нуля.</t>
  </si>
  <si>
    <t>Head First Python</t>
  </si>
  <si>
    <t>Paul Barry</t>
  </si>
  <si>
    <t>HeadFirst Pol Barry  Python Brain-Friendly Guide.pdf</t>
  </si>
  <si>
    <t>Это книга «Head First Python» (второе издание) Пола Барри, предназначенная для начинающих и продолжающих изучение Python. Она охватывает ключевые концепции языка, такие как работа со списками, кортежами, множествами и словарями, а также более сложные темы: объекты, декораторы, генераторы и создание веб-приложений с помощью Flask. Книга также учит работе с модулями и базами данных через DB-API, используя увлекательный и наглядный стиль подачи материала, характерный для серии Head First.</t>
  </si>
  <si>
    <t>ООО «Издательство «Э»</t>
  </si>
  <si>
    <t>HeadFirst Пол Бэрри Изучаем программирование на Python.pdf</t>
  </si>
  <si>
    <t>Это фрагмент второго издания книги Пола Бэрри «Изучаем программирование на Python», входящей в серию «Head First». Книга предназначена для новичков и посвящена основам языка Python, включая работу со списками, структурированными данными, функциями, модулями, базами данных, классами, декораторами и обработкой исключений. Особое внимание уделяется практическому созданию веб-приложения и управлению данными. Материал подаётся в визуально насыщенном, интерактивном стиле, характерном для серии Head First, что помогает начинающим программистам быстро освоить ключевые концепции.</t>
  </si>
  <si>
    <t>Head First Learn to Code</t>
  </si>
  <si>
    <t>Eric Freeman</t>
  </si>
  <si>
    <t>HeadFirst Эрик Фримен Учимся_программировать_с_примерами_на_Python 2020.pdf</t>
  </si>
  <si>
    <t>Эта книга из серии Head First посвящена обучению программированию с нуля на языке Python. Автор, Эрик Фримен, делает акцент на развитии мышления программиста, а не просто на заучивании синтаксиса, и помогает избегать типичных ошибок. Ключевые разделы охватывают фундаментальные темы: работу с данными, принятие решений, структуры данных, функции, модульное программирование, циклы и хранение информации. Издание предназначено для абсолютных новичков, которые хотят начать карьеру в IT или научиться думать как программист.</t>
  </si>
  <si>
    <t>Introduction to Computation and Programming Using Python, Revised</t>
  </si>
  <si>
    <t>John Guttag</t>
  </si>
  <si>
    <t>Introduction to Computation and Programming using Python (rev. ed.) [Guttag 2013-08-09].pdf</t>
  </si>
  <si>
    <t>Книга Джона Гуттага «Introduction to Computation and Programming Using Python» представляет собой введение в вычислительное мышление и программирование на языке Python. В ней рассматриваются фундаментальные концепции, такие как типы данных, ветвления, итерации, функции, рекурсия, структурированные типы (списки, кортежи, словари), а также тестирование и отладка. Издание предназначено для начинающих, не имеющих предварительного опыта в программировании, и студентов, изучающих компьютерные науки.</t>
  </si>
  <si>
    <t>Introduction to Scientific Programming with Python</t>
  </si>
  <si>
    <t>Joakim Sundnes</t>
  </si>
  <si>
    <t>Introduction to Scientific Programming With Python (2020).pdf</t>
  </si>
  <si>
    <t>Эта книга представляет собой компактное введение в научное программирование на языке Python, основанное на лекционных материалах к более объемному учебнику Ханса Петтера Лангтангена. Она охватывает ключевые концепции и методы, необходимые для решения научных задач, и предназначена в первую очередь для студентов младших курсов математических, инженерных и естественнонаучных специальностей, то есть для новичков в программировании.</t>
  </si>
  <si>
    <t>Invent Your Own Computer Games with Python, 4th Edition</t>
  </si>
  <si>
    <t>William Pollock</t>
  </si>
  <si>
    <t>Invent_Your_Own_Computer_Games_with_Python_by_Al_Sweigart_z_lib.pdf</t>
  </si>
  <si>
    <t>Книга «Invent Your Own Computer Games with Python» Эла Свейгарта представляет собой практическое руководство по обучению программированию на Python через создание компьютерных игр. Она охватывает такие ключевые концепции, как работа с интерактивной оболочкой, написание программ, отладка, использование систем координат, а также пошаговое создание игр вроде «Угадай число», «Виселица», «Крестики-нолики» и «Поиск сокровищ с сонаром». Издание предназначено для абсолютных новичков, желающих освоить основы программирования в увлекательной и доступной форме.</t>
  </si>
  <si>
    <t>Object-Oriented Python</t>
  </si>
  <si>
    <t>Irv Kalb</t>
  </si>
  <si>
    <t>Irv_Kalb_Object_Oriented_Python_Master_OOP_by_Building_Games_and.pdf</t>
  </si>
  <si>
    <t>Эта книга представляет собой практическое руководство по объектно-ориентированному программированию (ООП) на Python для программистов среднего уровня. В ней подробно разбираются ключевые концепции ООП — инкапсуляция, полиморфизм и наследование — на примерах создания игр и приложений, включая работу с графическим интерфейсом через Pygame. Издание охватывает как основы, такие как моделирование объектов и управление памятью, так и продвинутые темы, включая создание собственных виджетов и обработку исключений.</t>
  </si>
  <si>
    <t>Learning Python</t>
  </si>
  <si>
    <t>Mark Lutz</t>
  </si>
  <si>
    <t>Izuchaem_Python_4e_izd (1).pdf</t>
  </si>
  <si>
    <t>Это четвёртое издание учебника Марка Лутца по языку Python, охватывающее версии 2.6 и 3.0. Книга последовательно знакомит с основными типами объектов, функциями, модулями, классами и механизмами обработки исключений, а также содержит обзор инструментов для разработки крупных программ. Издание предназначено для новичков, желающих освоить Python с нуля, и рассчитано на индивидуальный темп обучения с контрольными вопросами и упражнениями в конце глав.</t>
  </si>
  <si>
    <t>Learn to Code by Solving Problems: A Python Programming Primer</t>
  </si>
  <si>
    <t>Learn_to_Code_by_Solving_Problems_A_Python_Programming.pdf</t>
  </si>
  <si>
    <t>Книга «Learn to Code by Solving Problems» Дэниела Зингаро представляет собой практическое введение в программирование на Python, основанное на решении задач. Она охватывает ключевые концепции: условные операторы, циклы, списки, функции, работу с файлами, множества и словари, а также алгоритмы полного перебора и оценку эффективности (Big O). Издание предназначено для начинающих программистов, желающих освоить Python через решение реальных задач, а также для тех, кто хочет улучшить свои навыки алгоритмического мышления.</t>
  </si>
  <si>
    <t>Программирование на Python 3. Подробное руководство</t>
  </si>
  <si>
    <t>Марк Саммерфилд</t>
  </si>
  <si>
    <t>Mark_Sammerfild_Programmirovanie_na_Python_3_p.pdf</t>
  </si>
  <si>
    <t>Книга Марка Саммерфилда «Программирование на Python 3. Подробное руководство» представляет собой всестороннее руководство по языку Python третьей версии, охватывающее как базовые, так и продвинутые темы. Издание начинается с быстрого введения в процедурное программирование, включая типы данных, ссылки на объекты, коллекции, управляющие структуры и функции, а затем переходит к более сложным разделам, таким как работа с базами данных SQL, файлами DBM и распределение вычислений. Книга предназначена для практического освоения языка и может служить как учебником для новичков, так и справочником для опытных специалистов.</t>
  </si>
  <si>
    <t>Create Simple GUI Applications, with Python &amp; Qt5</t>
  </si>
  <si>
    <t>Martin_Fitzpatrick_Create_Simple_GUI_Applications_with_Python_Qt5.pdf</t>
  </si>
  <si>
    <t>Эта книга представляет собой практическое руководство по созданию десктопных приложений на Python с использованием фреймворка Qt5 и библиотеки PyQt5. В ней рассматриваются ключевые концепции: работа с виджетами, сигналами и слотами, компоновка интерфейсов, рисование с помощью QPainter, архитектура Model/View, многопоточность и создание пользовательских компонентов. Издание предназначено для программистов начального и среднего уровня, желающих освоить разработку графических интерфейсов на Python.</t>
  </si>
  <si>
    <t>Mastering Python: 50 Specific Tips for Writing Better Code: Practical Strategies for Writing High-Quality Python Code</t>
  </si>
  <si>
    <t>Olsen, Dane</t>
  </si>
  <si>
    <t>Ziyob Publishers</t>
  </si>
  <si>
    <t>mastering.python.50.specific.tips.for.writing.better.code.pdf</t>
  </si>
  <si>
    <t>Эта книга представляет собой практическое руководство по написанию высококачественного кода на Python, охватывающее 50 конкретных советов. Ключевые разделы включают Python-стиль мышления, работу с функциями, классами, конкурентностью, встроенными модулями и инструментами для совместной разработки. Издание предназначено для Python-разработчиков любого уровня, от новичков до опытных специалистов, стремящихся улучшить свои навыки.</t>
  </si>
  <si>
    <t>Math Adventures with Python</t>
  </si>
  <si>
    <t>Peter Farrell</t>
  </si>
  <si>
    <t>Math Adventures with Python (en).pdf</t>
  </si>
  <si>
    <t>Книга «Math Adventures with Python» Питера Фаррелла предлагает альтернативный, визуально-ориентированный подход к изучению математики через программирование. Автор критикует традиционное «школьное» преподавание, основанное на пассивном заучивании формул, и показывает, как с помощью Python можно создавать динамические графические проекты, требующие понимания геометрии и других разделов математики. Ключевая идея заключается в том, что написание кода для решения интересных задач (например, поиск центроида треугольника для анимации) мотивирует глубже разобраться в математических концепциях. Книга предназначена для начинающих, которые хотят изучать математику через практику программирования и создание визуальных эффектов.</t>
  </si>
  <si>
    <t>Math for Programmers</t>
  </si>
  <si>
    <t>Math for Programmers 2021.pdf</t>
  </si>
  <si>
    <t>Книга Пола Орланда «Math for Programmers» посвящена практическому применению математики в программировании, в частности в 3D-графике, машинном обучении и физическом моделировании с использованием Python. Ключевые разделы охватывают работу с векторами (2D и 3D), матричные преобразования, линейную алгебру, дифференциальное исчисление для симуляций, а также методы машинного обучения, такие как регрессия и нейронные сети. Издание предназначено для программистов среднего уровня, желающих углубить понимание математических концепций через написание кода.</t>
  </si>
  <si>
    <t>Python for Kids, 2nd Edition</t>
  </si>
  <si>
    <t>Jason R. Briggs</t>
  </si>
  <si>
    <t>No.Starch.Press.Python.for.Kids.2nd.Edition.1718503024.epub</t>
  </si>
  <si>
    <t>Это второе издание книги «Python для детей», представляющей собой игровое введение в программирование на языке Python. Автор Джейсон Бриггс знакомит читателей с основами языка через забавные примеры с монстрами и шпионами, а ключевые разделы охватывают переменные, строки, списки, словари и рисование с помощью модуля Turtle. Книга предназначена для абсолютных новичков, в первую очередь для детей и их родителей, желающих освоить программирование в увлекательной форме.</t>
  </si>
  <si>
    <t>NumPy : From Basic to Advance</t>
  </si>
  <si>
    <t>Karan Singh Bisht</t>
  </si>
  <si>
    <t>NumPy_From Basic to Advance.pdf</t>
  </si>
  <si>
    <t>Эта книга представляет собой практическое руководство по библиотеке NumPy для языка Python, охватывающее темы от основ (создание массивов, индексация, срезы) до продвинутых концепций (работа с формами, объединение и разделение массивов, статистические распределения и универсальные функции). Ключевые разделы включают работу с многомерными массивами, различные типы данных, операции сортировки, фильтрации и итерации, а также генерацию случайных чисел и визуализацию распределений с помощью Seaborn. Материал предназначен для широкого круга читателей — от новичков, только начинающих знакомство с NumPy, до специалистов, желающих углубить свои знания в области численных вычислений и анализа данных.</t>
  </si>
  <si>
    <t>Introducing Python</t>
  </si>
  <si>
    <t>Bill Lubanovic</t>
  </si>
  <si>
    <t>O’Reilly_Билл_Любанович_Простой_Python 2021.pdf</t>
  </si>
  <si>
    <t>Книга «Простой Python» Билла Любановича представляет собой практическое руководство по одному из самых популярных языков программирования. Она охватывает основы языка, стандартную библиотеку, работу с данными, файлами, сетями и веб-разработку, а также лучшие практики тестирования и отладки. Издание разделено на две части: фундаментальные концепции Python и их применение в реальных задачах. Книга предназначена как для начинающих программистов, так и для опытных разработчиков, желающих освоить Python.</t>
  </si>
  <si>
    <t>Pandas Workout MEAP V06</t>
  </si>
  <si>
    <t>Reuven Lerner</t>
  </si>
  <si>
    <t>Pandas Workout V6 2022.pdf</t>
  </si>
  <si>
    <t>Эта книга представляет собой сборник практических упражнений для освоения библиотеки pandas на Python. Автор, Реувен Лернер, предлагает 50 основных и 150 дополнительных задач, охватывающих ключевые концепции: работу с Series и DataFrame, импорт данных, очистку, группировку, строки, даты и визуализацию. Материал основан на реальных темах, вызывающих трудности у студентов, и предназначен для пользователей, уже знакомых с Python, но желающих углубить понимание pandas и писать более эффективный код.</t>
  </si>
  <si>
    <t>Practices_of_the_Python_Pro_Manning_Publications_2020.pdf</t>
  </si>
  <si>
    <t>Книга «Practices of the Python Pro» Дейна Хилларда посвящена профессиональным практикам проектирования и разработки крупных программных систем на Python. Ключевые концепции включают разделение ответственности, абстракцию и инкапсуляцию, проектирование для высокой производительности, тестирование, а также обеспечение расширяемости и гибкости кода. Издание предназначено для Python-разработчиков среднего и продвинутого уровня, стремящихся перейти от написания скриптов к созданию сложных, поддерживаемых и масштабируемых приложений.</t>
  </si>
  <si>
    <t>Pragmatic Python Programming: Learning Python the Smart Way</t>
  </si>
  <si>
    <t>Gabor Guta</t>
  </si>
  <si>
    <t>Pragmatic Python Programming Learning.pdf</t>
  </si>
  <si>
    <t>Книга «Pragmatic Python Programming» Габора Гуты представляет собой практическое руководство по изучению языка Python, нацеленное на освоение «умным» способом. В представленном фрагменте рассматриваются базовые концепции: выражения с различными типами данных (логические, строки, числа с плавающей точкой и комплексные), переменные, операторы и структура программ как последовательности операторов и функций. Материал ориентирован на начинающих программистов, желающих системно изучить синтаксис и стандарты Python, а также получить практические навыки через примеры и ключевые выводы по каждой главе.</t>
  </si>
  <si>
    <t>Python 3 и PyQt. Разработка приложений</t>
  </si>
  <si>
    <t>Prohorenok.pdf</t>
  </si>
  <si>
    <t>Книга Николая Прохоренка «Python 3 и PyQt. Разработка приложений» посвящена основам языка Python и созданию графических приложений с помощью библиотеки PyQt. В ней рассматриваются базовый синтаксис Python, объектно-ориентированное программирование, работа с файлами и базами данных SQLite, а также все основные компоненты PyQt, включая обработку сигналов, события и работу с Qt Designer. Издание предназначено для программистов, уже имеющих начальный опыт, и позволяет освоить разработку полноценных приложений с графическим интерфейсом.</t>
  </si>
  <si>
    <t>Publishing Python Packages</t>
  </si>
  <si>
    <t>Publishing Python Packages Final.pdf</t>
  </si>
  <si>
    <t>Книга Дэйна Хилларда «Publishing Python Packages» посвящена процессу создания, тестирования и публикации Python-пакетов, а также автоматизации этих процессов с помощью инструментов непрерывной интеграции, таких как GitHub Actions. В ней рассматриваются ключевые концепции: структура минимального пакета, управление зависимостями, настройка тестов и инструментов контроля качества кода, а также публикация дистрибутивов в репозиторий PyPI. Издание предназначено для Python-разработчиков среднего уровня, которые уже знакомы с основами языка и хотят освоить профессиональные практики распространения и поддержки собственных библиотек.</t>
  </si>
  <si>
    <t>Pyomo. Моделирование оптимизации на Python</t>
  </si>
  <si>
    <t>Майкл Л. Бинум; Габриэль А. Хакебейл; Уильям Э. Харт; Карл Д. Лэрд; Бетани Л. Николсон; Джон Д. Сиирола; Жан-Поль Уотсон; Дэвид Л. Вудраф</t>
  </si>
  <si>
    <t>Pyomo. Моделирование оптимизации на Python.pdf</t>
  </si>
  <si>
    <t>Книга представляет собой полное руководство по пакету Pyomo с открытым исходным кодом, предназначенному для формулирования и решения крупномасштабных задач оптимизации на языке Python. В ней рассматриваются ключевые концепции, такие как создание конкретных и абстрактных моделей, интеграция с решателями, а также приводятся многочисленные примеры, включая задачи линейного и нелинейного программирования и раскраски графа. Издание предназначено как для начинающих, так и для опытных разработчиков моделей, включая студентов, аспирантов, научных работников и инженеров-практиков.</t>
  </si>
  <si>
    <t>Python 3: The Comprehensive Guide</t>
  </si>
  <si>
    <t>Ernesti, Johannes;Kaiser, Peter</t>
  </si>
  <si>
    <t>Python 3  the comprehensive guide.pdf</t>
  </si>
  <si>
    <t>Эта книга представляет собой исчерпывающее руководство по языку Python 3, охватывающее как базовые концепции (функции, модульность, объектно-ориентированное программирование, типы данных), так и продвинутые темы, включая работу с Django и графическими интерфейсами. Издание предназначено как для новичков, так и для профессиональных программистов, желающих углубить свои знания и научиться писать эффективный код на Python.</t>
  </si>
  <si>
    <t>Python 3 Without Prior Knowledge: Learn how to program a neural network within 7 days</t>
  </si>
  <si>
    <t>Spahic, Benjamin</t>
  </si>
  <si>
    <t>Kindle Direct Publishing</t>
  </si>
  <si>
    <t>Python 3 Without Pri.pdf</t>
  </si>
  <si>
    <t>Эта книга представляет собой практическое руководство по основам программирования на Python для новичков, которое за 7 дней обещает научить создавать нейронную сеть. Ключевые разделы охватывают базовые конструкции языка (переменные, функции, циклы), объектно-ориентированное программирование, создание графических интерфейсов с Tkinter и введение в искусственный интеллект. Издание предназначено для людей без предварительных знаний в программировании, включая студентов, инженеров и всех, кто хочет быстро перейти к практическим проектам.</t>
  </si>
  <si>
    <t>Python 3 и PyQt 6</t>
  </si>
  <si>
    <t>Python 3 и PyQt 6.zip</t>
  </si>
  <si>
    <t>Книга посвящена изучению языка Python версии 3 и фреймворка PyQt 6 для создания графических интерфейсов. В ней рассматриваются ключевые концепции, такие как работа с виджетами, сигналами и слотами, а также построение оконных приложений. Издание предназначено для программистов начального и среднего уровня, желающих освоить разработку десктопных программ на Python.</t>
  </si>
  <si>
    <t>Python and MySQL for Beginner</t>
  </si>
  <si>
    <t>Fatimah Rahmat; Mohamad Iqbal Hakim Che Omar; Nurul Shakirah Mohd Zawawi</t>
  </si>
  <si>
    <t>Politeknik Mersing</t>
  </si>
  <si>
    <t>Python and MySQL for Beginner.pdf</t>
  </si>
  <si>
    <t>Эта книга представляет собой практическое руководство по основам языка Python и его интеграции с базой данных MySQL, ориентированное на начинающих. В ней рассматриваются установка среды разработки (VS Code, PyCharm, IDLE), фундаментальные принципы Python (интерпретируемость, объектно-ориентированность, динамическая типизация) и создание полноценного приложения с операциями CRUD (создание, чтение, обновление, удаление данных). Издание предназначено для студентов и всех, кто делает первые шаги в программировании на Python.</t>
  </si>
  <si>
    <t>Matthew Fowler</t>
  </si>
  <si>
    <t>Python Concurrency with asyncio Matthew Fowler.pdf</t>
  </si>
  <si>
    <t>Книга Мэттью Фаулера «Python Concurrency with asyncio» посвящена асинхронному программированию на Python с использованием библиотеки asyncio. В ней рассматриваются ключевые концепции, такие как корутины, задачи, цикл событий, а также практические приёмы работы с тайм-аутами, отменой задач, конкурентным выполнением I/O-запросов и предотвращением состояний гонки. Издание охватывает как основы однопоточной конкурентности, так и продвинутые темы: многопроцессность, многопоточность, работу с веб-фреймворками и построение отказоустойчивых микросервисов. Книга предназначена для Python-разработчиков среднего уровня, желающих освоить асинхронное программирование для повышения производительности I/O-ориентированных приложений.</t>
  </si>
  <si>
    <t>Python for Beginners</t>
  </si>
  <si>
    <t>Kuldeep Singh Kaswan</t>
  </si>
  <si>
    <t>Python for Beginners.pdf</t>
  </si>
  <si>
    <t>Эта книга представляет собой введение в Python для начинающих, начиная с основ синтаксиса и структур данных, таких как переменные, строки, числа, списки и кортежи. Далее в ней рассматриваются условные операторы, словари, пользовательский ввод, циклы, функции, классы, работа с файлами, а также тестирование и отладка кода. Издание предназначено для студентов, аспирантов, преподавателей и исследователей в области компьютерных наук, не имеющих предварительного опыта программирования.</t>
  </si>
  <si>
    <t>Python for Excel Users: A Beginner’s Guide</t>
  </si>
  <si>
    <t>Chi-Chun Chou; David Wang</t>
  </si>
  <si>
    <t>Python For Excel Users.pdf</t>
  </si>
  <si>
    <t>Эта книга представляет собой руководство для пользователей Excel, желающих освоить Python для бизнес-аналитики. Авторы используют метод параллельных упражнений и пошаговых сравнений, чтобы показать, как перенести знакомые задачи из Excel (например, очистку данных, сводные таблицы, визуализацию) в среду Python. Издание охватывает такие темы, как исследование данных, группировка, условные функции, работа с текстом и датами, а также объединение таблиц. Книга предназначена для бизнес-студентов и специалистов, владеющих Excel на уверенном уровне, но являющихся новичками в программировании.</t>
  </si>
  <si>
    <t>Python How-To MEAP V02</t>
  </si>
  <si>
    <t>Yong Cui</t>
  </si>
  <si>
    <t>Python How To MEAP 2022.pdf</t>
  </si>
  <si>
    <t>Книга «Python How-To» автора Йонга Куи посвящена обучению написанию читаемого и поддерживаемого Python-кода в прагматичном ключе, с акцентом на «Pythonic» стиль. Ключевые разделы охватывают обработку строк, работу с встроенными контейнерами и последовательностями, итераторы и управляющие конструкции, определение функций и классов, работу с файлами, логирование, отладку и управление пакетами. Издание предназначено для читателей, уже имеющих базовое понимание моделей данных и функций Python (несколько месяцев опыта), но также подходит и для начинающих благодаря множеству практических примеров.</t>
  </si>
  <si>
    <t>Python prog a neural network 7 days.pdf</t>
  </si>
  <si>
    <t>Эта книга представляет собой практическое руководство по основам программирования на Python для новичков, которое обещает научить создавать нейронную сеть за семь дней. Ключевые разделы охватывают установку среды, базовые конструкции языка, работу с данными, объектно-ориентированное программирование, создание графического интерфейса и введение в искусственный интеллект. Издание предназначено для людей без предварительного опыта в программировании, которые хотят быстро перейти к реализации собственного проекта.</t>
  </si>
  <si>
    <t>Python Projects for Beginners</t>
  </si>
  <si>
    <t>Connor P. Milliken</t>
  </si>
  <si>
    <t>Python Projects for Beginners 2020.pdf</t>
  </si>
  <si>
    <t>Это фрагмент книги «Python Projects for Beginners» Коннора П. Милликена, которая представляет собой практическое руководство по изучению Python в формате десятинедельного интенсивного курса. Книга охватывает основы языка, настройку среды разработки (Anaconda, Jupyter Notebook) и работу с терминалом, а также содержит проекты для закрепления материала. Издание предназначено для начинающих программистов, желающих освоить Python с нуля через практический подход.</t>
  </si>
  <si>
    <t>Python Testing with pytest</t>
  </si>
  <si>
    <t>Okken, Brian</t>
  </si>
  <si>
    <t>Python Testing with pytest Simple.pdf</t>
  </si>
  <si>
    <t>Книга Брайана Оккена «Python Testing with pytest, Second Edition» представляет собой практическое руководство по использованию фреймворка pytest для тестирования кода на Python. В ней рассматриваются ключевые концепции, такие как написание тестовых функций, использование фикстур, параметризация, маркеры и работа с конфигурационными файлами. Издание предназначено как для новичков, желающих освоить тестирование, так и для опытных разработчиков, стремящихся углубить свои навыки работы с pytest.</t>
  </si>
  <si>
    <t>Python Web Development with Sanic</t>
  </si>
  <si>
    <t>Adam Hopkins</t>
  </si>
  <si>
    <t>Python Web Development with Sanic 2022.pdf</t>
  </si>
  <si>
    <t>Книга «Python Web Development with Sanic» посвящена разработке веб-приложений с использованием асинхронного фреймворка Sanic, который ориентирован на повышение скорости и масштабируемости. В ней рассматриваются такие ключевые концепции, как организация проекта с помощью блюпринтов, маршрутизация HTTP-запросов, обработка данных (cookies, заголовки) и проектирование RESTful API. Издание предназначено для Python-разработчиков, уже имеющих опыт создания веб-приложений и желающих освоить асинхронный подход для повышения производительности.</t>
  </si>
  <si>
    <t>Python без проблем: решаем реальные задачи и пишем полезный код</t>
  </si>
  <si>
    <t>Даниэль Зингаро</t>
  </si>
  <si>
    <t>Python без проблем.pdf</t>
  </si>
  <si>
    <t>Книга «Python без проблем» Даниэля Зингаро представляет собой практическое руководство по изучению языка Python через решение реальных задач, взятых с соревнований по программированию. В ней последовательно разбираются ключевые концепции: принятие решений, циклы, списки, функции, работа с файлами, множества и словари, а также основы алгоритмов и оценка эффективности программ. Издание предназначено для начинающих программистов, которые хотят сразу научиться писать полезный код и освоить алгоритмическое мышление, необходимое для решения любых задач.</t>
  </si>
  <si>
    <t>Python Большие данные Искусственный интеллект 2020.pdf</t>
  </si>
  <si>
    <t>Книга Пола и Харви Дейтелов посвящена практическому применению Python для решения задач в области искусственного интеллекта, больших данных и облачных вычислений. Ключевые разделы охватывают обработку естественного языка, анализ данных Twitter, когнитивные вычисления IBM Watson, машинное обучение (классификация, регрессия, кластеризация), глубокое обучение с нейронными сетями, а также работу с большими данными через Hadoop, Spark и NoSQL. Издание предназначено для профессионалов и специалистов, уже знакомых с программированием, которые хотят освоить современные вычислительные технологии на Python.</t>
  </si>
  <si>
    <t>Python: быстрый старт</t>
  </si>
  <si>
    <t>Джейми Чан</t>
  </si>
  <si>
    <t>Python быстрый старт.pdf</t>
  </si>
  <si>
    <t>Эта книга представляет собой практическое руководство по языку Python, предназначенное для новичков, которые хотят быстро освоить программирование с нуля или перейти с другого языка. В ней последовательно разбираются фундаментальные концепции: переменные, типы данных, управляющие конструкции, функции, работа с файлами и основы объектно-ориентированного программирования. Материал подкреплён реальными примерами, а в конце книги предлагается итоговый проект для закрепления навыков.</t>
  </si>
  <si>
    <t>Python. Визуализация данных. Matplotlib. Seaborn. Mayavi</t>
  </si>
  <si>
    <t>Python Визуализаця данных.pdf</t>
  </si>
  <si>
    <t>Книга посвящена визуализации данных на языке Python с использованием библиотек Matplotlib, Seaborn и Mayavi. В ней подробно описываются инструменты построения графиков, настройки их внешнего вида и компоновки, включая работу с модулем pyplot, легендами, текстовыми элементами и цветовыми полосами. Издание предназначено для специалистов, уже знакомых с основами программирования на Python, и содержит как базовые, так и продвинутые техники визуализации.</t>
  </si>
  <si>
    <t>Python для Excel</t>
  </si>
  <si>
    <t>Python для Excel.pdf</t>
  </si>
  <si>
    <t>Эта книга посвящена интеграции языка программирования Python с табличным редактором Excel для автоматизации и анализа данных. В ней рассматриваются современные инструменты, такие как Jupyter и Visual Studio Code, библиотека pandas для работы с данными, а также пакет xlwings для создания интерактивных инструментов и замены VBA. Издание предназначено как для опытных пользователей Excel, так и для программистов, при этом начальные знания Python не обязательны, так как в книге даётся введение в язык.</t>
  </si>
  <si>
    <t>Python для детей</t>
  </si>
  <si>
    <t>Python для детей.pdf</t>
  </si>
  <si>
    <t>Фрагмент книги Ханса-Георга Шумана «Python для детей» представляет собой учебное пособие по программированию на языке Python для школьников средних и старших классов. Книга охватывает базовые концепции языка, включая работу с числами, текстом, условными конструкциями, циклами, а также знакомит с объектно-ориентированным программированием, функциями, классами и модулями. Особое внимание уделяется практическому применению: созданию графики, анимации и разработке собственной игры с использованием библиотеки Pygame. Издание рассчитано на начинающих программистов и может использоваться как учебник на курсах дополнительного образования для детей.</t>
  </si>
  <si>
    <t>Python для инженерных задач</t>
  </si>
  <si>
    <t>Ильин Е. В.</t>
  </si>
  <si>
    <t>Python для инженерных задач.pdf</t>
  </si>
  <si>
    <t>Книга представляет собой самоучитель по языку Python, ориентированный на применение в инженерных и научных вычислениях. Она охватывает путь от установки интерпретатора и основ синтаксиса до работы со специализированными библиотеками, такими как NumPy, Pandas и Matplotlib. Ключевые разделы включают встроенные типы данных, функции, объектно-ориентированное программирование, обработку исключений, тестирование и работу с файлами. Издание предназначено для студентов инженерных специальностей и начинающих изучать Python.</t>
  </si>
  <si>
    <t>Python для сетевых инженеров</t>
  </si>
  <si>
    <t>Python для сетевых инженеров.pdf</t>
  </si>
  <si>
    <t>Книга «Python для сетевых инженеров» представляет собой практическое руководство по изучению языка Python с акцентом на автоматизацию сетевых задач. Она охватывает основы программирования: типы данных, синтаксис, создание скриптов, а также работу с Git и настройку окружения. Издание предназначено для сетевых инженеров, не имеющих опыта в программировании, и помогает им освоить автоматизацию рутинных операций.</t>
  </si>
  <si>
    <t>Beginning Programming with Python</t>
  </si>
  <si>
    <t>Python для чайников.pdf</t>
  </si>
  <si>
    <t>Книга «Python для чайников» Джона Пола Мюллера представляет собой вводное руководство по языку программирования Python, предназначенное для абсолютных новичков. В ней рассматриваются основы: установка среды, работа с командной строкой и IDE Anaconda, а также фундаментальные концепции программирования, такие как хранение данных, управление списками, обработка ошибок и создание классов. Издание ориентировано на читателей без опыта в программировании, желающих освоить Python с нуля.</t>
  </si>
  <si>
    <t>Python Искусственный_интеллект, большие_данные_и_облачные_вычисления.pdf</t>
  </si>
  <si>
    <t>Книга Пола и Харви Дейтелов посвящена практическому применению Python для решения задач в области искусственного интеллекта, больших данных и облачных вычислений. Ключевые разделы охватывают обработку естественного языка, анализ данных Twitter, когнитивные вычисления IBM Watson, машинное обучение (классификация, регрессия, кластеризация), глубокое обучение с нейронными сетями, а также работу с большими данными (Hadoop, Spark, NoSQL) и IoT. Издание содержит более 500 реальных задач и примеров с использованием Jupyter Notebooks. Книга предназначена для профессионалов и специалистов, уже знакомых с основами программирования, желающих освоить современные вычислительные технологии на Python.</t>
  </si>
  <si>
    <t>Python К вершинам мастерства</t>
  </si>
  <si>
    <t>Рамальо Лучано</t>
  </si>
  <si>
    <t>Python К вершинам мастерства Рамальо Лучано - 2015.pdf</t>
  </si>
  <si>
    <t>Книга Лучано Рамальо «Python. К вершинам мастерства» посвящена углублённому изучению языка Python, его внутренних механизмов и продвинутых возможностей. Ключевые концепции включают работу с последовательностями, словарями, функциями высшего порядка, декораторами, контекстными менеджерами, метаклассами и асинхронным программированием. Издание предназначено для опытных разработчиков, уже владеющих основами Python и стремящихся к профессиональному совершенствованию.</t>
  </si>
  <si>
    <t>Python на примерах. Практический курс по программированию</t>
  </si>
  <si>
    <t>Python на примерах - 2019.pdf</t>
  </si>
  <si>
    <t>Книга представляет собой практический курс по программированию на языке Python, охватывающий синтаксис языка от простейших конструкций до работы со списками, кортежами и основами объектно-ориентированного программирования. Ключевые разделы включают управляющие инструкции, функции, работу с множествами и словарями, а также ООП. Издание содержит множество примеров с комментариями и детальный разбор практических задач. Книга предназначена для новичков, желающих освоить программирование на Python с акцентом на практическое применение.</t>
  </si>
  <si>
    <t>Python. Чистый код для продолжающих</t>
  </si>
  <si>
    <t>Эл Свейгарт</t>
  </si>
  <si>
    <t>Python Чистый код.pdf</t>
  </si>
  <si>
    <t>Книга Эла Свейгарта «Python. Чистый код для продолжающих» посвящена переходу от базового уровня владения Python к профессиональным практикам написания чистого, читаемого и поддерживаемого кода. Ключевые разделы охватывают настройку среды разработки, форматирование кода с помощью Black, выбор понятных имен, поиск «запахов» в коде, написание питонического кода, работу с Git, анализ сложности алгоритмов и основы объектно-ориентированного программирования. Издание предназначено для программистов, уже освоивших основы Python и стремящихся углубить свои навыки, чтобы писать более качественный и эффективный код.</t>
  </si>
  <si>
    <t>Python, Django, Data Science</t>
  </si>
  <si>
    <t>Python, Django, Data Science.pdf</t>
  </si>
  <si>
    <t>Данный фрагмент книги посвящён практическому применению языка Python в веб-разработке и анализе данных. Ключевые разделы охватывают работу с фреймворком Django для создания веб-приложений и библиотеками Data Science (вероятно, pandas, NumPy, matplotlib) для обработки и визуализации данных. Материал ориентирован на программистов среднего уровня, уже знакомых с основами Python, которые хотят освоить профессиональные инструменты для бэкенда и анализа.</t>
  </si>
  <si>
    <t>Python, например</t>
  </si>
  <si>
    <t>Никола Лейси</t>
  </si>
  <si>
    <t>Python, например 2021.pdf</t>
  </si>
  <si>
    <t>Это практическое руководство по языку программирования Python, построенное на решении 150 задач. Книга охватывает основы языка, условные операторы, циклы, работу со строками, списками, файлами, графическим интерфейсом Tkinter и базами данных SQLite. Издание предназначено для новичков, которые хотят освоить программирование без углубления в теорию и технический жаргон.</t>
  </si>
  <si>
    <t>Python Data Access</t>
  </si>
  <si>
    <t>kiranpanigrahi</t>
  </si>
  <si>
    <t>Tutorials Point (I) Pvt. Ltd.</t>
  </si>
  <si>
    <t>Python-data-access 2019.pdf</t>
  </si>
  <si>
    <t>Этот фрагмент представляет собой введение к учебному пособию по организации доступа к данным из Python. Книга посвящена работе с различными базами данных (MySQL, PostgreSQL, SQLite, MongoDB) с использованием соответствующих модулей, таких как mysql-connector-python и pymongo. В пособии рассматриваются основные операции: создание баз данных и таблиц, вставка, выборка, обновление и удаление данных. Материал предназначен для программистов, уже имеющих базовые знания Python и желающих освоить взаимодействие с базами данных.</t>
  </si>
  <si>
    <t>Python How-To</t>
  </si>
  <si>
    <t>Python-how-to-2023.pdf</t>
  </si>
  <si>
    <t>Книга «Python How-To» автора Йонга Куи представляет собой практическое руководство по улучшению кода на Python, содержащее 63 техники. Ключевые разделы охватывают обработку строк, использование встроенных контейнеров данных (списки, кортежи, словари, множества) и регулярные выражения. Издание предназначено для программистов среднего уровня, стремящихся углубить свои знания и освоить эффективные приёмы работы с языком.</t>
  </si>
  <si>
    <t>Python-Сборник упражнений.pdf</t>
  </si>
  <si>
    <t>Книга представляет собой сборник из 186 задач по программированию на Python разной степени сложности, структурированных по темам: введение в программирование, принятие решений, списки, циклы, функции, словари, файлы и исключения, а также рекурсия. Автор использует академичный стиль кода, а для части упражнений приведены подробные решения с разбором синтаксиса. Издание предназначено для начинающих программистов, уже имеющих базовые знания Python, и может использоваться как дополнение к учебнику или в качестве практикума.</t>
  </si>
  <si>
    <t>Python. Исчерпывающее руководство</t>
  </si>
  <si>
    <t>Дэвид Бизли</t>
  </si>
  <si>
    <t>Python. Исчерпывающее руководство.pdf</t>
  </si>
  <si>
    <t>Книга Дэвида Бизли «Python. Исчерпывающее руководство» посвящена глубокому пониманию основополагающих возможностей Python (версии 3.6 и выше), с акцентом на механику работы языка и структурирование кода. Ключевые разделы охватывают фундаментальные темы: абстракции данных, управление программной логикой, функции, объекты, модули и пакеты. Издание предназначено для разработчиков всех уровней, от новичков, ищущих точку старта, до опытных специалистов, желающих перейти к более глубокому «мышлению на Python» и повысить эффективность своего стиля программирования.</t>
  </si>
  <si>
    <t>Python. Книга рецептов</t>
  </si>
  <si>
    <t>Дэвид Бизли; Брайан К. Джонс</t>
  </si>
  <si>
    <t>Python. Книга рецептов.pdf</t>
  </si>
  <si>
    <t>Эта книга представляет собой практическое руководство по языку Python 3, содержащее более 10 тематических разделов с готовыми рецептами и примерами кода. Ключевые разделы охватывают структуры данных, строки, числа, итераторы, ввод-вывод, функции, классы, метапрограммирование, сетевое и конкурентное программирование, а также тестирование. Издание предназначено для опытных программистов, желающих освоить современные инструменты и идиомы Python, а также для специалистов, обновляющих старый код с Python 2.</t>
  </si>
  <si>
    <t>Python. Полное руководство</t>
  </si>
  <si>
    <t>Кольцов Д. М.</t>
  </si>
  <si>
    <t>Python. Полное руководство.pdf</t>
  </si>
  <si>
    <t>Эта книга представляет собой полное руководство по языку программирования Python, предназначенное для обучения с нуля. Первая часть посвящена основам: переменным, типам данных, операторам, циклам и структурам данных, а вторая — более сложным темам, таким как объектно-ориентированное программирование, метапрограммирование и многопоточность. Издание включает практические примеры и будет полезно как начинающим, так и опытным разработчикам, желающим углубить свои навыки.</t>
  </si>
  <si>
    <t>The Python Workbook: A Brief Introduction with Exercises and Solutions</t>
  </si>
  <si>
    <t>Ben Stephenson</t>
  </si>
  <si>
    <t>Python. Сборник упражнений.pdf</t>
  </si>
  <si>
    <t>Книга представляет собой сборник из 186 задач по программированию на языке Python разной степени сложности, предназначенный для отработки практических навыков. Ключевые разделы охватывают такие темы, как введение в программирование, принятие решений, списки, циклы, функции, словари, работа с файлами и рекурсия. Издание ориентировано на начинающих программистов, обладающих базовыми знаниями Python, и может использоваться как дополнение к учебнику.</t>
  </si>
  <si>
    <t>Python. Создаем программы и игры</t>
  </si>
  <si>
    <t>Кольцов Д. В.</t>
  </si>
  <si>
    <t>Python. Создаем программы и игры.pdf</t>
  </si>
  <si>
    <t>Книга Д. В. Кольцова «Python: создаем программы и игры» представляет собой практическое руководство по обучению языку Python с акцентом на написание компьютерных игр и приложений. В издании рассматриваются базовый синтаксис, работа со строками и числами, переменные, а также более сложные темы, такие как графика, объектно-ориентированное программирование и создание собственной игры. Материал сопровождается подробными комментариями к коду и примерами, что делает книгу идеальным выбором для новичков, желающих быстро и эффективно научиться программировать на Python.</t>
  </si>
  <si>
    <t>Python Asyncio Jump-Start: Asynchronous Programming And Non-Blocking I/O With Coroutines (Python Concurrency Jump-Start Series)</t>
  </si>
  <si>
    <t>Jason Brownlee</t>
  </si>
  <si>
    <t>SuperFastPython.com</t>
  </si>
  <si>
    <t>Python.Asyncio.Jump-Start.pdf</t>
  </si>
  <si>
    <t>Эта книга представляет собой практическое руководство по асинхронному программированию на Python с использованием модуля asyncio, ориентированное на разработчиков, желающих освоить корутины и неблокирующий ввод-вывод. Ключевые разделы охватывают создание корутин и задач, работу с коллекциями задач, асинхронные итераторы и генераторы, очереди и примитивы синхронизации, а также подпроцессы и потоки. Материал предназначен для Python-разработчиков начального и среднего уровня, стремящихся повысить производительность своих программ за счет асинхронного параллелизма.</t>
  </si>
  <si>
    <t>Python for Scientists</t>
  </si>
  <si>
    <t>John M. Stewart</t>
  </si>
  <si>
    <t>Python.for.Scientists.pdf</t>
  </si>
  <si>
    <t>Это третье издание практического руководства по Python для учёных, полностью обновлённое для Python 3 и дополненное Jupyter-тетрадями. Книга начинается с основ языка, а затем последовательно знакомит с ключевыми библиотеками для научных вычислений: NumPy, SymPy, Matplotlib, а также новыми главами по SciPy и Pandas. Издание предназначено для читателей из количественных наук любого уровня подготовки, включая новичков, желающих быстро освоить Python для эффективной работы.</t>
  </si>
  <si>
    <t>Python Programming for Beginners : The Ultimate Guide for Beginners to Learn Python Programming: Crash Course on Python Programming for Beginners (Python Programming Books Book 1)</t>
  </si>
  <si>
    <t>AMZ Publishing</t>
  </si>
  <si>
    <t>Python.Programming.for.Beginners 2021.pdf</t>
  </si>
  <si>
    <t>Эта книга представляет собой вводное руководство по языку программирования Python для начинающих, охватывающее его историю, установку и ключевые возможности. В ней рассматриваются такие темы, как типы операторов, условные операторы и циклы, списки, кортежи и словари, функции, работа с файлами, модули и объектно-ориентированное программирование. Издание предназначено для новичков, желающих освоить Python с нуля, и объясняет материал простым языком с примерами кода.</t>
  </si>
  <si>
    <t>Python 3 и PyQt 5. Разработка приложений</t>
  </si>
  <si>
    <t>Python_3_и_PyQt_5_Разработка_приложений 2016.pdf</t>
  </si>
  <si>
    <t>Книга посвящена разработке приложений на Python с использованием библиотеки PyQt 5. В ней рассматриваются ключевые концепции, такие как создание графического интерфейса, работа с виджетами, обработка событий и взаимодействие с базами данных. Издание предназначено для программистов среднего уровня, уже знакомых с основами Python, которые хотят освоить создание настольных приложений с графическим интерфейсом.</t>
  </si>
  <si>
    <t>Python Challenges: 100 Proven Programming Tasks Designed to Prepare You for Anything</t>
  </si>
  <si>
    <t>Python_Challenges_100_Proven_Programming_Tasks.pdf</t>
  </si>
  <si>
    <t>Книга «Python Challenges: 100 Proven Programming Tasks Designed to Prepare You for Anything» Майкла Индена представляет собой сборник из 100 практических задач по программированию на Python. В ней рассматриваются фундаментальные концепции языка, структура проектов и тестирование с использованием Pytest, а также уделяется внимание стилю кода, включая рекомендации PEP 8. Издание предназначено для программистов среднего уровня, желающих углубить свои навыки и подготовиться к решению сложных задач.</t>
  </si>
  <si>
    <t>Python для сложных задач: наука о данных и машинное обучение</t>
  </si>
  <si>
    <t>Плас Дж. Вандер</t>
  </si>
  <si>
    <t>Python_dlya_slozhnykh_zadach_nauka_o_dannykh_i_mas.pdf</t>
  </si>
  <si>
    <t>Книга «Python для сложных задач: наука о данных и машинное обучение» представляет собой подробное руководство по применению Python для обработки данных, научных исследований и машинного обучения. Она охватывает ключевые темы, включая работу с IPython и Jupyter, визуализацию, статистическое моделирование и методы Data Science. Издание предназначено для читателей, уже имеющих опыт программирования и желающих эффективно использовать Python в сфере науки о данных.</t>
  </si>
  <si>
    <t>Python for Programmers</t>
  </si>
  <si>
    <t>Pearson Education, Inc.</t>
  </si>
  <si>
    <t>Python_for_Prog and AI.pdf</t>
  </si>
  <si>
    <t>Эта книга посвящена обучению программированию на Python в контексте современных технологий, таких как наука о данных, искусственный интеллект и большие данные. Ключевые разделы охватывают основы Python, введение в анализ данных, визуализацию, а также практические кейсы по машинному обучению, обработке естественного языка и работе с облачными сервисами. Издание предназначено для программистов и специалистов, уже имеющих базовые навыки в разработке, которые хотят освоить Python для решения задач в области анализа данных и AI.</t>
  </si>
  <si>
    <t>Python. Карманный справочник</t>
  </si>
  <si>
    <t>Марк Лутц</t>
  </si>
  <si>
    <t>Python_Karmanny_spravochnik_5-e_izdanie_Mark_Lutts_2015.pdf</t>
  </si>
  <si>
    <t>Данный фрагмент книги Марка Лутца «Python. Карманный справочник» (5-е издание) представляет собой компактное справочное руководство по языку Python, охватывающее его синтаксис, встроенные типы данных, функции и ключевые модули стандартной библиотеки. Книга систематизирует такие концепции, как работа с числами, строками, списками, словарями, а также основы объектно-ориентированного программирования и обработки исключений. Издание ориентировано на практикующих разработчиков среднего и продвинутого уровня, которым необходим быстрый доступ к точной информации без углублённых объяснений для начинающих.</t>
  </si>
  <si>
    <t>Python Web Scraping Cookbook</t>
  </si>
  <si>
    <t>Michael Heydt</t>
  </si>
  <si>
    <t>Python_Web_Scraping_Cookbook_Over_90_proven_recipes_to_get_you_scraping.pdf</t>
  </si>
  <si>
    <t>Книга «Python Web Scraping Cookbook» Майкла Хейдта представляет собой сборник из более чем 90 рецептов по веб-скрапингу с использованием Python, микросервисов, Docker и AWS. Ключевые разделы охватывают настройку среды, парсинг сайтов с помощью библиотек Requests, BeautifulSoup, Scrapy и Selenium, а также навигацию по DOM с использованием XPath и CSS-селекторов. Издание предназначено для разработчиков среднего уровня, желающих освоить практические методы сбора данных из интернета.</t>
  </si>
  <si>
    <t>Python_Визуализация_данных_Matplotlib 2020.pdf</t>
  </si>
  <si>
    <t>Книга посвящена библиотекам визуализации данных на языке Python: Matplotlib, Seaborn и Mayavi. В ней подробно описываются инструменты для построения и настройки графиков, включая работу с модулем pyplot, компоновку, легенды, текстовые элементы и цветовые полосы. Материал начинается с быстрого старта и установки, затем переходит к основам и детальной настройке элементов графика. Издание ориентировано на читателей, уже знакомых с основами Python, и подходит как для начинающих, так и для практикующих специалистов.</t>
  </si>
  <si>
    <t>Python_Визуализация_данных_Matplotlib,_Seaborn,_Mayavi_2020.pdf</t>
  </si>
  <si>
    <t>Эта книга представляет собой практическое руководство по визуализации данных на языке Python с использованием трех ключевых библиотек: Matplotlib, Seaborn и Mayavi. В ней подробно описываются инструменты для построения и настройки графиков, включая работу с линейными графиками, диаграммами, легендами, текстовыми элементами и компоновкой. Особое внимание уделяется основам работы с модулем pyplot и настройке внешнего вида визуализаций. Издание предназначено для специалистов и разработчиков, уже знакомых с основами Python, которые хотят освоить профессиональные инструменты для создания качественных графиков.</t>
  </si>
  <si>
    <t>Python и DevOps: Ключ к автоматизации Linux</t>
  </si>
  <si>
    <t>Ной Гифт; Кеннеди Берман; Альфредо Деза; Григ Георгиу</t>
  </si>
  <si>
    <t>Python_и_DevOps_Ключ_к_автоматизации_Linux.pdf</t>
  </si>
  <si>
    <t>Книга «Python и DevOps: Ключ к автоматизации Linux» представляет собой практическое руководство по использованию языка Python для автоматизации задач системного администрирования Linux в контексте современных DevOps-практик. В издании рассматриваются такие ключевые концепции, как работа с файловой системой, непрерывная интеграция и развертывание (CI/CD), мониторинг, контейнеризация (Docker, Kubernetes), облачные вычисления и инфраструктура как код (Terraform). Материал ориентирован на специалистов среднего уровня, уже знакомых с основами администрирования и программирования, которые хотят углубить навыки автоматизации.</t>
  </si>
  <si>
    <t>Python – к вершинам мастерства: Лаконичное и эффективное программирование</t>
  </si>
  <si>
    <t>Лусиану Рамальо</t>
  </si>
  <si>
    <t>МК Пресс</t>
  </si>
  <si>
    <t>Python_К_вершинам_мастерства,_2_е_изд_.pdf</t>
  </si>
  <si>
    <t>Это фрагмент второго издания книги Лусиану Рамальо «Python – к вершинам мастерства», посвящённой углублённому изучению языка Python и написанию лаконичного, эффективного кода с использованием современных возможностей Python 3. Ключевые темы включают модель данных Python, специальные методы, работу со структурами данных (последовательностями, кортежами, списковыми включениями и генераторными выражениями). Книга предназначена для практикующих программистов на Python, которые хотят усовершенствовать свои навыки и перейти от базового использования языка к профессиональному мастерству.</t>
  </si>
  <si>
    <t>Python. Разработка на основе тестирования</t>
  </si>
  <si>
    <t>Гарри Персиваль</t>
  </si>
  <si>
    <t>Python_Разработка_на_основе_тестирования 2017.pdf</t>
  </si>
  <si>
    <t>Книга Гарри Персиваля посвящена методологии разработки на основе тестирования (TDD) на языке Python с использованием фреймворков Django, Selenium и JavaScript. В ней подробно рассматриваются ключевые концепции, такие как написание функциональных и модульных тестов, работа с инструментами Git, jQuery и Mock, а также цикл «тест/программный-код». Издание предназначено для разработчиков, уже освоивших начальный уровень программирования на Python и желающих перейти к профессиональной разработке с акцентом на снижение количества ошибок и стресса.</t>
  </si>
  <si>
    <t>Python с нуля</t>
  </si>
  <si>
    <t>Петр Левашов</t>
  </si>
  <si>
    <t>Python_с_нуля.pdf</t>
  </si>
  <si>
    <t>Книга Петра Левашова «Python с нуля» представляет собой комплексное руководство по изучению языка программирования Python, начиная с основ и заканчивая продвинутыми темами. Ключевые разделы охватывают переменные, типы данных, управляющие структуры, функции, объектно-ориентированное программирование, обработку исключений, а также прикладные области, такие как Data Science, веб-скрапинг и создание графических интерфейсов. Издание предназначено для новичков, желающих освоить программирование с нуля, но также будет полезно опытным разработчикам, стремящимся систематизировать знания о Python.</t>
  </si>
  <si>
    <t>Python: создание приложений</t>
  </si>
  <si>
    <t>Уэсли Дж. Чан</t>
  </si>
  <si>
    <t>Python_создание_приложений_Библиотека_профессионала,_3_е_издание.pdf</t>
  </si>
  <si>
    <t>Книга Уэсли Чана «Python: создание приложений. Библиотека профессионала» (третье издание) представляет собой углублённое руководство по разработке реальных приложений на Python. Она охватывает такие ключевые темы, как регулярные выражения, сетевое и многопоточное программирование, графические интерфейсы, работа с базами данных и веб-разработка, включая Django и Google App Engine. Издание предназначено для программистов, уже знакомых с основами Python и желающих расширить свои навыки для решения профессиональных задач.</t>
  </si>
  <si>
    <t>Python. Справочник. Полное описание языка</t>
  </si>
  <si>
    <t>Алекс Мартелли; Анна Рейвенскрофт; Стив Холден</t>
  </si>
  <si>
    <t>Python_Справочник_Полное_описание_языка 2019.pdf</t>
  </si>
  <si>
    <t>Это третье издание справочного руководства по языку Python, охватывающее как ядро языка и встроенные объекты, так и стандартную библиотеку, сетевое и веб-программирование, а также вопросы расширения и миграции с версии 2.x на 3.x. Ключевые разделы включают синтаксис, объектно-ориентированное программирование, работу с файлами, базами данных, потоками и асинхронными архитектурами. Книга предназначена для опытных разработчиков и специалистов, желающих получить полное и детальное описание возможностей Python.</t>
  </si>
  <si>
    <t>Python_Чистый_код_для_продолжающих_2022_Эл_Свейгарт.pdf</t>
  </si>
  <si>
    <t>Эта книга предназначена для программистов на Python, уже освоивших базовый уровень, и посвящена переходу к профессиональной разработке. В ней рассматриваются передовые практики написания чистого, читаемого и эффективного кода, включая работу с инструментами форматирования (Black), статическими анализаторами, системой контроля версий Git, а также основы объектно-ориентированного программирования. Ключевые разделы охватывают обработку ошибок, выбор имен, поиск «запахов» в коде, написание питонического кода и анализ сложности алгоритмов. Книга помогает разработчикам, стремящимся углубить свои знания и повысить ценность как специалиста.</t>
  </si>
  <si>
    <t>Scaling Python with Ray: Adventures in Cloud and Serverless Patterns</t>
  </si>
  <si>
    <t>Scaling_Python_with_Ray_Adventures_in_Cloud_and_Serverless_Patterns.epub</t>
  </si>
  <si>
    <t>Книга посвящена масштабированию Python-приложений с помощью фреймворка Ray, рассматривая облачные и серверные паттерны. Ключевые концепции включают распределённые вычисления, параллельную обработку данных, управление состоянием и развёртывание в облачной среде. Материал ориентирован на Python-разработчиков среднего и продвинутого уровня, знакомых с основами языка и желающих освоить инструменты для построения высоконагруженных систем.</t>
  </si>
  <si>
    <t>Simulation with Python: Develop Simulation and Modeling in Natural Sciences, Engineering, and Social Sciences</t>
  </si>
  <si>
    <t>Rongpeng Li; Aiichiro Nakano</t>
  </si>
  <si>
    <t>Simulation with Python Develop Simula....pdf</t>
  </si>
  <si>
    <t>Книга «Simulation with Python» посвящена разработке симуляций и моделированию в естественных, технических и социальных науках с использованием Python. В представленном фрагменте рассматриваются такие ключевые концепции, как метод Монте-Карло для вычисления числа Пи и цепи Маркова для прогнозирования и анализа случайных процессов. Издание предназначено для читателей, уже имеющих базовые навыки программирования, и содержит практические упражнения.</t>
  </si>
  <si>
    <t>Simulation with Python</t>
  </si>
  <si>
    <t>Simulation.with.Python.pdf</t>
  </si>
  <si>
    <t>Книга "Simulation with Python" посвящена разработке симуляций и моделированию в естественных, технических и социальных науках с использованием Python. В представленном фрагменте рассматриваются такие ключевые концепции, как метод Монте-Карло для вычисления числа Пи и цепи Маркова для прогнозирования (например, погоды или случайных блужданий). Издание предназначено для читателей, имеющих базовые знания программирования на Python, и подходит как для студентов, так и для специалистов, интересующихся практическим применением симуляций.</t>
  </si>
  <si>
    <t>Test Your Skills In Python, Second Edition</t>
  </si>
  <si>
    <t>Shivani Goel</t>
  </si>
  <si>
    <t>Test your skills in Python.pdf</t>
  </si>
  <si>
    <t>Книга «Test Your Skills in Python» (второе издание) Шивани Гоел представляет собой сборник из более чем 1000 вопросов и упражнений по языку Python, охватывающий 16 ключевых тем, включая синтаксис, типы данных, строки, функции, классы, файлы, графику и базы данных. Материал структурирован по главам, каждая из которых посвящена отдельной концепции, что позволяет читателю получить целостное представление о каждой теме. Издание предназначено для начинающих и студентов, желающих проверить и углубить свои знания Python через практические задания.</t>
  </si>
  <si>
    <t>The Quick Python Book, Fourth Edition</t>
  </si>
  <si>
    <t>Naomi Ceder</t>
  </si>
  <si>
    <t>The Quick Python Book, Fourth Edition.pdf</t>
  </si>
  <si>
    <t>Книга «The Quick Python Book, Fourth Edition» Наоми Седер представляет собой практическое руководство по языку Python, предназначенное для быстрого и эффективного обучения. В ней рассматриваются основы синтаксиса, встроенные типы данных, философия Python (PEP 20), а также работа с инструментами вроде Colaboratory и AI-ассистентами. Ключевые разделы включают обзор языка, работу с числами, списками, строками и словарями, а также введение в подсказки типов. Издание ориентировано на новичков, желающих быстро начать решать реальные задачи, и получило высокие оценки от экспертов сообщества Python.</t>
  </si>
  <si>
    <t>The Recursive Book of Recursion</t>
  </si>
  <si>
    <t>The_Recursive_Book_of_Recursion_Ace_the_Coding_Interview_with_Py.pdf</t>
  </si>
  <si>
    <t>Книга Эла Свейгарта «The Recursive Book of Recursion» посвящена глубокому изучению рекурсии как фундаментальной концепции программирования. В первой части рассматриваются классические алгоритмы (разделяй и властвуй, поиск с возвратом, мемоизация), а вторая часть содержит практические проекты, такие как генератор лабиринтов и создание фракталов. Материал ориентирован на читателей, готовящихся к техническим собеседованиям, и требует базового знания Python или JavaScript.</t>
  </si>
  <si>
    <t>Think Python: How to Think Like a Computer Scientist</t>
  </si>
  <si>
    <t>Allen Downey</t>
  </si>
  <si>
    <t>Green Tea Press</t>
  </si>
  <si>
    <t>Think Python. How to Think Like a Computer Scientist [2021] Allen Downey.pdf</t>
  </si>
  <si>
    <t>Книга Аллена Дауни «Think Python» представляет собой введение в программирование на языке Python, нацеленное на формирование у читателя мышления программиста. Ключевые концепции включают постепенное освоение материала с акцентом на практику, отладку и проектирование программ, а также использование минимально необходимого набора средств языка. Издание предназначено для новичков, желающих научиться программировать, и содержит множество упражнений и примеров для закрепления навыков.</t>
  </si>
  <si>
    <t>Thinking in Pandas: How to Use the Python Data Analysis Library the Right Way</t>
  </si>
  <si>
    <t>Hannah Stepanek</t>
  </si>
  <si>
    <t>Thinking_in_Pandas_How_to_Use_the_Python_Data_Analysis_Library.pdf</t>
  </si>
  <si>
    <t>Книга Ханны Степанек «Thinking in Pandas» посвящена правильному использованию библиотеки Python Pandas для анализа данных. В ней рассматриваются такие ключевые концепции, как создание и объединение DataFrame, работа с индексацией (iloc, loc), загрузка данных из различных форматов (CSV, JSON, SQL) и базовые трансформации (pivot, melt). Издание предназначено для специалистов, уже знакомых с основами Python, которые хотят углубить понимание внутреннего устройства Pandas и повысить эффективность своей работы с данными.</t>
  </si>
  <si>
    <t>Expert Twisted: Event-Driven and Asynchronous Programming with Python</t>
  </si>
  <si>
    <t>Moshe Zadka; Mark Williams; Cory Benfield; Brian Warner; Dustin Mitchell; Kevin Samuel; Pierre Tardy</t>
  </si>
  <si>
    <t>Twisted на Python.pdf</t>
  </si>
  <si>
    <t>Книга «Twisted из первых рук» посвящена событийно-ориентированному сетевому фреймворку Twisted для Python и методам асинхронного программирования. В первой части рассматриваются основы архитектуры Twisted, включая реакторы, протоколы, транспорты, отложенные вызовы и сопрограммы, а также демонстрируется создание веб-API с помощью библиотек treq и klein. Вторая часть содержит практические проекты, такие как использование Twisted с Docker и в роли контейнера WSGI. Издание предназначено для разработчиков, уже имеющих опыт работы с Python и понимающих основы сетевых протоколов, но не требует предварительного знакомства с Twisted.</t>
  </si>
  <si>
    <t>Using Asyncio in Python</t>
  </si>
  <si>
    <t>Caleb Hattingh</t>
  </si>
  <si>
    <t>Using_Asyncio_Pyth.pdf</t>
  </si>
  <si>
    <t>Книга Калеба Хэттингха «Using Asyncio in Python» посвящена асинхронному программированию на Python с использованием библиотеки asyncio. В ней рассматриваются ключевые концепции, такие как корутины, ключевые слова async/await, цикл событий, задачи и futures, а также асинхронные менеджеры контекста и итераторы. Издание предназначено для Python-разработчиков среднего уровня, желающих понять, какую проблему решает asyncio, и освоить его применение на практике, включая работу с потоками и сигналами.</t>
  </si>
  <si>
    <t>Python Debugging Handbook</t>
  </si>
  <si>
    <t>Zimmerman, HL</t>
  </si>
  <si>
    <t>Independent</t>
  </si>
  <si>
    <t>Zimmerman,_RL_Python_Debugging_Handbook_Independent_2020.epub</t>
  </si>
  <si>
    <t>Книга представляет собой практическое руководство по отладке кода на Python, охватывающее как базовые концепции языка (синтаксис, типы данных, структуры), так и специализированные инструменты и методы поиска ошибок (логирование, трассировка стека, использование отладчика и интерактивного режима). Основное внимание уделяется пошаговой стратегии отладки, включающей ведение журнала, разделение проблемы и формулирование гипотез, а также разбору конкретных примеров ошибок (IndexError, проблемы с отступами, неверные аргументы). Материал ориентирован на начинающих и intermediate-разработчиков, желающих систематизировать процесс поиска и исправления ошибок в своих программах.</t>
  </si>
  <si>
    <t>[Paul_Deitel,_Dr._Harvey_Deitel]_Python_for_Progra.pdf</t>
  </si>
  <si>
    <t>Фрагмент представляет собой введение к книге «Python for Programmers», посвященной обучению программированию на Python с акцентом на современные технологии, такие как обработка данных, искусственный интеллект и большие данные. Ключевые разделы включают основы Python, введение в науку о данных, а также практические кейсы по машинному обучению, анализу текста и облачным вычислениям. Книга предназначена для программистов, желающих освоить Python и применить его в аналитике и data science.</t>
  </si>
  <si>
    <t>Python за 7 дней. Краткий курс для начинающих</t>
  </si>
  <si>
    <t>Эндрю Парк</t>
  </si>
  <si>
    <t>_Python_za_7_dney.pdf</t>
  </si>
  <si>
    <t>Книга «Python за 7 дней» представляет собой краткий практический курс по языку программирования Python для абсолютных новичков. В ней рассматриваются установка Python, работа со средами разработки (IDLE и PyCharm), а также основы синтаксиса, объектно-ориентированного программирования и методы. Материал структурирован по дням и сопровождается упражнениями для отработки навыков. Издание ориентировано на начинающих программистов, желающих быстро освоить Python без погружения в сложные академические тексты.</t>
  </si>
  <si>
    <t>«Непрактичный» Python: занимательные проекты для тех, кто хочет поумнеть</t>
  </si>
  <si>
    <t>Ли Воган</t>
  </si>
  <si>
    <t>«Непрактичный»_Python_Занимательные_проекты 2021.pdf</t>
  </si>
  <si>
    <t>Книга «Непрактичный» Python Ли Вогана предназначена для тех, кто уже освоил основы языка и хочет углубить навыки через выполнение нестандартных, занимательных проектов. В ней рассматриваются такие концепции, как анализ марковских цепей, метод Монте-Карло, генетические алгоритмы и работа с библиотеками pygame, matplotlib и pillow. Издание ориентировано на программистов начального и среднего уровня, желающих получить практический опыт и удовольствие от программирования.</t>
  </si>
  <si>
    <t>Enterprise Automation with Python: Automate Excel, Web, Documents, Emails, and Various Workloads with Easy-to-code Python Scripts</t>
  </si>
  <si>
    <t>Ambuj Agrawal</t>
  </si>
  <si>
    <t>Автоматизация предприятия с помощью Python.pdf</t>
  </si>
  <si>
    <t>Эта книга посвящена автоматизации рутинных бизнес-процессов с помощью Python, охватывая работу с Excel, веб-сайтами, PDF-документами, электронной почтой и мессенджерами. Ключевые разделы включают настройку среды разработки, установку необходимых библиотек и формирование правильного мышления для внедрения автоматизации в организациях. Издание предназначено для читателей, желающих научиться писать простые скрипты для повышения эффективности работы, и рассчитано на начальный уровень подготовки.</t>
  </si>
  <si>
    <t>Автоматизация рутинных задач при помощи Python</t>
  </si>
  <si>
    <t>Автоматизация рутинных задач при помощи Python RUS.pdf</t>
  </si>
  <si>
    <t>Книга «Автоматизация рутинных задач при помощи Python» посвящена практическому применению языка Python для упрощения повседневной работы с файлами, электронными таблицами, PDF-документами, веб-скрапингом и отправкой email. Ключевые концепции включают работу с регулярными выражениями, управление файловой системой, парсинг данных и автоматизацию офисных приложений. Издание ориентировано на начинающих программистов и офисных сотрудников, желающих сократить время на повторяющиеся операции без глубоких знаний в IT.</t>
  </si>
  <si>
    <t>Автостопом по Python 2017.pdf</t>
  </si>
  <si>
    <t>Книга «Автостопом по Python» представляет собой практическое руководство по профессиональной разработке на Python, основанное на одноименном онлайн-ресурсе. Она охватывает полный цикл работы: от выбора интерпретатора и настройки среды до написания, чтения и публикации качественного кода, а также включает разделы по созданию сценариев, работе с данными и API. Издание предназначено для программистов любого уровня, стремящихся освоить проверенные методы и современные приемы, чтобы стать профессиональным Python-разработчиком в эпоху Python 3.</t>
  </si>
  <si>
    <t>Алгоритмы работы с мультимедийными данными в telegram-боте (100 примеров на Python)</t>
  </si>
  <si>
    <t>С.А. Молодяков; А.В. Милицын</t>
  </si>
  <si>
    <t>ПОЛИТЕХ-ПРЕСС</t>
  </si>
  <si>
    <t>Алгоритмы работы с мультимедийными данными в telegram-боте.pdf</t>
  </si>
  <si>
    <t>Эта монография посвящена созданию алгоритмов для редактирования мультимедийных данных (изображений, аудио и видео), реализованных в виде Telegram-бота на языке Python. Ключевые разделы книги охватывают преобразование файлов изображений, видеофайлов, а также работу с текстом и аудио, при этом в основе алгоритмов лежат библиотеки OpenCV и FFmpeg. Издание содержит 100 полностью рабочих примеров программ, написанных студентами, и предназначено для начинающих инженеров и специалистов в области обработки изображений и звука, а также для студентов соответствующих направлений подготовки.</t>
  </si>
  <si>
    <t>Берман Кеннеди</t>
  </si>
  <si>
    <t>Берман К. Основы Python для Data Science 2023.pdf</t>
  </si>
  <si>
    <t>Книга Кеннеди Бермана представляет собой практическое руководство по изучению Python для Data Science и машинного обучения, начиная с работы в среде Jupyter Notebook. Ключевые разделы охватывают основы языка, структуры данных, а затем переходят к ключевым библиотекам: NumPy, SciPy, Pandas, инструментам визуализации и машинного обучения, включая NLTK. Завершается книга продвинутыми темами, такими как функциональное и объектно-ориентированное программирование. Издание предназначено для новичков, желающих освоить Python для решения задач анализа данных, и не требует глубоких предварительных знаний программирования.</t>
  </si>
  <si>
    <t>Библиотека Matplotlib</t>
  </si>
  <si>
    <t>Библиотека Matplotlib.pdf</t>
  </si>
  <si>
    <t>Книга «Библиотека Matplotlib» представляет собой практическое руководство по визуализации данных на Python, построенное в формате уроков. В ней рассматриваются ключевые темы: построение различных типов графиков (линейных, точечных, столбчатых, круговых и 3D), настройка внешнего вида (легенда, текстовые элементы, цветовые полосы) и компоновка графиков. Материал ориентирован на широкий круг читателей, от новичков до специалистов, желающих освоить библиотеку Matplotlib для решения повседневных задач.</t>
  </si>
  <si>
    <t>Python. Экспресс-курс</t>
  </si>
  <si>
    <t>Наоми Седер</t>
  </si>
  <si>
    <t>Библиотека_программиста_Наоми_Седер_Python_Экспресс_курс_2019.pdf</t>
  </si>
  <si>
    <t>Книга представляет собой экспресс-курс по языку Python для программистов, уже имеющих опыт кодинга на других языках. Она охватывает переход от основ к управлению и структурам данных, а также объектно-ориентированные возможности Python 3. В издании учтены изменения языка за последние пять лет, а последние пять глав посвящены работе с большими данными. Книга предназначена для специалистов, желающих быстро освоить Python для создания, тестирования и развертывания полноценных приложений.</t>
  </si>
  <si>
    <t>Большая книга проектов Python</t>
  </si>
  <si>
    <t>Большая книга проектов Python.pdf</t>
  </si>
  <si>
    <t>Книга «Большая книга проектов Python» Эла Свейгарта представляет собой сборник из 81 небольшой практической программы на Python, охватывающих такие темы, как графика, игры, анимация и математические расчеты. Ключевые разделы включают проекты по созданию шифров, игр (например, «Блэк-джек» и «Четыре в ряд»), визуализации ДНК и моделированию лесного пожара. Издание предназначено для программистов, уже освоивших основы синтаксиса Python, и позволяет отточить навыки на интересных задачах, умещающихся в 256 строк кода.</t>
  </si>
  <si>
    <t>Teach Your Kids to Code</t>
  </si>
  <si>
    <t>Брайсон_Пэйн_Python_для_детей_и_родителей_2_е_издание.pdf</t>
  </si>
  <si>
    <t>Книга Брайсона Пэйна «Python для детей и родителей» представляет собой практическое руководство по обучению программированию на языке Python, ориентированное на совместное освоение материала детьми и взрослыми. В ней рассматриваются основы синтаксиса Python, работа с «черепашьей» графикой (модуль turtle) для создания рисунков, а также другие увлекательные проекты, развивающие логическое мышление. Издание предназначено для абсолютных новичков, включая детей, и не требует предварительных знаний в программировании.</t>
  </si>
  <si>
    <t>Вероятностное программирование на Python: байесовский вывод и алгоритмы</t>
  </si>
  <si>
    <t>Кэмерон Дэвидсон-Пайлон</t>
  </si>
  <si>
    <t>Вероятностное_программирование_на_Python.pdf</t>
  </si>
  <si>
    <t>Книга Кэмерона Дэвидсона-Пайлона посвящена практическому применению байесовского вывода и вероятностного программирования на языке Python. Ключевые концепции включают байесовское мышление, работу с апостериорными распределениями, использование библиотеки PyMC, а также решение прикладных задач, таких как A/B-тестирование и выявление мошенничества. Издание рассчитано на программистов-практиков, знакомых с Python, которые хотят освоить статистические методы без углубления в сложные математические формулы.</t>
  </si>
  <si>
    <t>Весь Python. Самое актуальное и исчерпывающее руководство</t>
  </si>
  <si>
    <t>Фабрицио Романо; Генрих Крюгер</t>
  </si>
  <si>
    <t>Весь Python Самое актуальное и исчерпывающее руководство.pdf</t>
  </si>
  <si>
    <t>Это четвёртое издание всеобъемлющего руководства по Python, охватывающее как фундаментальные основы, так и новейшие возможности версий 3.9–3.12. Книга включает ключевые разделы по встроенным типам данных, функциям, ООП, работе с файлами, тестированию, а также практические введения в Data Science, разработку API и консольные приложения. Издание предназначено для новичков, желающих научиться программировать с нуля, и для практикующих специалистов, стремящихся освоить современные инструменты и методики Python.</t>
  </si>
  <si>
    <t>Python Graphics: A Reference for Creating 2D and 3D Images</t>
  </si>
  <si>
    <t>Bernard Korites</t>
  </si>
  <si>
    <t>Графика на Python. Создание 2D- и 3D-изображений.pdf</t>
  </si>
  <si>
    <t>Книга Бернарда Коритеса «Графика на Python» посвящена созданию 2D- и 3D-изображений с использованием встроенных графических примитивов языка Python, таких как точки, линии и стрелки. В ней рассматриваются основные команды и функции для построения диаграмм, работа с цветами, сетками, осями и масштабированием, а также приводятся примеры из физики, биологии и экономики. Издание предназначено как для начинающих программистов, так и для специалистов, желающих выйти за рамки стандартных библиотек и создавать собственную сложную графику.</t>
  </si>
  <si>
    <t>Пол Дейтел; Харви Дейтел</t>
  </si>
  <si>
    <t>Дейтел_Пол,_Дейтел_Харви_Python_Искусственный_интеллект,_большие.pdf</t>
  </si>
  <si>
    <t>Книга Пола и Харви Дейтелов посвящена практическому применению Python для решения задач в области искусственного интеллекта, больших данных и облачных вычислений. Ключевые разделы охватывают обработку естественного языка, машинное обучение (с учителем и без), глубокое обучение с нейронными сетями, а также работу с большими данными через Hadoop, Spark и NoSQL. Издание предназначено для специалистов, стремящихся освоить современные вычислительные технологии и идиомы Python на практике.</t>
  </si>
  <si>
    <t>Джейми Чан Python быстрый старт 2021.pdf</t>
  </si>
  <si>
    <t>Эта книга представляет собой практическое руководство по языку Python для начинающих, которое позволяет освоить программирование с нуля за короткий срок. В ней последовательно разбираются фундаментальные концепции: переменные, типы данных, управляющие конструкции, функции, работа с файлами и основы объектно-ориентированного программирования. Материал структурирован от простого к сложному, а в конце предлагается проект для закрепления навыков. Издание предназначено для абсолютных новичков, желающих быстро и эффективно изучить Python.</t>
  </si>
  <si>
    <t>Дэвидсон_Пайлон_Вероятностное программирование на Python.pdf</t>
  </si>
  <si>
    <t>Книга Кэмерона Дэвидсона-Пайлона посвящена практическому применению байесовских методов в программировании на Python. В ней рассматриваются философия байесовского вывода, работа с библиотекой PyMC и решение прикладных задач, таких как A/B-тестирование и выявление мошенничества. Ключевые разделы включают основы байесовского мышления, работу с распределениями вероятностей и интерпретацию результатов. Издание ориентировано на программистов-практиков, знакомых с Python, которые хотят освоить вероятностное программирование без углубления в сложные формулы.</t>
  </si>
  <si>
    <t>Основы программирования на языке Python</t>
  </si>
  <si>
    <t>Златопольский Дмитрий Михайлович</t>
  </si>
  <si>
    <t>Златопольский -Osnovy_programmirovania_na_yazyke_Python_2017.pdf</t>
  </si>
  <si>
    <t>Книга Дмитрия Златопольского представляет собой учебник по основам программирования на языке Python, ориентированный на начинающих. В ней рассматриваются ключевые концепции: основные инструкции языка, структуры данных (строки, списки, словари, файлы), типовые задачи программирования, а также методика разработки графического интерфейса. Особое внимание уделяется решению задач из ЕГЭ по информатике и разбору типичных ошибок новичков. Издание предназначено для школьников, студентов, преподавателей и всех, кто начинает изучать программирование.</t>
  </si>
  <si>
    <t>Python Basics: A Practical Introduction to Python</t>
  </si>
  <si>
    <t>Дэн Бейдер; Дэвид Эймос; Джоанна Яблонски; Флетчер Хейслер</t>
  </si>
  <si>
    <t>Знакомство с Python 2023.pdf</t>
  </si>
  <si>
    <t>Книга «Знакомство с Python» представляет собой вводное руководство по языку программирования Python, предназначенное для начинающих. Авторы делают акцент на практическом подходе по принципу 80/20, обучая сочетать структурные элементы языка для создания скриптов и приложений. Ключевые разделы охватывают установку Python, написание первой программы, работу со строками, числами и математическими вычислениями. Издание ориентировано на новичков, желающих заложить фундамент для карьеры питониста.</t>
  </si>
  <si>
    <t>Изучаем Python. Программирование игр, визуализация данных, веб-приложения</t>
  </si>
  <si>
    <t>Мэтиз Эрик</t>
  </si>
  <si>
    <t>Изучаем Python.pdf</t>
  </si>
  <si>
    <t>Это практическое руководство по языку Python, разделённое на две части: в первой рассматриваются базовые концепции программирования (переменные, списки, классы, циклы, тестирование кода), а во второй предлагается создание трёх проектов — аркадной игры, визуализации данных и веб-приложения. Книга предназначена для новичков, желающих быстро освоить Python и научиться писать работающие приложения.</t>
  </si>
  <si>
    <t>Изучаем Python</t>
  </si>
  <si>
    <t>Изучаем Python_code.zip</t>
  </si>
  <si>
    <t>Изучаем Python_Tom_2_5-e_издание Марк Лутц.pdf</t>
  </si>
  <si>
    <t>Это второй том пятого издания книги Марка Лутца «Изучаем Python», посвященный продвинутым темам языка, в первую очередь объектно-ориентированному программированию (классы, наследование, перегрузка операций), а также обработке исключений, работе с Unicode, декораторам и метаклассам. Книга построена как практическое руководство с пошаговыми примерами, начиная с основ создания классов и заканчивая сложными механизмами управления атрибутами и метапрограммирования. Издание рассчитано на читателей, уже освоивших базовый синтаксис Python (первый том) и желающих углубиться в профессиональное проектирование приложений.</t>
  </si>
  <si>
    <t>Как устроен Python. Гид для разработчиков, программистов и интересующихся</t>
  </si>
  <si>
    <t>Мэтт Харрисон</t>
  </si>
  <si>
    <t>Как устроен Python 2019.pdf</t>
  </si>
  <si>
    <t>Книга Мэтта Харрисона «Как устроен Python» представляет собой практическое руководство по языку Python, охватывающее его внутреннее устройство и особенности. Ключевые разделы включают работу с интерпретатором, переменными, контейнерами, функциями, классами и исключениями, а также основы ввода-вывода и импорта библиотек. Издание предназначено для разработчиков, программистов и интересующихся, желающих углубить понимание Python, независимо от текущего уровня подготовки — от новичков до опытных специалистов.</t>
  </si>
  <si>
    <t>Харрисон Мэтт</t>
  </si>
  <si>
    <t>Как устроен Python.pdf</t>
  </si>
  <si>
    <t>Книга Мэтта Харрисона «Как устроен Python» представляет собой практическое руководство по языку Python, охватывающее его внутреннее устройство и особенности. В ней рассматриваются ключевые концепции: работа интерпретатора, типы данных (числа, строки, контейнеры), функции, классы, исключения и импорт библиотек. Издание предназначено для разработчиков, программистов и интересующихся, которые уже имеют базовый опыт и хотят углубить понимание Python, перейдя от простого использования к профессиональному уровню.</t>
  </si>
  <si>
    <t>Классические задачи Computer_Science_na_yazyke_Python_2020_Kopets.pdf</t>
  </si>
  <si>
    <t>Книга Дэвида Копеца «Классические задачи Computer Science на языке Python» посвящена решению фундаментальных задач программирования с использованием языка Python. В ней рассматриваются такие ключевые концепции, как алгоритмы поиска, графовые задачи, генетические алгоритмы, кластеризация методом k-средних и простейшие нейронные сети. Издание предназначено для программистов, желающих углубить свои знания в Python и освоить классические приёмы решения повседневных задач, от простых до сложных.</t>
  </si>
  <si>
    <t>Однострочники Python: лаконичный и содержательный код</t>
  </si>
  <si>
    <t>Кристиан Майер</t>
  </si>
  <si>
    <t>Кристиан_Майер_Однострочники_Python 2022.pdf</t>
  </si>
  <si>
    <t>Эта книга Кристиана Майера посвящена искусству написания лаконичного и выразительного кода на Python с помощью однострочников. Она охватывает ключевые концепции языка, такие как списковые включения, лямбда-функции, срезы и работу с библиотекой NumPy, а также включает разделы по трюкам Python, науке о данных и полезным алгоритмам. Издание предназначено для программистов, желающих углубить свои знания и научиться писать более компактный и эффективный код, переходя от уровня новичка к уровню эксперта.</t>
  </si>
  <si>
    <t>Learn More Python 3 the Hard Way</t>
  </si>
  <si>
    <t>Zed A. Shaw</t>
  </si>
  <si>
    <t>Легкий_способ_выучить_Python_3_еще_глубже.pdf</t>
  </si>
  <si>
    <t>Эта книга Зеда Шоу является продолжением его руководства по Python 3 и предназначена для программистов, уже освоивших базовый синтаксис. Она углубляет знания читателя через 52 практических задания, охватывающих такие темы, как работа с аргументами командной строки, реализация системных утилит (например, cat и find) и развитие креативности и качества кода. Книга ориентирована на начинающих программистов, которые хотят перейти от теории к уверенной практике, требуя от них дисциплины и упорства.</t>
  </si>
  <si>
    <t>Лейсли Python, например 2021.pdf</t>
  </si>
  <si>
    <t>Это практическое руководство по языку программирования Python, построенное на решении 150 задач. Книга охватывает основы языка, условные операторы, циклы, работу со строками, списками, файлами, черепашьей графикой, графическим интерфейсом Tkinter и базами данных SQLite. Издание предназначено для новичков, которые хотят освоить программирование без углубления в теорию и технический жаргон.</t>
  </si>
  <si>
    <t>Марк Лутц - Изучаем Python (2019).pdf</t>
  </si>
  <si>
    <t>Этот фрагмент представляет собой выходные данные пятого издания книги Марка Лутца «Изучаем Python», которая является всеобъемлющим руководством по языку программирования Python. Книга охватывает фундаментальные темы, начиная с основ работы интерпретатора и типов данных (числа, строки, списки, словари) и заканчивая продвинутыми концепциями, такими как функции, генераторы, модули и пакеты. Издание предназначено для новичков и программистов среднего уровня, желающих глубоко изучить синтаксис и возможности Python, с акцентом на практическое применение и понимание внутренних механизмов языка.</t>
  </si>
  <si>
    <t>Expert Python Programming</t>
  </si>
  <si>
    <t>Michal Jaworski;Tarek Ziade</t>
  </si>
  <si>
    <t>Михал_Яворски Python_Лучшие_практики_и_инструменты 2021.pdf</t>
  </si>
  <si>
    <t>Книга «Python. Лучшие практики и инструменты» (третье издание) Михала Яворски и Тарека Зиаде посвящена углубленному изучению Python и освоению профессиональных методов разработки. Ключевые разделы охватывают современный синтаксис Python 3.7, метапрограммирование, создание пакетов, оптимизацию производительности, многозадачность и событийно-ориентированное программирование. Издание предназначено для программистов, уже имеющих опыт работы с Python и стремящихся повысить качество, читаемость и эффективность своего кода.</t>
  </si>
  <si>
    <t>Наоми_Седер_Python_Экспресс_курс_2019.pdf</t>
  </si>
  <si>
    <t>Книга «Python. Экспресс-курс» Наоми Седер представляет собой практическое руководство по языку Python, предназначенное для программистов, уже имеющих опыт работы на других языках. Издание охватывает основы языка, управление структурами данных, объектно-ориентированные возможности Python 3, а также включает пять глав, посвященных работе с большими данными. Книга рассчитана на читателей, которые хотят быстро перейти от базовых знаний к созданию, тестированию и развертыванию полноценных приложений.</t>
  </si>
  <si>
    <t>Научное программирование на Python</t>
  </si>
  <si>
    <t>Кристиан Хилл</t>
  </si>
  <si>
    <t>Научное_программирование_на_Python_2021_Кристиан_Хилл.pdf</t>
  </si>
  <si>
    <t>Эта книга представляет собой интенсивный вводный курс по научному программированию на Python, предназначенный для студентов, исследователей и специалистов по работе с данными. Автор, физик Кристиан Хилл, начинает с общих концепций языка Python 3, а затем переходит к ключевым библиотекам для научных вычислений: NumPy, SciPy и Matplotlib. В книге также рассматриваются Jupyter Notebooks для создания мультимедийных документов, анализ данных с помощью pandas и сложные темы, такие как точность вычислений с плавающей точкой. Издание позволяет читателям пройти путь от основ до продвинутых навыков, используя реальные примеры из инженерной и научной практики.</t>
  </si>
  <si>
    <t>Starting Out with Python</t>
  </si>
  <si>
    <t>Tony Gaddis</t>
  </si>
  <si>
    <t>Начинаем программировать на Python -2022.pdf</t>
  </si>
  <si>
    <t>Книга Тони Гэддиса «Начинаем программировать на Python» (5-е издание) представляет собой учебник для начинающих, который знакомит с основами программирования на языке Python. В издании подробно рассматриваются такие ключевые темы, как ввод и вывод данных, управляющие структуры, функции, работа с файлами, списки, словари, объектно-ориентированное программирование и рекурсия, а в новое издание добавлена глава о базах данных. Для лучшего понимания алгоритмов активно используются блок-схемы и псевдокод, а каждая глава содержит практические задачи с пошаговым разбором. Книга предназначена для начинающих программистов, старших школьников и студентов первых курсов, не имеющих опыта программирования.</t>
  </si>
  <si>
    <t>Начинаем программировать на Python-2019.pdf</t>
  </si>
  <si>
    <t>Книга Тони Гэддиса «Начинаем программировать на Python» представляет собой учебное пособие для начинающих, посвященное основам программирования на языке Python. В ней последовательно рассматриваются ключевые концепции: ввод, обработка и вывод данных, управляющие структуры, булева логика, функции, файлы, списки, кортежи, словари, классы и объектно-ориентированное программирование. Для объяснения алгоритмов активно используются блок-схемы, псевдокод и практические примеры. Издание предназначено для начинающих программистов, старших школьников и студентов первых курсов, не имеющих опыта программирования.</t>
  </si>
  <si>
    <t>Непрактичный Python</t>
  </si>
  <si>
    <t>Непрактичный Python-2021.pdf</t>
  </si>
  <si>
    <t>Книга «Непрактичный Python» Ли Вогана предназначена для тех, кто уже освоил основы Python и хочет углубить навыки через выполнение нестандартных, занимательных проектов. Вместо скучных примеров читатели учатся применять такие концепции, как марковские цепи, метод Монте-Карло и генетические алгоритмы для создания хокку, моделирования финансовых рынков или «разведения» гигантских крыс. Книга построена на проектном подходе и охватывает работу с популярными модулями, включая pygame, matplotlib и pillow. Это издание подойдет программистам среднего уровня, которые хотят получить практический опыт и удовольствие от процесса.</t>
  </si>
  <si>
    <t>Python Object-Oriented Programming</t>
  </si>
  <si>
    <t>Steven F. Lott; Dusty Phillips</t>
  </si>
  <si>
    <t>Объектно-ориентированный Python.pdf</t>
  </si>
  <si>
    <t>Книга «Объектно-ориентированный Python» (4-е издание) Стивена Лотта и Дасти Филлипса посвящена глубокому изучению объектно-ориентированного программирования (ООП) на языке Python. В ней подробно рассматриваются ключевые концепции ООП, такие как наследование, композиция и полиморфизм, а также паттерны проектирования, обработка исключений, тестирование (unittest и pytest) и конкурентная обработка данных. Издание предназначено для программистов, уже знакомых с Python, которые хотят научиться создавать надежные и устойчивые объектно-ориентированные приложения и библиотеки.</t>
  </si>
  <si>
    <t>Майер Кристиан</t>
  </si>
  <si>
    <t>Однострочники_Python.pdf</t>
  </si>
  <si>
    <t>Книга Кристиана Майера «Однострочники Python» посвящена искусству написания лаконичного и выразительного кода на Python с помощью однострочных конструкций. В ней рассматриваются ключевые концепции, такие как списковые включения, лямбда-функции, срезы, работа с массивами NumPy и регулярные выражения, а также приводятся примеры из науки о данных и анализа данных. Издание предназначено для программистов среднего уровня, стремящихся углубить понимание языка и научиться писать компактный, профессиональный код.</t>
  </si>
  <si>
    <t>Think Python</t>
  </si>
  <si>
    <t>Основы_Python_Научитесь_мыслить_как_программист 2021.pdf</t>
  </si>
  <si>
    <t>Книга Аллена Б. Дауни «Основы Python. Научитесь думать как программист» представляет собой практическое руководство по основам программирования на языке Python, которое последовательно ведёт читателя от простых тем к сложным. Ключевые разделы охватывают переменные, функции, условия, рекурсию, итерации, строки, списки, словари и кортежи, а также включают практические примеры разработки интерфейса и игр со словами. Издание предназначено для новичков, желающих не только изучить синтаксис Python, но и освоить подходы к решению задач, свойственные программистам.</t>
  </si>
  <si>
    <t>Основы научных расчётов на языке программирования Python</t>
  </si>
  <si>
    <t>Хайбрахманов, С. А.</t>
  </si>
  <si>
    <t>Издательство Челябинского государственного университета</t>
  </si>
  <si>
    <t>Основы_научных_расчётов_на_языке_программирования_Python.pdf</t>
  </si>
  <si>
    <t>Учебное пособие посвящено основам научных расчётов на языке Python, в нём рассматриваются базовые возможности библиотек NumPy для работы с массивами, Matplotlib для визуализации данных и SciPy для научных вычислений. Книга включает главы по основам программирования на Python, работе с многомерными массивами, построению графиков и решению математических и физических задач. Пособие предназначено для студентов, обучающихся по направлениям «Физика» и «Радиофизика», то есть для начинающих пользователей, осваивающих компьютерные технологии в науке и образовании.</t>
  </si>
  <si>
    <t>Основы программирования на Python: учебное пособие для вузов</t>
  </si>
  <si>
    <t>Чернышев Станислав Андреевич</t>
  </si>
  <si>
    <t>Основы_программирования_на_Python_2022.pdf</t>
  </si>
  <si>
    <t>Учебное пособие С. А. Чернышева посвящено основам программирования на языке Python и охватывает такие ключевые темы, как история языка, работа с объектами и встроенными типами данных (строки, списки, словари, кортежи, множества), а также синтаксис, операторы и управляющие конструкции. Книга построена по принципу «от простого к сложному» и содержит множество примеров и упражнений для формирования практических навыков. Пособие предназначено для студентов высших учебных заведений, обучающихся по инженерно-техническим и ИТ-направлениям, и подходит для начального уровня освоения языка.</t>
  </si>
  <si>
    <t>Web Scraping with Python</t>
  </si>
  <si>
    <t>Ryan Mitchell</t>
  </si>
  <si>
    <t>Парсинг с помощью Python. Веб-скрапинг в действии. 3-е межд. изд.pdf</t>
  </si>
  <si>
    <t>Книга Райана Митчелла «Парсинг с помощью Python. Веб-скрапинг в действии» представляет собой практическое руководство по сбору данных из современного интернета с использованием языка Python. В первой части рассматриваются основы веб-скрапинга: отправка запросов, обработка ответов и автоматизация взаимодействия с сайтами, а во второй — более сложные инструменты, такие как работа с JavaScript, API, изображениями и параллельный скрапинг. Издание предназначено как для новичков, желающих освоить автоматизированный сбор данных, так и для опытных специалистов, стремящихся углубить знания в области веб-скрапинга.</t>
  </si>
  <si>
    <t>Практическое введение в основные библиотеки и фреймворки Python</t>
  </si>
  <si>
    <t>Мурат Дурмус</t>
  </si>
  <si>
    <t>Практическое введение в основные библиотеки и фреймворки Python.pdf</t>
  </si>
  <si>
    <t>Этот фрагмент представляет собой введение к книге Мурата Дурмуса «Практическое введение в основные библиотеки и фреймворки Python». Книга представляет собой практическое руководство по ключевым библиотекам Python для Data Science, машинного обучения, MLOps, объяснимого ИИ, а также обработки текста и изображений. Для каждой библиотеки (например, Pandas, Scikit-learn, TensorFlow, SHAP) приводится краткое описание, а также разделы «За и против». Издание предназначено для разработчиков и специалистов по данным, желающих получить структурированный обзор инструментов экосистемы Python с примерами кода.</t>
  </si>
  <si>
    <t>Hands-On GPU Programming with Python and CUDA</t>
  </si>
  <si>
    <t>Brian Tuomanen</t>
  </si>
  <si>
    <t>Программирование GPU Python CUDAs 2020.pdf</t>
  </si>
  <si>
    <t>Книга посвящена основам программирования графических процессоров (GPU) с использованием Python и CUDA. В ней рассматриваются ключевые концепции, такие как закон Амдала, профилирование кода, настройка окружения, написание ядер на CUDA C, отладка с помощью NSight IDE, а также работа с библиотеками NVIDIA (cuFFT и cuBLAS). Издание предназначено для разработчиков и специалистов по обработке данных, имеющих базовый опыт программирования на Python и C-подобных языках.</t>
  </si>
  <si>
    <t>Programming Python</t>
  </si>
  <si>
    <t>Программирование на Python, 4-е издание, I том.pdf</t>
  </si>
  <si>
    <t>Этот фрагмент представляет собой введение к четвертому изданию книги Марка Лутца «Программирование на Python, том I», которая является подробным руководством по применению языка Python в прикладных областях, таких как системное администрирование, создание графических интерфейсов и веб-приложений. Ключевые разделы, затронутые в отрывке, включают работу с базами данных, объектно-ориентированное программирование (ООП), создание интерфейсов командной строки и графических интерфейсов, а также обработку текста. Книга предназначена для читателей, уже освоивших основы Python, и служит первой ступенью к овладению мастерством разработки приложений, описывая синтаксис, методики и идиомы программирования для Python 3.X.</t>
  </si>
  <si>
    <t>Programming Python, Fourth Edition</t>
  </si>
  <si>
    <t>Программирование на Python, 4-е издание, II том.pdf</t>
  </si>
  <si>
    <t>Это второй том книги Марка Лутца «Программирование на Python», посвященный практическому применению языка для создания интернет-сценариев, графических интерфейсов и работы с базами данных. Ключевые разделы охватывают сетевое программирование (сокеты, протоколы), CGI-сценарии, веб-разработку, а также хранение данных (DBM, SQL) и реализацию сложных структур данных. Книга предназначена для специалистов, уже знакомых с основами Python, и фокусируется на решении прикладных задач, а не на изучении языка с нуля.</t>
  </si>
  <si>
    <t>Dr. Brian Tuomanen</t>
  </si>
  <si>
    <t>Программирование_GPU_при_помощи_Python_и_CUDA 2021.pdf</t>
  </si>
  <si>
    <t>Книга представляет собой практическое руководство по программированию графических процессоров (GPU) с использованием Python и CUDA. В ней рассматриваются такие ключевые концепции, как закон Амдала, профилирование кода для поиска узких мест, настройка окружения, написание ядер на CUDA C, отладка с помощью NSight IDE и работа с библиотеками NVIDIA (cuFFT, cuBLAS). Издание предназначено для разработчиков и специалистов по обработке данных, имеющих базовый опыт программирования на Python и C-подобных языках.</t>
  </si>
  <si>
    <t>Программирование_Python_C++_Часть_2_</t>
  </si>
  <si>
    <t>Программирование_Python_C++_Часть_2_.djvu</t>
  </si>
  <si>
    <t>Данный фрагмент книги посвящён программированию на языках Python и C++. В нём рассматриваются ключевые концепции, такие как работа с данными, алгоритмы и структуры, характерные для обоих языков. Книга предназначена для читателей, уже имеющих базовые навыки программирования и желающих углубить знания в области разработки на Python и C++.</t>
  </si>
  <si>
    <t>Программирование на Python в примерах и задачах</t>
  </si>
  <si>
    <t>Васильев, Алексей</t>
  </si>
  <si>
    <t>Программирование_на_Python_в_примерах_и_задачах.pdf</t>
  </si>
  <si>
    <t>Книга Алексея Васильева посвящена обучению языку программирования Python, который набирает популярность среди разработчиков. В ней рассматриваются базовые концепции, такие как переменные, списки, условные операторы и циклы, а также более сложные темы: кортежи, множества, словари и обработка исключений. Издание предназначено для начинающих программистов, желающих освоить Python на практических примерах и задачах.</t>
  </si>
  <si>
    <t>Программирование на Python: Первые шаги</t>
  </si>
  <si>
    <t>А. В. Щерба</t>
  </si>
  <si>
    <t>Программирование_на_Python_Первые_шаги.pdf</t>
  </si>
  <si>
    <t>Книга представляет собой вводное руководство по основам программирования на языке Python, начиная с именования переменных и заканчивая многострочными программами с циклами и условиями. Материал включает пошаговые инструкции, примеры кода, разбор типичных ошибок и задания с ответами. Первая глава посвящена знакомству со средой разработки IDLE, её установке и написанию первой программы. Издание ориентировано на новичков — учащихся средней и старшей школы, учителей и всех, кто начинает изучать программирование.</t>
  </si>
  <si>
    <t>Программирование на языке высокого уровня Python</t>
  </si>
  <si>
    <t>Федоров Дмитрий Юрьевич</t>
  </si>
  <si>
    <t>Издательство Юрайт</t>
  </si>
  <si>
    <t>Программирование_на_языке_высокого_уровня_Python__Федоров.pdf</t>
  </si>
  <si>
    <t>Это учебное пособие по основам программирования на языке Python, предназначенное для студентов среднего профессионального образования. Книга охватывает базовые концепции: переменные, функции, строки, списки, словари, условные инструкции, циклы, работу с файлами и регулярными выражениями. Материал ориентирован на новичков, не имеющих глубоких знаний в программировании, и соответствует требованиям образовательного стандарта СПО.</t>
  </si>
  <si>
    <t>Программируем с Minecraft. Создай свой мир с помощью Python</t>
  </si>
  <si>
    <t>Крэйг Ричардсон</t>
  </si>
  <si>
    <t>Программируем_с_Minecraft_Создай_свой_мир_с_помощью_Python.pdf</t>
  </si>
  <si>
    <t>Эта книга посвящена обучению программированию на языке Python через создание программ для игры Minecraft. В ней рассматриваются базовые принципы программирования, а также практические проекты, такие как автоматическое строительство, телепортация и создание интерактивных объектов. Издание предназначено для новичков, включая детей от 10 лет и взрослых, желающих освоить Python в игровой форме.</t>
  </si>
  <si>
    <t>Простой Python просто с нуля</t>
  </si>
  <si>
    <t>Простой_Python_просто_с_нуля_Программирование_2019.pdf</t>
  </si>
  <si>
    <t>Эта книга представляет собой вводное руководство по языку программирования Python, предназначенное для абсолютных новичков. В ней последовательно объясняются базовые концепции, такие как типы данных, переменные, условные операторы и циклы. Особое внимание уделяется практическим примерам и простому языку изложения, чтобы читатель мог с нуля освоить основы программирования. Материал ориентирован на людей, не имеющих предварительного опыта в разработке, и помогает сделать первые шаги в написании кода.</t>
  </si>
  <si>
    <t>Простой_Python_Современный_стиль_программирования.pdf</t>
  </si>
  <si>
    <t>Книга «Простой Python. Современный стиль программирования» Билла Любановича представляет собой практическое руководство по одному из самых популярных языков программирования. Издание охватывает как основы языка (типы данных, операторы, циклы, функции, классы), так и прикладные темы (работа с файлами, сетями, базами данных, веб-разработка и научные вычисления). Книга предназначена как для начинающих программистов, так и для опытных разработчиков, желающих освоить Python.</t>
  </si>
  <si>
    <t>Профессиональная разработка на Python</t>
  </si>
  <si>
    <t>Профессиональная_разработка_на_Python 2021.pdf</t>
  </si>
  <si>
    <t>Книга Мэттью Уилкса «Профессиональная разработка на Python» посвящена продвинутым возможностям языка и современным практикам создания надежного и удобного для сопровождения кода. В ней рассматриваются такие ключевые темы, как асинхронное программирование (asyncio), архитектура плагинов, аннотации типов, методы тестирования и управление зависимостями. Издание ориентировано на разработчиков средней и высокой квалификации, уже имеющих опыт работы с Python.</t>
  </si>
  <si>
    <t>Прохоренок Н.; Дронов В.</t>
  </si>
  <si>
    <t>Прохоренок Н., Дронов В. - Python 3 и PyQt 5. Разработка приложений - 2016.PDF</t>
  </si>
  <si>
    <t>Книга посвящена разработке приложений на языке Python с использованием библиотеки PyQt 5. В ней рассматриваются основы синтаксиса Python, работа с графическим интерфейсом, создание окон, виджетов, обработка событий и интеграция с базами данных. Издание ориентировано на начинающих и intermediate-разработчиков, желающих освоить создание десктопных приложений.</t>
  </si>
  <si>
    <t>Путь Python. Черный пояс по разработке, масштабированию, тестированию и развертыванию</t>
  </si>
  <si>
    <t>Джульен Данжу</t>
  </si>
  <si>
    <t>Путь_Python_Черный_пояс_по_разработке,_масштабированию,_тестированию.pdf</t>
  </si>
  <si>
    <t>Книга «Путь Python» Джульена Данжу посвящена продвинутым аспектам разработки на Python, включая масштабирование, тестирование, развертывание и оптимизацию кода. Ключевые разделы охватывают управление проектами, модульное тестирование, декораторы, функциональное программирование, работу с базами данных и повышение производительности. Издание предназначено для опытных разработчиков и программистов, желающих углубить профессиональные навыки и освоить «черный пояс» по Python.</t>
  </si>
  <si>
    <t>Разработка Telegram-ботов на Python с нуля</t>
  </si>
  <si>
    <t>Александр Кондратьев</t>
  </si>
  <si>
    <t>Разработка Telegram-ботов на Python с нуля.pdf</t>
  </si>
  <si>
    <t>Книга Александра Кондратьева посвящена практическому созданию Telegram-ботов на языке Python с использованием фреймворка aiogram. В ней подробно рассматриваются все этапы разработки: от установки и запуска бота до сложных сценариев, включая работу с текстовыми сообщениями, медиафайлами, кнопками, конечными автоматами (FSM), инлайн-режимом и интеграцией платежей через Telegram Stars. Особое внимание уделяется безопасности хранения токенов, структуре проекта с роутерами, фильтрами и мидлварями, а также тестированию с помощью pytest. Издание предназначено для разработчиков, желающих освоить создание ботов с нуля.</t>
  </si>
  <si>
    <t>Разработка кроссплатформенных мобильных и настольных приложений на Python. Практическое пособие</t>
  </si>
  <si>
    <t>Разработка кроссплатформенных приложений на Python.pdf</t>
  </si>
  <si>
    <t>Книга Анатолия Постолита посвящена созданию кроссплатформенных приложений на Python с использованием фреймворка Kivy и библиотеки KivyMD, которые позволяют запускать один и тот же код на Windows, Linux, macOS, Android и iOS. Во введении автор обосновывает актуальность кроссплатформенной разработки, сравнивает её с нативным подходом и приводит статистику роста мобильного рынка. Книга предназначена для разработчиков, желающих освоить универсальный инструмент для создания приложений, работающих как на настольных компьютерах, так и на мобильных устройствах с сенсорными экранами.</t>
  </si>
  <si>
    <t>Разработка приложений с графическим пользовательским интерфейсом на языке Python</t>
  </si>
  <si>
    <t>С. В. Букунов; О. В. Букунова</t>
  </si>
  <si>
    <t>Разработка приложений с GUI на Python.pdf</t>
  </si>
  <si>
    <t>Данное учебное пособие посвящено разработке приложений с графическим пользовательским интерфейсом на языке Python с использованием библиотеки Tk. В книге рассматриваются основные типы элементов управления, принципы визуального проектирования и событийного программирования, а также возможности создания компьютерной анимации. Пособие содержит теоретические сведения, практические упражнения с примерами кода и задания для самостоятельной работы. Оно предназначено для студентов среднего профессионального образования, уже имеющих базовые навыки программирования на Python, включая объектно-ориентированный подход.</t>
  </si>
  <si>
    <t>Разработка геоприложений на языке Python</t>
  </si>
  <si>
    <t>Вестра Эрик</t>
  </si>
  <si>
    <t>Разработка_геоприложений_на_языке_Python_2017.pdf</t>
  </si>
  <si>
    <t>Книга Эрика Вестры «Разработка геоприложений на языке Python» посвящена созданию геопространственных программ и картографических приложений с использованием Python 3. В ней рассматриваются ключевые концепции ГИС, такие как картографические проекции, системы координат и форматы данных, а также практические инструменты, включая библиотеку GDAL и веб-фреймворк GeoDjango. Издание предназначено для опытных разработчиков на Python, желающих освоить геопрограммирование и научиться решать пространственные задачи.</t>
  </si>
  <si>
    <t>Разработка_кроссплатформенных_мобильных_и_настольных_приложений.pdf</t>
  </si>
  <si>
    <t>Эта книга представляет собой практическое пособие по созданию кроссплатформенных приложений на Python с использованием фреймворка Kivy и библиотеки KivyMD, позволяющих запускать один и тот же код на Windows, Linux, macOS, Android и iOS. Автор обосновывает актуальность кроссплатформенной разработки, сравнивая её с нативным подходом, и приводит статистику роста мобильного рынка. Ключевые разделы включают введение в проблему фрагментации платформ и обзор существующих инструментов для мобильной и настольной разработки. Материал рассчитан на разработчиков, желающих освоить универсальный инструмент для создания приложений под любые операционные системы и устройства.</t>
  </si>
  <si>
    <t>Разработка_приложений_с_графическим_пользовательским_интерфейсом.pdf</t>
  </si>
  <si>
    <t>Данное учебное пособие посвящено разработке приложений с графическим пользовательским интерфейсом на языке Python с использованием библиотеки Tk. В книге рассматриваются основные типы элементов управления, принципы визуального проектирования и событийного программирования, а также приводятся практические упражнения с примерами кода, включая создание компьютерной анимации. Пособие предназначено для студентов среднего профессионального образования, имеющих базовые навыки программирования на Python, включая объектно-ориентированный подход, и желающих углубить знания в этой области.</t>
  </si>
  <si>
    <t>Современный скрапинг веб-сайтов с помощью Python. 2-е межд. издание</t>
  </si>
  <si>
    <t>Митчелл Р.</t>
  </si>
  <si>
    <t>Райан_Митчелл Современный_скрапинг_веб_сайтов_с_помощью_Python_2021.pdf</t>
  </si>
  <si>
    <t>Книга Райана Митчелла «Современный скрапинг веб-сайтов с помощью Python» посвящена автоматизированному сбору данных из интернета с использованием языка Python. В первой части излагаются фундаментальные основы веб-скрапинга и веб-краулинга, а во второй — более углубленные темы, включая работу с JavaScript, регистрацией и API. Издание предназначено как для новичков, так и для опытных специалистов, желающих освоить современные методы сбора данных и развеять распространённые заблуждения о законности скрапинга.</t>
  </si>
  <si>
    <t>Python. К вершинам мастерства</t>
  </si>
  <si>
    <t>Рамальо Лучано. Python. К вершинам мастерства.pdf</t>
  </si>
  <si>
    <t>Книга Лучано Рамальо «Python. К вершинам мастерства» посвящена углублённому изучению языка Python, его внутреннему устройству и продвинутым возможностям. Ключевые концепции включают работу с объектной моделью, дескрипторами, метаклассами, асинхронным программированием и оптимизацией кода. Издание предназначено для опытных разработчиков, которые уже владеют основами Python и стремятся к профессиональному совершенствованию.</t>
  </si>
  <si>
    <t>Python и машинное обучение</t>
  </si>
  <si>
    <t>Рашка С.</t>
  </si>
  <si>
    <t>Рашка С. - Python и машинное обучение - 2017.PDF</t>
  </si>
  <si>
    <t>Книга Себастьяна Рашки «Python и машинное обучение» посвящена практическому применению методов машинного обучения и прогнозной аналитики с использованием языка Python. В ней рассматриваются ключевые концепции, такие как обучение с учителем (классификация и регрессия), обучение без учителя (кластеризация и снижение размерности) и обучение с подкреплением, а также даётся дорожная карта построения систем машинного обучения от предобработки данных до оценки моделей. Издание охватывает мощные библиотеки Python, включая scikit-learn, Theano и Keras, и предназначено для специалистов по анализу данных, стремящихся к более глубокому практическому пониманию принципов машинного обучения.</t>
  </si>
  <si>
    <t>Рецепты Python</t>
  </si>
  <si>
    <t>Рецепты Python.pdf</t>
  </si>
  <si>
    <t>Книга «Рецепты Python» представляет собой практическое руководство по освоению 63 базовых навыков программирования на Python, построенное на методике «вопрос-решение-закрепление». Ключевые разделы охватывают работу со строками, контейнерами данных, последовательностями, итерируемыми объектами, определение функций и классов, операции с файлами, а также отладку, тестирование и построение веб-приложений. Издание предназначено для программистов начального и среднего уровня, желающих изучить лучшие приёмы написания питонического кода и уверенно овладеть языком.</t>
  </si>
  <si>
    <t>Challenging Programming in Python: A Problem Solving Perspective</t>
  </si>
  <si>
    <t>Habib Izadkhah; Rashid Behzadidoost</t>
  </si>
  <si>
    <t>Решение трудных и увлекательных задач на Python.pdf</t>
  </si>
  <si>
    <t>Книга «Решение трудных и увлекательных задач на Python» направлена на развитие логического и творческого мышления через решение 90 нетривиальных задач на Python. Ключевые разделы включают математические задачи (например, задача Иосифа Флавия, гипотеза Коллатца, последовательности Фибоначчи), при этом все решения предлагаются без использования сторонних библиотек. Издание предназначено для читателей с базовыми знаниями Python, стремящихся углубить свои навыки, включая студентов, преподавателей, разработчиков и участников соревнований по программированию.</t>
  </si>
  <si>
    <t>Сам себе программист (Python)</t>
  </si>
  <si>
    <t>Сам_себе_программист (Python).pdf</t>
  </si>
  <si>
    <t>Книга «Сам себе программист» представляет собой практическое руководство по основам программирования на языке Python, ориентированное на абсолютных новичков. В ней последовательно разбираются ключевые концепции: типы данных, условные операторы, циклы, функции и работа с файлами. Автор делает акцент на написании небольших проектов и решении задач, чтобы закрепить теорию на практике. Материал изложен доступно и не требует предварительной подготовки, поэтому книга идеально подходит для тех, кто начинает изучать программирование с нуля.</t>
  </si>
  <si>
    <t>Самоучитель Python</t>
  </si>
  <si>
    <t>Дмитрий Мусин</t>
  </si>
  <si>
    <t>самоучитель_python.pdf</t>
  </si>
  <si>
    <t>Данный фрагмент представляет собой оглавление самоучителя по языку программирования Python. Книга охватывает фундаментальные темы, начиная с установки и синтаксиса, и переходя к управляющим конструкциям (if, циклы), встроенным типам данных (числа, строки, списки, словари), функциям, работе с файлами и исключениям, а также завершается руководствами по стилю кода (PEP 8) и документированию. Материал предназначен для новичков, желающих освоить Python с нуля.</t>
  </si>
  <si>
    <t>Сборник упражнений-Python - 2021.pdf</t>
  </si>
  <si>
    <t>Это сборник из 186 задач по программированию на языке Python разной степени сложности. Книга охватывает такие темы, как введение в программирование, принятие решений, списки, циклы, функции, словари, работа с файлами и рекурсия. Издание предназначено для начинающих программистов, обладающих базовыми знаниями Python, и может использоваться как дополнение к учебнику.</t>
  </si>
  <si>
    <t>Свейгарт Книга проектов на Python 2022.pdf</t>
  </si>
  <si>
    <t>Книга представляет собой сборник из 81 небольшого проекта на Python, предназначенный для отработки практических навыков программирования. В ней рассматриваются такие темы, как создание игр (например, «Блек-джек»), визуализация данных (спираль ДНК), работа с шифрами (шифр Цезаря) и анимация (логотип DVD). Каждый проект умещается в 256 строк кода, что позволяет читателю быстро получить результат и экспериментировать. Издание ориентировано на программистов, уже освоивших основы синтаксиса Python, и желающих перейти от теории к созданию законченных приложений.</t>
  </si>
  <si>
    <t>Свейгарт Эл. Автоматизация рутинных задач с помощью Python, 2-е изд. (2021).zip</t>
  </si>
  <si>
    <t>Книга Эла Свейгарта посвящена обучению автоматизации повторяющихся офисных и компьютерных задач с помощью языка Python. В ней рассматриваются такие ключевые концепции, как работа с файлами и папками, обработка электронных таблиц и PDF-документов, отправка email-сообщений, а также парсинг веб-страниц. Материал ориентирован на начинающих программистов и офисных работников, не имеющих глубоких знаний в программировании, и построен на практических примерах.</t>
  </si>
  <si>
    <t>Сверхбыстрый Python. Эффективные техники для работы с большими наборами данных</t>
  </si>
  <si>
    <t>Тиаго Антао</t>
  </si>
  <si>
    <t>Сверхбыстрый Python.pdf</t>
  </si>
  <si>
    <t>Книга Тиаго Антао «Сверхбыстрый Python» посвящена техникам повышения производительности кода на Python при работе с большими наборами данных. Ключевые концепции включают профилирование приложений, оптимизацию встроенных структур данных (списки, множества, словари), сокращение потребления памяти и использование ленивых вычислений. Издание предназначено для разработчиков Python, уже знакомых с основами языка и принципами конкурентных вычислений.</t>
  </si>
  <si>
    <t>Секреты Python Pro</t>
  </si>
  <si>
    <t>Дейн Хиллард</t>
  </si>
  <si>
    <t>Секреты Python Pro [2021] Дейн Хиллард.pdf</t>
  </si>
  <si>
    <t>Книга «Секреты Python Pro» посвящена проектированию качественного программного обеспечения на Python, которое должно быть чистым, удобочитаемым и простым в сопровождении. Ключевые концепции включают разделение ответственности, абстракцию, инкапсуляцию, тестирование, расширяемость и слабую сопряженность. Издание предназначено для программистов, стремящихся перейти от рядового уровня к профессиональному, то есть для специалистов, уже знакомых с основами языка.</t>
  </si>
  <si>
    <t>Effective Python: 59 Specific Ways to Write Better Python</t>
  </si>
  <si>
    <t>Brett Slatkin</t>
  </si>
  <si>
    <t>Секреты Python-59 рекомендаций.pdf</t>
  </si>
  <si>
    <t>Книга Бретта Слаткина «Секреты Python: 59 рекомендаций по написанию эффективного кода» представляет собой сборник конкретных практических советов по улучшению стиля и производительности программ на Python. Основное содержание структурировано по тематическим главам, охватывающим функции, классы, наследование, метаклассы, параллелизм и встроенные модули. Издание предназначено для программистов, уже знакомых с основами языка и стремящихся перейти на уровень уверенного специалиста, желающего писать более качественный и идиоматичный код.</t>
  </si>
  <si>
    <t>Сетевое программирование на Python</t>
  </si>
  <si>
    <t>Галбрейт Дж.</t>
  </si>
  <si>
    <t>Сетевое программирование на Python.pdf</t>
  </si>
  <si>
    <t>Книга посвящена разработке серверных приложений и клиент-серверных архитектур на Python, охватывая работу с протоколами TCP, UDP, HTTP, SMTP, IMAP, FTP, RPC и DNS. Ключевые разделы включают поддержку SSL, взаимодействие с сервисами DNS, работу с электронной почтой, протокол TLS и возможности модуля asyncio. Издание предназначено для программистов, уже знакомых с основами Python и желающих углубиться в сетевое программирование.</t>
  </si>
  <si>
    <t>Современный_скрапинг_веб_сайтов_с_помощью_python_2021.pdf</t>
  </si>
  <si>
    <t>Книга Райана Митчелла посвящена веб-скрапингу — автоматизированному сбору данных из интернета с помощью Python. В первой части рассматриваются фундаментальные основы: отправка запросов, анализ HTML и извлечение информации, а во второй — более углубленные темы, включая работу с JavaScript, регистрацией и API. Издание предназначено как для новичков, так и для опытных разработчиков, желающих освоить современные методы сбора данных и развеять распространенные мифы о законности скрапинга.</t>
  </si>
  <si>
    <t>Справочник PYTHON. Кратко, быстро, под рукой</t>
  </si>
  <si>
    <t>Кольцов Д.М.; Дубовик Е.В.</t>
  </si>
  <si>
    <t>Справочник PYTHON.pdf</t>
  </si>
  <si>
    <t>Данный справочник содержит всю ключевую информацию о языке Python в удобной и наглядной форме, охватывая такие темы, как операторы, синтаксис, регулярные выражения, кортежи, итераторы, генераторы и объектно-ориентированное программирование. Книга структурирована для быстрого поиска информации и включает наглядные примеры использования различных конструкций Python. Издание будет полезно всем, кто использует или изучает Python, от начинающих до профессионалов.</t>
  </si>
  <si>
    <t>Стандартная библиотека Python 3: справочник с примерами</t>
  </si>
  <si>
    <t>Даг Хеллман</t>
  </si>
  <si>
    <t>Стандартная_библиотека_Python_3_справочник_с_примерами 2019.pdf</t>
  </si>
  <si>
    <t>Этот фрагмент представляет собой справочник по стандартной библиотеке Python 3, содержащий примеры использования модулей для работы с текстом, структурами данных, алгоритмами, файловой системой и другими задачами. Ключевые разделы включают модули string, textwrap, re, difflib, collections, array, heapq и bisect. Книга предназначена для программистов среднего и продвинутого уровня, желающих углубить знания о возможностях стандартной библиотеки Python.</t>
  </si>
  <si>
    <t>A First Course on Data Structures in Python</t>
  </si>
  <si>
    <t>Donald R. Sheehy</t>
  </si>
  <si>
    <t>Структуры данных в Python.pdf</t>
  </si>
  <si>
    <t>Книга Дональда Р. Шихи представляет собой начальный курс по структурам данных в языке Python. В ней рассматриваются как встроенные структуры (списки, словари, множества), так и абстрактные типы данных (стеки, очереди, связные списки, деревья, графы), а также основы объектно-ориентированного программирования, тестирования и анализа времени выполнения алгоритмов. Издание предназначено для всех, кто изучает Python и планирует активно использовать структуры данных в своей работе, то есть для новичков и продолжающих.</t>
  </si>
  <si>
    <t>Типизированный Python для профессиональной разработки</t>
  </si>
  <si>
    <t>Алексей Голобурдин; команда Диджитализируй!</t>
  </si>
  <si>
    <t>Типизированный_Python_для_профессиональной_разработки 2022.pdf</t>
  </si>
  <si>
    <t>Эта книга посвящена повышению качества и надёжности кода на Python через использование типизации и продвинутых структур данных. Автор объясняет важность подсказок типов (type hinting) для раннего выявления ошибок и рассматривает такие концепции, как NamedTuple, dataclass, TypedDict, Enum и другие. Материал рассчитан на разработчиков, уже имеющих базовые навыки программирования на Python, но желающих перейти на профессиональный уровень.</t>
  </si>
  <si>
    <t>Invent Your Own Computer Games with Python</t>
  </si>
  <si>
    <t>Учим_Python,_делая_крутые_игры.pdf</t>
  </si>
  <si>
    <t>Книга Эла Свейгарта «Учим Python, делая крутые игры» представляет собой практическое руководство по программированию на языке Python для начинающих. В ней объясняются базовые концепции, такие как выражения, переменные, строки, функции, циклы и работа с модулями (например, random), на примере создания простых игр, включая «Угадай число». Материал предназначен для новичков, которые хотят освоить программирование через создание собственных проектов, а не просто играть в готовые игры.</t>
  </si>
  <si>
    <t>Хиллард Секреты Python Pro 2021.pdf</t>
  </si>
  <si>
    <t>Книга «Секреты Python Pro» посвящена проектированию программного обеспечения и написанию качественного, чистого и сопровождаемого кода на Python. Ключевые разделы охватывают основы проектирования, такие как разделение ответственности, абстракция и инкапсуляция, а также организацию крупных систем, включая расширяемость, наследование и слабую сопряженность. Издание предназначено для специалистов, стремящихся перейти от уровня рядового питониста к профессионалу, и требует базового владения языком.</t>
  </si>
  <si>
    <t>Цедер_Наоми Python Экспресс курс 2019.pdf</t>
  </si>
  <si>
    <t>Книга Наоми Седер «Python. Экспресс-курс» (3-е издание) представляет собой практическое руководство для программистов, уже имеющих опыт работы на других языках, желающих быстро освоить Python. Издание охватывает основы языка, объектно-ориентированные возможности Python 3, а также работу с управлением, структурами данных и большими данными (последние 5 глав). Книга предназначена для специалистов, которые хотят перейти от базовых знаний к созданию, тестированию и развертыванию полноценных приложений.</t>
  </si>
  <si>
    <t>Think DSP. Цифровая обработка сигналов на Python</t>
  </si>
  <si>
    <t>Цифровая_обработка_сигналов_на_Python.pdf</t>
  </si>
  <si>
    <t>Книга Аллена Б. Дауни «Think DSP. Цифровая обработка сигналов на Python» посвящена практическому изучению цифровой обработки сигналов с использованием языка Python. Вместо традиционного теоретического подхода автор предлагает сразу переходить к примерам, начиная с разложения звука на гармоники. Ключевые разделы охватывают периодические и апериодические сигналы, спектры, шумы, дискретное косинусное преобразование (ДКП) и быстрое преобразование Фурье (БПФ). Издание рассчитано на читателей, владеющих основами математики и программирования на Python, и будет полезно как новичкам, так и специалистам, интересующимся обработкой сигналов.</t>
  </si>
  <si>
    <t>Цифровая обработка сигналов на Python</t>
  </si>
  <si>
    <t>Цифровая_обработка_сигналов_на_Python_by_Аллен_Б.pdf</t>
  </si>
  <si>
    <t>Книга «Цифровая обработка сигналов на Python» посвящена практическому применению методов цифровой обработки сигналов с использованием языка программирования Python. В ней рассматриваются ключевые концепции, такие как дискретное преобразование Фурье, фильтрация, спектральный анализ и работа с временными рядами. Издание ориентировано на специалистов и студентов, уже знакомых с основами программирования и математики, которые хотят освоить реализацию алгоритмов ЦОС на Python.</t>
  </si>
  <si>
    <t>Чистый Python. Тонкости программирования для профи</t>
  </si>
  <si>
    <t>Дэн Бейдер</t>
  </si>
  <si>
    <t>Чистый Python.pdf</t>
  </si>
  <si>
    <t>Книга Дэна Бейдера «Чистый Python» посвящена практическим приемам и идиомам Python, позволяющим писать более эффективный и читаемый код. В ней рассматриваются такие ключевые концепции, как использование инструкций assert, правильная расстановка запятых, менеджеры контекста и инструкция with. Издание ориентировано на программистов, уже имеющих опыт работы с Python или другими языками, которые хотят углубить свои знания и освоить современные шаблоны Python 3.</t>
  </si>
  <si>
    <t>Элегантный SciPy</t>
  </si>
  <si>
    <t>Хуан Нуньес-Иглесиас; Штефан ван дер Уолт; Харриет Дэшноу</t>
  </si>
  <si>
    <t>Элегантный SciPy.pdf</t>
  </si>
  <si>
    <t>Книга «Элегантный SciPy» посвящена научному программированию на Python с использованием библиотеки SciPy и связанных с ней инструментов, таких как NumPy, Pandas и scikit-image. Ключевые концепции включают работу с N-мерными массивами, квантильную нормализацию, быстрое преобразование Фурье, разреженные матрицы, линейную алгебру и обработку изображений. Издание предназначено для ученых и программистов, уже знакомых с Python, которые хотят писать эффективный, ясный и элегантный код для решения практических научных задач.</t>
  </si>
  <si>
    <t>Интерактивные дашборды и приложения с Plotly и Dash</t>
  </si>
  <si>
    <t>Элиас Даббас</t>
  </si>
  <si>
    <t>Элиас_Даббас_Интерактивные_дашборды_и_приложения_с_Plotly_и_Dash.pdf</t>
  </si>
  <si>
    <t>Книга Элиаса Даббаса посвящена созданию интерактивных веб-приложений и дашбордов на Python с использованием фреймворка Dash от Plotly, причем для работы не требуется знание JavaScript. В ней рассматриваются базовая структура приложений Dash, работа с HTML-компонентами, макетами и темами, а также ключевые концепции, такие как функции обратного вызова и объект Figure. Издание предназначено для специалистов по работе с данными и аналитиков, желающих визуализировать данные с помощью интерактивных дашбордов.</t>
  </si>
  <si>
    <t>Сбор данных в Интернете на языке R</t>
  </si>
  <si>
    <t>Храмов</t>
  </si>
  <si>
    <t>Программирование/R</t>
  </si>
  <si>
    <t>R</t>
  </si>
  <si>
    <t>!Сбор_данных_в_Интернете_на_языке_R_2017_Храмов.pdf</t>
  </si>
  <si>
    <t>C:\Users\alexa\YandexDisk\Книги\Программирование\R</t>
  </si>
  <si>
    <t>Книга посвящена сбору данных из интернета с использованием языка программирования R. В ней рассматриваются ключевые концепции веб-скрапинга, парсинга HTML-страниц, работы с API и обработки полученной информации. Издание предназначено для специалистов и исследователей, уже знакомых с основами R, которые хотят освоить автоматизированный сбор данных из сети.</t>
  </si>
  <si>
    <t>A First Course in Statistical Programming with R</t>
  </si>
  <si>
    <t>W. John Braun; Duncan J. Murdoch</t>
  </si>
  <si>
    <t>A First Course in Statistical Programming with R, 3rd Editio.pdf</t>
  </si>
  <si>
    <t>Это третье издание учебника по статистическому программированию на языке R, охватывающее как базовые, так и продвинутые темы, включая работу с пакетами tidyverse (ggplot2, dplyr), симуляцию (алгоритмы Бокса — Мюллера и Метрополиса — Гастингса), вычислительную линейную алгебру и численную оптимизацию. Книга предназначена для новичков, желающих освоить R с нуля, и акцентирует внимание на переносимых навыках программирования, применимых в других языках. Авторы — члены команды разработчиков R, а издание содержит сотни упражнений, реальные примеры кода и доступ к решениям на сайте.</t>
  </si>
  <si>
    <t>Deep R Programming</t>
  </si>
  <si>
    <t>Marek Gagolewski</t>
  </si>
  <si>
    <t>Deep R Programming.pdf</t>
  </si>
  <si>
    <t>Книга «Deep R Programming» Марека Гаголевски представляет собой углублённое руководство по языку программирования R, охватывающее его структуру, типы данных и продвинутые методы работы. Ключевые разделы включают числовые и логические векторы, списки, атрибуты, а также векторизованные операции и правила переработки. Издание предназначено для пользователей, уже знакомых с основами R, которые хотят углубить понимание языка и его внутренних механизмов.</t>
  </si>
  <si>
    <t>Learn R: As a Language: Second Edition</t>
  </si>
  <si>
    <t>Pedro J. Aphalo</t>
  </si>
  <si>
    <t>Learn R_As a Language_2Ed.pdf</t>
  </si>
  <si>
    <t>Книга «Learn R: As a Language» (второе издание) Педро Х. Афало представляет собой практическое руководство по изучению языка программирования R, построенное по принципу «путеводителя» с игровыми заданиями (playgrounds), которые стимулируют любопытство и делают обучение увлекательным. Ключевые концепции включают объяснение программирования через абстракции, акцент на «R-способе» решения задач, грамматику графики для визуализации данных и работу с внешними файлами. Издание предназначено для студентов и профессионалов в биологических, гуманитарных и прикладных областях, которые хотят освоить R с нуля или углубить свои навыки до уровня уверенного пользователя, способного писать оригинальные скрипты.</t>
  </si>
  <si>
    <t>R All-in-One For Dummies(r)</t>
  </si>
  <si>
    <t>Joseph Schmuller</t>
  </si>
  <si>
    <t>R All-in-One For Dummies(r) - Joseph Schmuller.pdf</t>
  </si>
  <si>
    <t>Это фрагмент книги «R All-in-One For Dummies» Джозефа Шмуллера, представляющей собой всеобъемлющее руководство по языку программирования R для статистического анализа и визуализации данных. Книга охватывает ключевые концепции от основ работы с R и пакетами до описания данных, построения графиков, проверки гипотез и сложных статистических тестов. Издание предназначено для новичков и пользователей начального уровня, желающих освоить анализ данных с нуля в доступном формате серии «For Dummies».</t>
  </si>
  <si>
    <t>Advanced R</t>
  </si>
  <si>
    <t>Hadley Wickham; Malte Grosser; Henning Bumann</t>
  </si>
  <si>
    <t>R. К вершинам мастерства.pdf</t>
  </si>
  <si>
    <t>Книга «R. К вершинам мастерства» представляет собой второе издание углубленного руководства по языку R, написанное ведущими экспертами, включая Хэдли Уикема. Она посвящена раскрытию сложных и мало документированных особенностей R, а также знакомит с современными библиотеками для интерактивного анализа данных. Ключевые разделы охватывают фундаментальные концепции, такие как имена и значения, копирование при изменении, работа с векторами и окружениями. Издание содержит решения и подробные комментарии ко всем упражнениям, что делает его полезным для программистов R, желающих углубить свои знания, а также для разработчиков на других языках. Книга рассчитана на опытных пользователей, стремящихся перейти от базового использования к профессиональному мастерству.</t>
  </si>
  <si>
    <t>R. Книга рецептов.pdf</t>
  </si>
  <si>
    <t>Книга «R. Книга рецептов» Дж. Д. Лонга и Пола Титора представляет собой практическое руководство по анализу данных, статистике и визуализации на языке R, содержащее более 275 решений конкретных задач. Ключевые разделы охватывают работу с векторами, структурами данных (матрицы, списки, фреймы), вероятностными распределениями, статистическими тестами, построением графиков, линейной регрессией и дисперсионным анализом. Издание предназначено как для новичков, начинающих знакомство с R, так и для пользователей среднего уровня, желающих углубить свои знания и ускорить работу.</t>
  </si>
  <si>
    <t>The R Book 3e</t>
  </si>
  <si>
    <t>Elinor Jones; Simon Harden; Michael J. Crawley</t>
  </si>
  <si>
    <t>The.R.Book.3rd.Edition.pdf</t>
  </si>
  <si>
    <t>Это третье издание книги «The R Book», представляющее собой всеобъемлющее руководство по языку программирования R и статистическому анализу данных. Книга охватывает широкий спектр тем: от основ языка и работы с данными до продвинутых методов, включая регрессию, обобщённые линейные модели, анализ временных рядов, байесовскую статистику и пространственный анализ. Издание предназначено как для новичков, так и для опытных специалистов, желающих углубить свои знания в области статистического моделирования и визуализации с помощью R.</t>
  </si>
  <si>
    <t>Mastering Shiny</t>
  </si>
  <si>
    <t>Hadley Wickham</t>
  </si>
  <si>
    <t>Изучаем Shiny - R.pdf</t>
  </si>
  <si>
    <t>Книга «Изучаем Shiny» знакомит с фреймворком Shiny для создания интерактивных веб-приложений на языке R. В руководстве описываются структура приложения, компоненты пользовательского интерфейса, а также способы решения задач, включая загрузку данных и реактивное программирование. Издание будет полезно как разработчикам R, переходящим от базового анализа к веб-приложениям, так и опытным пользователям Shiny, желающим писать более быстрые и эффективные приложения.</t>
  </si>
  <si>
    <t>Математические пакеты: R</t>
  </si>
  <si>
    <t>В. А. Шишкин</t>
  </si>
  <si>
    <t>Пермский государственный национальный исследовательский университет</t>
  </si>
  <si>
    <t>Математические пакеты R.pdf</t>
  </si>
  <si>
    <t>Учебное пособие В. А. Шишкина посвящено статистическому пакету R и предназначено для студентов направлений «Прикладная математика и информатика» и «Бизнес-информатика». Ключевые разделы книги охватывают основы работы в R (арифметика, векторы, строки), структуры данных (матрицы, списки, фреймы), работу со случайными величинами и распределениями, а также программирование (управляющие конструкции, функции, ООП). Материал рассчитан на начальный и средний уровень подготовки и может использоваться для изучения статистических вычислений, моделирования и анализа данных.</t>
  </si>
  <si>
    <t>Моделирование и анализ в среде R</t>
  </si>
  <si>
    <t>Моделирование и анализ в среде R.pdf</t>
  </si>
  <si>
    <t>Книга посвящена применению языка R для статистического моделирования и анализа данных. В ней рассматриваются ключевые концепции, такие как регрессионный анализ, методы проверки гипотез, визуализация данных и работа с вероятностными распределениями. Издание ориентировано на специалистов и исследователей, уже знакомых с основами статистики и программирования, которые хотят углубить свои навыки в практическом анализе с помощью R.</t>
  </si>
  <si>
    <t>Сбор_данных_в_Интернете_на_языке_R_2017_Храмов.pdf</t>
  </si>
  <si>
    <t>Книга посвящена сбору данных из интернета с использованием языка R. В ней рассматриваются ключевые концепции веб-скрапинга, парсинга HTML-страниц, работы с API и обработки полученной информации. Особое внимание уделяется практическим инструментам, таким как пакеты rvest и httr. Издание ориентировано на специалистов по анализу данных и программистов, уже знакомых с основами R, то есть на уровень от начинающего до среднего.</t>
  </si>
  <si>
    <t>Язык и среда программирования R</t>
  </si>
  <si>
    <t>Язык и среда программирования R.pdf</t>
  </si>
  <si>
    <t>Книга посвящена основам работы в среде программирования R, её синтаксису и возможностям для статистической обработки данных. В представленном фрагменте рассматриваются ключевые концепции, такие как типы данных (векторы, матрицы, списки) и базовые операции с ними. Издание ориентировано на начинающих пользователей, делающих первые шаги в анализе данных и программировании на R.</t>
  </si>
  <si>
    <t>Ruby on Rails Tutorial: Learn Web Development with Rails</t>
  </si>
  <si>
    <t>Michael Hartl</t>
  </si>
  <si>
    <t>Программирование/Ruby</t>
  </si>
  <si>
    <t>Ruby</t>
  </si>
  <si>
    <t>Ruby on Rails для начинающих  2017.pdf</t>
  </si>
  <si>
    <t>C:\Users\alexa\YandexDisk\Книги\Программирование\Ruby</t>
  </si>
  <si>
    <t>Это книга Майкла Хартла, представляющая собой учебное пособие по фреймворку Ruby on Rails для разработки веб-приложений. В ней рассматриваются основы Ruby, HTML, CSS и SQL, а также ключевые концепции Rails, включая архитектуру MVC и развертывание приложений с использованием Git и Heroku. Издание предназначено для программистов любого уровня, желающих изучить Rails с нуля.</t>
  </si>
  <si>
    <t>The Well-Grounded Rubyist</t>
  </si>
  <si>
    <t>David A. Black; Joseph Leo III</t>
  </si>
  <si>
    <t>Ruby_Feb_2019pdf.pdf</t>
  </si>
  <si>
    <t>Книга «The Well-Grounded Rubyist» (третье издание) Дэвида Блэка и Джозефа Лео III представляет собой углублённое руководство по языку программирования Ruby, раскрывающее его внутреннее устройство и взаимодействие ключевых компонентов. Основные разделы охватывают фундаментальные основы Ruby (объекты, классы, модули), встроенные классы и модули (строки, коллекции, регулярные выражения), а также динамические возможности языка (объекты, обратные вызовы и функциональное программирование). Книга предназначена для программистов, уже знакомых с основами Ruby, которые хотят перейти от уровня простого пользователя к статусу полноценного «рубиста», понимающего не только как, но и почему работает код.</t>
  </si>
  <si>
    <t>Practical Object-Oriented Design in Ruby</t>
  </si>
  <si>
    <t>Sandi Metz</t>
  </si>
  <si>
    <t>Ruby_Объектно_ориентированное_проектирование.pdf</t>
  </si>
  <si>
    <t>Книга Сэнди Метц «Ruby. Объектно-ориентированное проектирование» представляет собой классическое руководство по написанию качественного, гибкого и легко поддерживаемого кода на Ruby с использованием принципов ООП. В ней подробно разбираются такие ключевые концепции, как проектирование классов с единственной обязанностью, управление зависимостями, создание гибких интерфейсов, утиная типизация, а также эффективное применение наследования, композиции и модулей. Издание предназначено для программистов на Ruby, желающих углубить свои знания в объектно-ориентированном проектировании, и будет полезно как специалистам среднего уровня, так и опытным разработчикам, стремящимся улучшить качество своего кода.</t>
  </si>
  <si>
    <t>Программирование на языке Ruby</t>
  </si>
  <si>
    <t>Программирование на языке Ruby.pdf</t>
  </si>
  <si>
    <t>Путь Ruby</t>
  </si>
  <si>
    <t>Путь Ruby.pdf</t>
  </si>
  <si>
    <t>Фрагмент книги «Путь Ruby» представляет собой оглавление, которое охватывает основы объектно-ориентированного программирования, синтаксис и динамические возможности языка Ruby, а также подробно рассматривает работу со строками. Ключевые разделы включают введение в ООП, базовый синтаксис, динамические аспекты Ruby и практические методы обработки строк. Книга предназначена для новичков и специалистов, желающих углубить понимание языка.</t>
  </si>
  <si>
    <t>Самоучитель Ruby</t>
  </si>
  <si>
    <t>Самоучитель Ruby.zip</t>
  </si>
  <si>
    <t>Данный фрагмент книги представляет собой учебное пособие по языку программирования Ruby. Книга предназначена для новичков и охватывает основы синтаксиса, работу с объектами, классами и методами, а также включает практические примеры и упражнения. Основное внимание уделяется последовательному освоению языка с нуля, начиная с установки и заканчивая созданием простых программ.</t>
  </si>
  <si>
    <t>Code Like a Pro in Rust MEAP V04</t>
  </si>
  <si>
    <t>Brenden Matthews</t>
  </si>
  <si>
    <t>Программирование/Rust</t>
  </si>
  <si>
    <t>Rust</t>
  </si>
  <si>
    <t>Code Like a Pro in Rust V4 2022.pdf</t>
  </si>
  <si>
    <t>C:\Users\alexa\YandexDisk\Книги\Программирование\Rust</t>
  </si>
  <si>
    <t>Эта книга предназначена для разработчиков, уже знакомых с основами Rust, и помогает преодолеть сложные этапы изучения языка, сосредотачиваясь на практических инструментах, шаблонах и лучших практиках. Ключевые разделы охватывают управление проектами с Cargo, работу с памятью, тестирование, распространённые и продвинутые шаблоны проектирования, асинхронное программирование и оптимизацию. Издание рассчитано на специалистов, владеющих хотя бы одним другим языком программирования, и стремится ускорить их переход к созданию production-grade программного обеспечения на Rust.</t>
  </si>
  <si>
    <t>Command-Line Rust</t>
  </si>
  <si>
    <t>Ken Youens-Clark</t>
  </si>
  <si>
    <t>Command-Line Rust 2022.pdf</t>
  </si>
  <si>
    <t>Эта книга представляет собой практическое руководство по изучению языка программирования Rust через создание клонов классических утилит командной строки Unix, таких как head и cal. Вместо теоретического справочника автор предлагает подход «обучение через действие», охватывая ключевые концепции Rust (строки, векторы, файловые дескрипторы) и основы работы командной строки (STDIN/STDOUT, конвейеры, коды возврата). Издание предназначено для программистов, уже знакомых с основами других языков, которые хотят быстро освоить Rust на практике, преодолев его крутой порог входа.</t>
  </si>
  <si>
    <t>Data Analysis with Rust Notebooks</t>
  </si>
  <si>
    <t>Shahin Rostami</t>
  </si>
  <si>
    <t>Data Analysis with Rust Notebooks.pdf</t>
  </si>
  <si>
    <t>Книга «Data Analysis with Rust Notebooks» доктора Шахина Ростами посвящена анализу данных с использованием языка программирования Rust. В ней рассматриваются такие ключевые темы, как визуализация данных с помощью библиотек Plotters и Plotly, работа с многомерными массивами через NDArray, загрузка и обработка датасетов из CSV, а также построение интерактивных диаграмм и статистический анализ. Издание ориентировано на специалистов, уже знакомых с основами программирования, которые хотят применять Rust для задач Data Science.</t>
  </si>
  <si>
    <t>Hands-On Rust</t>
  </si>
  <si>
    <t>Wolverson, Herbert</t>
  </si>
  <si>
    <t>Hands_on_Rust_Development_and_Play_2021_Wolverson_Herbert.pdf</t>
  </si>
  <si>
    <t>Книга «Hands-On Rust» Герберта Вольверсона посвящена изучению языка программирования Rust через создание 2D-игр, начиная с простых консольных проектов и заканчивая полноценным dungeon crawler с использованием библиотеки bracket-lib. Ключевые разделы охватывают основы Rust, игровой цикл, работу с сущностями, системами, генерацию подземелий, боевую механику и инвентарь. Издание предназначено для новичков, которые уже освоили базовый синтаксис Rust и хотят перейти к практической разработке сложных приложений, а также для всех интересующихся геймдевом.</t>
  </si>
  <si>
    <t>Practical GPU Graphics with wgpu and Rust</t>
  </si>
  <si>
    <t>Jack Xu</t>
  </si>
  <si>
    <t>UniCAD Publishing</t>
  </si>
  <si>
    <t>Practical GPU Graphics with wgpu and Rust.pdf</t>
  </si>
  <si>
    <t>Книга Джека Сю посвящена практическому созданию высокопроизводительной графики на GPU с использованием языка Rust и библиотеки wgpu — кроссплатформенного API нового поколения. В ней рассматриваются настройка инструментов разработки, основы Rust, работа с шейдерами WGSL, рендеринг и взаимодействие с графическим конвейером. Материал ориентирован на разработчиков, уже знакомых с программированием, но желающих освоить современную GPU-графику как для нативных приложений, так и для веба.</t>
  </si>
  <si>
    <t>Programming Rust, 2nd Edition</t>
  </si>
  <si>
    <t>Leonora F.S. Tindall; Jason Orendorff; Jim Blandy</t>
  </si>
  <si>
    <t>Programming_Rust,_2nd_Edition_Early_Release_Jim_Blandy,_Jason_Orendorff.epub</t>
  </si>
  <si>
    <t>Книга «Programming Rust, 2nd Edition» посвящена языку системного программирования Rust, который сочетает статически проверяемую безопасность памяти с низкоуровневым контролем, устраняя такие распространённые ошибки, как висячие указатели и переполнение буфера. В предисловии рассматриваются области применения системного программирования (ОС, драйверы, базы данных, криптография), а в содержании заявлены разделы по типам данных, ссылкам, векторам, строкам и арифметике. Книга предназначена для опытных системных программистов, ищущих альтернативу C++, а также для разработчиков с других языков (C#, Java, Python), желающих освоить Rust и системное программирование.</t>
  </si>
  <si>
    <t>Refactoring to Rust</t>
  </si>
  <si>
    <t>Lily Mara; Joel Holmes</t>
  </si>
  <si>
    <t>Refactoring to Rust_Final.pdf</t>
  </si>
  <si>
    <t>Книга «Refactoring to Rust» Лили Мары и Джоэла Холмса посвящена рефакторингу существующего кода на других языках (Python, JavaScript, C) в Rust для повышения производительности и безопасности памяти. Ключевые разделы охватывают работу с C FFI и unsafe Rust, интеграцию с динамическими языками через PyO3, WebAssembly для рефакторинга JavaScript, а также тестирование и структурирование библиотек. Издание предназначено для опытных разработчиков, знакомых с программированием, которые хотят освоить Rust для оптимизации и миграции проектов.</t>
  </si>
  <si>
    <t>Road_Map_Learning</t>
  </si>
  <si>
    <t>Road_Map_Learning.pdf</t>
  </si>
  <si>
    <t>Этот фрагмент представляет собой дорожную карту (roadmap) для изучения языка программирования Rust. Ключевые разделы включают основы синтаксиса, систему владения (Ownership), работу с памятью, обобщения, макросы, асинхронное программирование, а также обширный перечень библиотек для веб-разработки, игр, GUI и работы с базами данных. Материал предназначен для новичков, желающих системно освоить Rust от базовых концепций до продвинутых тем и экосистемы.</t>
  </si>
  <si>
    <t>Rust in Action</t>
  </si>
  <si>
    <t>Tim McNamara</t>
  </si>
  <si>
    <t>Rust in Action 2021.pdf</t>
  </si>
  <si>
    <t>Книга «Rust in Action» Тима Макнамары посвящена системному программированию на языке Rust, с акцентом на безопасность, производительность и контроль над памятью. В представленном фрагменте рассматриваются ключевые концепции управления памятью и владения, включая умные указатели (Box, Rc, Arc, RefCell, Cow) и их сильные и слабые стороны. Издание предназначено для программистов среднего и продвинутого уровня, уже знакомых с основами Rust и желающих углубиться в низкоуровневые аспекты языка.</t>
  </si>
  <si>
    <t>Rust Web Development</t>
  </si>
  <si>
    <t>Bastian Gruber</t>
  </si>
  <si>
    <t>Rust Web Development.pdf</t>
  </si>
  <si>
    <t>Книга «Rust Web Development» Бастиана Грубера представляет собой практическое руководство по созданию веб-сервисов на языке Rust. Она охватывает основы работы с HTTP-запросами, выбор рантайма и веб-фреймворка, а также продвинутые темы, такие как работа с базами данных, логирование, аутентификация и деплой. Книга предназначена для разработчиков, уже знакомых с основами Rust и имеющих опыт создания API, которые хотят перейти к построению production-готовых микросервисов.</t>
  </si>
  <si>
    <t>Rust Programming Cookbook</t>
  </si>
  <si>
    <t>Claus Matzinger</t>
  </si>
  <si>
    <t>Rust.Programming.Cookbook.pdf</t>
  </si>
  <si>
    <t>Книга «Rust Programming Cookbook» Клауса Матцингера посвящена практическому изучению языка Rust и его возможностей, включая версию 2018 года, для создания быстрых и безопасных приложений. В формате сборника рецептов она охватывает множество доменов — от серверных распределенных систем до встраиваемых устройств, предлагая небольшие примеры для самостоятельного изучения и модификации. Ключевая концепция книги — обучение через исследование и «игру» с кодом, когда читатель берет готовый рецепт как отправную точку для собственных экспериментов. Издание предназначено как для новичков, желающих познакомиться с языком, так и для специалистов, переходящих в новые для себя области, поскольку примеры не требуют глубокого контекста и позволяют сосредоточиться на локальной логике.</t>
  </si>
  <si>
    <t>Rust_Web_Development_Final.pdf</t>
  </si>
  <si>
    <t>Книга Бастиана Грубера "Rust Web Development" посвящена созданию веб-сервисов на языке Rust с использованием фреймворков Warp, Tokio и Reqwest. Она охватывает ключевые концепции языка, такие как владение, заимствование и асинхронность, а также практические темы: реализацию REST API, работу с базами данных, логирование, аутентификацию и развертывание приложений. Издание предназначено для разработчиков, уже знакомых с основами Rust, которые хотят перейти к созданию промышленных веб-приложений.</t>
  </si>
  <si>
    <t>Rust Web Programming</t>
  </si>
  <si>
    <t>Maxwell Flitton</t>
  </si>
  <si>
    <t>Rust_Web_Programming.pdf</t>
  </si>
  <si>
    <t>Книга «Rust Web Programming» Максвелла Флиттона представляет собой практическое руководство по разработке, упаковке и развертыванию веб-приложений на языке Rust. В ней рассматриваются такие ключевые концепции, как работа с типами данных, строками, векторами, хеш-картами, обработка ошибок и управление владением переменными. Издание предназначено для разработчиков, уже знакомых с основами Rust, которые хотят углубить свои навыки в веб-программировании и создании полнофункциональных приложений.</t>
  </si>
  <si>
    <t>Speed Up Your Python with Rust</t>
  </si>
  <si>
    <t>Speed Up Your Python with Rust.pdf</t>
  </si>
  <si>
    <t>Книга «Speed Up Your Python with Rust» Максвелла Флиттона посвящена оптимизации производительности Python-кода путём создания модулей pip на языке Rust с использованием библиотеки PyO3. В ней рассматриваются ключевые различия между Python и Rust, включая управление памятью, владение переменными, структуры данных и обработку ошибок, а также вопросы структурирования кода и конкурентности. Издание предназначено для Python-разработчиков среднего и продвинутого уровня, желающих повысить скорость работы своих приложений за счёт интеграции с Rust.</t>
  </si>
  <si>
    <t>The Rust Programming Language</t>
  </si>
  <si>
    <t>Steve Klabnik; Carol Nichols</t>
  </si>
  <si>
    <t>Программирование на Rust.pdf</t>
  </si>
  <si>
    <t>Это официальное руководство по языку программирования Rust от его разработчиков из Mozilla Foundation, которое учит создавать быстрое и надёжное программное обеспечение, сочетая высокоуровневую эргономику с низкоуровневым управлением. Ключевые концепции книги включают владение и заимствование, жизненные циклы, типажи, обобщения, умные указатели, многопоточность, а также практическую работу с менеджером пакетов Cargo. Издание предназначено как для новичков, так и для опытных специалистов, желающих освоить Rust от установки до создания масштабируемых проектов, включая игру-угадайку, инструмент командной строки и многопоточный сервер.</t>
  </si>
  <si>
    <t>Язык программирования Rust</t>
  </si>
  <si>
    <t>Unknown</t>
  </si>
  <si>
    <t>Язык_программирования_Rust.pdf</t>
  </si>
  <si>
    <t>Этот фрагмент представляет собой введение к русскоязычному переводу книги «Язык программирования Rust», которая посвящена системному языку Rust, ориентированному на безопасность, скорость и параллелизм без сборщика мусора. Книга разделена на восемь разделов, включая введение, настройку среды, обучение на проектах, эффективное использование, синтаксис и семантику, а также нестабильные возможности. Материал предназначен как для новичков, желающих изучить язык с нуля, так и для опытных разработчиков, стремящихся к глубокому пониманию низкоуровневого контроля и абстракций с нулевой стоимостью.</t>
  </si>
  <si>
    <t>Programming in Scala, Fifth Edition</t>
  </si>
  <si>
    <t>Martin Odersky; Lex Spoon; Bill Venners; Frank Sommers</t>
  </si>
  <si>
    <t>artima</t>
  </si>
  <si>
    <t>Программирование/Scala</t>
  </si>
  <si>
    <t>Scala</t>
  </si>
  <si>
    <t>Programming_in_Scala,_Fifth_Edition_Martin_Odersky,_Lex_Spoon_etc.pdf</t>
  </si>
  <si>
    <t>C:\Users\alexa\YandexDisk\Книги\Программирование\Scala</t>
  </si>
  <si>
    <t>Это пятое издание книги «Programming in Scala», обновлённое для версии Scala 3.0, которое представляет собой всеобъемлющее пошаговое руководство по языку Scala, сочетающему объектно-ориентированное и функциональное программирование. Ключевые концепции включают глубокое объяснение синтаксиса, сравнение с Java, а также такие возможности, как case-классы, сопоставление с образцом и библиотеки для контейнеров и акторов. Книга подходит как для опытных программистов, желающих освоить новый язык, так и для новичков, благодаря чёткой структуре, продуманным примерам и логичному переходу от основ к продвинутым темам.</t>
  </si>
  <si>
    <t>Scala. Профессиональное программирование</t>
  </si>
  <si>
    <t>Мартин Одерски; Лекс Спун; Билл Веннерс; Фрэнк Соммерс</t>
  </si>
  <si>
    <t>Scala_Профессиональное_программирование.pdf</t>
  </si>
  <si>
    <t>Эта книга представляет собой авторитетное руководство по языку Scala, написанное его создателями, и охватывает как основы объектно-ориентированного и функционального программирования, так и продвинутые темы, включая трейты, сопоставление с образцом, работу с коллекциями, параметризацию типов и методы расширения. Пятое издание значительно обновлено для отражения изменений в версии Scala 3. Книга предназначена для программистов, уже знакомых с основами разработки, и позволяет пошагово изучить язык от базовых конструкций до сложных абстракций.</t>
  </si>
  <si>
    <t>Scilab: Решение инженерных и математических задач</t>
  </si>
  <si>
    <t>Е. Р. Алексеев; К. В. Дога; О. В. Чеснокова</t>
  </si>
  <si>
    <t>Базальт СПО; ДМК Пресс</t>
  </si>
  <si>
    <t>Программирование/Scilab</t>
  </si>
  <si>
    <t>Scilab</t>
  </si>
  <si>
    <t>Scilab-Решение инженерных и математических задач.pdf</t>
  </si>
  <si>
    <t>C:\Users\alexa\YandexDisk\Книги\Программирование\Scilab</t>
  </si>
  <si>
    <t>Книга представляет собой учебное пособие по работе со свободно распространяемым математическим пакетом Scilab, предназначенное для решения инженерных и математических задач. В ней описываются основы языка программирования Scilab, визуальные средства программирования, графические возможности, а также подробно рассматриваются методы решения нелинейных уравнений, задач линейной алгебры, оптимизации, дифференцирования, интегрирования, обработки экспериментальных данных и дифференциальных уравнений. Издание адресовано студентам, преподавателям математических и инженерных специальностей, а также научным сотрудникам.</t>
  </si>
  <si>
    <t>Head First. Изучаем Swift</t>
  </si>
  <si>
    <t>Джон Мэннинг; Пэрис Баттфилд-Эддисон</t>
  </si>
  <si>
    <t>Программирование/Swift</t>
  </si>
  <si>
    <t>Swift</t>
  </si>
  <si>
    <t>Head First. Изучаем Swift.pdf</t>
  </si>
  <si>
    <t>C:\Users\alexa\YandexDisk\Книги\Программирование\Swift</t>
  </si>
  <si>
    <t>Фрагмент представляет собой введение к книге «Head First. Изучаем Swift» Джона Мэннинга и Пэрис Баттфилд-Эддисон. Книга посвящена языку программирования Swift, который используется для разработки приложений под iOS, iPadOS, macOS, watchOS и tvOS, а также для системного и серверного программирования. Ключевые разделы охватывают сбор и управление данными, повторное использование кода, построение пользовательских типов данных и структурирование программ и интерфейсов в SwiftUI. Издание предназначено для новичков, желающих быстро освоить Swift и создавать мобильные, веб-приложения, игры и другие проекты.</t>
  </si>
  <si>
    <t>Swift. Подробно</t>
  </si>
  <si>
    <t>Чейрд ин’т Вейн</t>
  </si>
  <si>
    <t>Swift подробно 2019.pdf</t>
  </si>
  <si>
    <t>Книга посвящена углублённому изучению языка Swift для создания профессионального программного обеспечения под платформы Apple (iOS и macOS). В ней рассматриваются такие мощные методы, как обобщение, обработка ошибок, протокольно-ориентированное программирование и современные шаблоны Swift. Издание рассчитано на программистов продвинутого и среднего уровней.</t>
  </si>
  <si>
    <t>Усов Василий</t>
  </si>
  <si>
    <t>Swift-Основы разработки.pdf</t>
  </si>
  <si>
    <t>Эта книга представляет собой учебное пособие по языку Swift и основам разработки приложений для платформ Apple (iOS, iPadOS, macOS). Пятое издание включает полностью переработанную первую часть, обновлённую под версию Swift 5, и знакомит читателя с базовыми возможностями языка, начиная с подготовки среды разработки (Xcode) и заканчивая принципами создания полноценных приложений. Книга предназначена для новичков, желающих изучить Swift с нуля, и не требует глубоких предварительных знаний.</t>
  </si>
  <si>
    <t>Swift. Подробно [2020] Чейрд ин’т Вейн.pdf</t>
  </si>
  <si>
    <t>Книга «Swift. Подробно» посвящена углубленному изучению языка Swift для создания профессионального программного обеспечения под платформы Apple (iOS и macOS). Ключевые концепции включают обобщение, эффективную обработку ошибок, протокольно-ориентированное программирование и современные шаблоны Swift, а также разбор минусов языка, таких как стабильность ABI и сложность протоколов. Издание рассчитано на программистов продвинутого и среднего уровней.</t>
  </si>
  <si>
    <t>Essential TypeScript 5, Third Edition</t>
  </si>
  <si>
    <t>Программирование/TypeScript</t>
  </si>
  <si>
    <t>TypeScript</t>
  </si>
  <si>
    <t>Essential_TypeScript_5_3Ed_Final.pdf</t>
  </si>
  <si>
    <t>C:\Users\alexa\YandexDisk\Книги\Программирование\TypeScript</t>
  </si>
  <si>
    <t>Фрагмент представляет собой введение и оглавление книги «Essential TypeScript 5, Third Edition» Адама Фримена, посвященной языку TypeScript. Книга охватывает ключевые концепции, такие как статические типы, функции, классы, интерфейсы, обобщенные типы и декораторы, а также включает практические разделы по созданию приложений на Angular и React. Издание предназначено для разработчиков, уже знакомых с основами JavaScript, которые хотят углубить свои знания TypeScript и научиться применять его в реальных проектах.</t>
  </si>
  <si>
    <t>Learning TypeScript</t>
  </si>
  <si>
    <t>Josh Goldberg</t>
  </si>
  <si>
    <t>Learning TypeScript Enhance Your Web....pdf</t>
  </si>
  <si>
    <t>Книга Джоша Голдберга «Learning TypeScript» посвящена освоению TypeScript — популярного языка, расширяющего возможности JavaScript за счёт типовой системы. В ней рассматриваются такие ключевые концепции, как аннотации типов, анализ кода компилятором, работа с массивами, классами, функциями и объектами, а также настройка компилятора и интеграция со средами разработки. Издание предназначено как для начинающих, так и для опытных JavaScript-программистов, желающих с нуля изучить TypeScript и научиться писать более надёжный и масштабируемый код.</t>
  </si>
  <si>
    <t>Manning.Essential.TypeScript.5.pdf</t>
  </si>
  <si>
    <t>Книга «Essential TypeScript 5, Third Edition» Адама Фримена представляет собой практическое руководство по языку TypeScript, охватывающее его статическую типизацию, функции, массивы, классы, интерфейсы, обобщённые типы и декораторы. Издание разделено на три части: основы и настройка среды, работа с типами и продвинутые возможности, а также создание реальных приложений на Angular и React. Материал рассчитан на разработчиков, уже знакомых с JavaScript, и включает множество примеров для освоения TypeScript с нуля до уровня уверенного использования в веб-проектах.</t>
  </si>
  <si>
    <t>Mastering TypeScript 3</t>
  </si>
  <si>
    <t>Nathan Rozentals</t>
  </si>
  <si>
    <t>Mastering.TypeScript.3.3rd.Edition.pdf</t>
  </si>
  <si>
    <t>Это третье издание книги «Mastering TypeScript 3», посвящённое созданию промышленных веб-приложений корпоративного уровня с использованием TypeScript 3 и современных фреймворков. Ключевые темы включают инструменты TypeScript, возможности языка и интеграцию с фреймворками, а также применение объектно-ориентированных паттернов проектирования. Издание предназначено для опытных разработчиков, стремящихся углубить свои знания и освоить продвинутые техники TypeScript для построения надёжных приложений.</t>
  </si>
  <si>
    <t>TypeScript: Подробное Руководство</t>
  </si>
  <si>
    <t>https://github.com/nauchikus/typescript-definitive-guide</t>
  </si>
  <si>
    <t>Nauchikus_TypeScript_Подробное_Руководство_4_9_beta (2).pdf</t>
  </si>
  <si>
    <t>Книга «TypeScript: Подробное Руководство» представляет собой всеобъемлющее руководство и документацию по языку TypeScript, раскрывающее его возможности от основ до продвинутых тем. В содержании выделяются такие разделы, как определение TypeScript и его история, что указывает на последовательное изучение языка. Издание предназначено для широкого круга читателей, включая новичков, желающих освоить TypeScript с нуля, и опытных специалистов, стремящихся углубить свои знания.</t>
  </si>
  <si>
    <t>TypeScript in 50 Lessons</t>
  </si>
  <si>
    <t>Stefan Baumgartner</t>
  </si>
  <si>
    <t>Smashing Media AG</t>
  </si>
  <si>
    <t>TypeScript in 50 Lessons (Stefan Baumgartner).pdf</t>
  </si>
  <si>
    <t>Книга Стефана Баумгартнера «TypeScript in 50 Lessons» представляет собой практическое руководство по языку TypeScript, предназначенное для разработчиков, уже знакомых с JavaScript и желающих углубить понимание системы типов. Ключевые разделы охватывают работу с типами, типизацию функций, объединения и пересечения типов, дженерики, условные типы и «мышление в типах». Материал рассчитан на специалистов среднего уровня, стремящихся перейти от базового использования к осмысленному применению продвинутых возможностей TypeScript.</t>
  </si>
  <si>
    <t>TypeScript Quickly</t>
  </si>
  <si>
    <t>Yakov Fain; Anton Moiseev</t>
  </si>
  <si>
    <t>TypeScript Quickly.pdf</t>
  </si>
  <si>
    <t>Книга «TypeScript Quickly» посвящена изучению TypeScript — языка программирования, расширяющего возможности JavaScript. В первой части рассматриваются основы синтаксиса, пользовательские типы, объектно-ориентированное программирование, дженерики, декораторы и инструменты сборки, а во второй части эти знания применяются для разработки реального блокчейн-приложения с использованием Node.js, WebSockets и Angular. Издание ориентировано на разработчиков, уже знакомых с JavaScript, которые хотят освоить TypeScript на практических примерах.</t>
  </si>
  <si>
    <t>Typescript and JavaScript</t>
  </si>
  <si>
    <t>Typescript.and.JavaScript.pdf</t>
  </si>
  <si>
    <t>Книга посвящена сравнительному анализу TypeScript и JavaScript, их синтаксису, возможностям и особенностям применения. В ней рассматриваются ключевые концепции TypeScript, такие как статическая типизация, интерфейсы и дженерики, а также их преимущества перед динамической природой JavaScript. Издание ориентировано на разработчиков, уже знакомых с JavaScript, и желающих освоить TypeScript для повышения надёжности и масштабируемости кода.</t>
  </si>
  <si>
    <t>TypeScript быстро</t>
  </si>
  <si>
    <t>TypeScript_быстро_2021_Файн_Яков,_Моисеев_Антон.pdf</t>
  </si>
  <si>
    <t>Книга «TypeScript быстро» представляет собой практическое руководство по языку TypeScript для разработки веб- и самостоятельных приложений. В первой части рассматриваются основы синтаксиса, включая типы, классы, интерфейсы, обобщения, декораторы и инструменты, а также интеграцию TypeScript с JavaScript. Вторая часть посвящена созданию блокчейн-приложения с использованием популярных фреймворков, таких как Angular, React и Vue.js. Издание предназначено для практикующих программистов, желающих освоить TypeScript для решения актуальных задач.</t>
  </si>
  <si>
    <t>TypeScript_Подробное_Руководство_4_9_beta.pdf</t>
  </si>
  <si>
    <t>Книга «TypeScript: Подробное Руководство» представляет собой комплексное руководство и документацию по языку TypeScript, раскрывающее его возможности от основ до продвинутых тем. В содержании выделяется вводная глава, посвященная определению TypeScript, его истории и причинам использования. Издание предназначено для широкого круга читателей — от новичков, желающих освоить язык с нуля, до опытных специалистов, стремящихся углубить свои знания.</t>
  </si>
  <si>
    <t>Изучаем TypeScript 3</t>
  </si>
  <si>
    <t>Натан Розенталс</t>
  </si>
  <si>
    <t>Изучаем TypeScript 3.pdf</t>
  </si>
  <si>
    <t>Книга Натана Розенталса «Изучаем TypeScript 3» представляет собой руководство по языку TypeScript и его использованию для создания промышленных веб-приложений корпоративного класса. Издание охватывает путь от базовых понятий до продвинутых функций, таких как асинхронное программирование, декораторы и обобщения, а также рассматривает интеграцию с популярными фреймворками (Angular, React) и методы тестирования (Jasmine, Selenium). Книга предназначена для разработчиков, желающих освоить TypeScript и современные практики объектно-ориентированного проектирования, начиная с начального уровня и переходя к продвинутому.</t>
  </si>
  <si>
    <t>Essential TypeScript 5</t>
  </si>
  <si>
    <t>Основы TypeScript. 3-е изд.pdf</t>
  </si>
  <si>
    <t>Книга «Основы TypeScript» Адама Фримена представляет собой полностью обновленное третье издание, посвященное языку TypeScript 5 — популярной статической типизации для JavaScript. Ключевые разделы охватывают работу со статическими типами, функциями, массивами, объектами, классами, обобщенными типами и декораторами, а также создание веб-приложений на Angular и React. Издание предназначено для программистов, знакомых с JavaScript, которые хотят сократить количество ошибок и повысить качество кода, и подходит как для новичков в TypeScript, так и для опытных разработчиков.</t>
  </si>
  <si>
    <t>Программируй &amp; типизируй</t>
  </si>
  <si>
    <t>Влад Ришкуция</t>
  </si>
  <si>
    <t>Программируй &amp; типизируй.pdf</t>
  </si>
  <si>
    <t>Книга Влада Ришкуции посвящена использованию сильной системы типов для создания безопасного, надёжного и простого в сопровождении программного обеспечения. В ней рассматриваются ключевые концепции типизации: от базовых и составных типов данных до функциональных типов, подтипизации, обобщённых структур и алгоритмов, а также более сложных понятий, таких как функторы и монады. Издание предназначено для разработчиков, стремящихся углубить свои навыки работы с типами и повысить качество кода, и использует язык TypeScript для практических примеров.</t>
  </si>
  <si>
    <t>Профессиональный TypeScript. Разработка масштабируемых JavaScript-приложений</t>
  </si>
  <si>
    <t>Борис Черный</t>
  </si>
  <si>
    <t>Профессиональный TypeScript.pdf</t>
  </si>
  <si>
    <t>Книга Бориса Черного «Профессиональный TypeScript» посвящена разработке масштабируемых JavaScript-приложений с использованием статической типизации. В ней подробно разбираются типы, функции, классы, интерфейсы, продвинутые типы, обработка ошибок, асинхронное программирование и взаимодействие с JavaScript. Издание предназначено для программистов, уже знакомых с JavaScript, которые хотят освоить TypeScript для создания безопасного и масштабируемого кода.</t>
  </si>
  <si>
    <t>Пять строк кода TypeScript</t>
  </si>
  <si>
    <t>Пять строк кода  TypeScript.pdf</t>
  </si>
  <si>
    <t>Книга Кристиана Клаусена «Пять строк кода» посвящена практическим техникам рефакторинга кода на TypeScript, направленным на повышение его читаемости и поддерживаемости. В ней рассматриваются конкретные шаблоны, такие как извлечение метода, замена кода типа классами, объединение схожих классов и инкапсуляция данных, а также стратегии работы с компилятором и удаления избыточного кода. Издание ориентировано на разработчиков любого уровня, от новичков до опытных специалистов, желающих освоить системный подход к улучшению кодовой базы.</t>
  </si>
  <si>
    <t>Эффективный TypeScript: 83 способа улучшить код</t>
  </si>
  <si>
    <t>Дэн Вандеркам</t>
  </si>
  <si>
    <t>Эффективный TypeScript.pdf</t>
  </si>
  <si>
    <t>Книга «Эффективный TypeScript» Дэна Вандеркама представляет собой практическое руководство по профессиональному использованию TypeScript, содержащее 83 конкретных совета по улучшению кода. Второе издание охватывает TypeScript 5 и включает новые главы, посвященные программированию на уровне типов и рецептам TypeScript, а также рассматривает систему типов, вывод типов, обобщения и миграцию. Издание предназначено для разработчиков от начального до среднего уровня, желающих углубить свои знания и стать экспертами в TypeScript.</t>
  </si>
  <si>
    <t>Программирование на Visual Basic для начинающих</t>
  </si>
  <si>
    <t>Майк МакГрат</t>
  </si>
  <si>
    <t>Программирование/Visual Basic</t>
  </si>
  <si>
    <t>Visual Basic</t>
  </si>
  <si>
    <t>Программирование на VB для начинающих.pdf</t>
  </si>
  <si>
    <t>C:\Users\alexa\YandexDisk\Книги\Программирование\Visual Basic</t>
  </si>
  <si>
    <t>Это фрагмент книги Майка МакГрата «Программирование на Visual Basic для начинающих», которая представляет собой пошаговое руководство по самостоятельному изучению языка Visual Basic и разработке Windows-приложений в среде Visual Studio. В отрывке рассматриваются введение в язык, его эволюция от версии 1.0 до 12.0, а также различия между Visual Basic и VBA. Книга предназначена для новичков и любителей, желающих освоить азы программирования и начать создавать собственные приложения.</t>
  </si>
  <si>
    <t>Конструирование компиляторов</t>
  </si>
  <si>
    <t>С. Свердлов</t>
  </si>
  <si>
    <t>Программирование/Компиляторы</t>
  </si>
  <si>
    <t>Компиляторы</t>
  </si>
  <si>
    <t>Konstruirovanie_kompilyatorov_2015.pdf</t>
  </si>
  <si>
    <t>C:\Users\alexa\YandexDisk\Книги\Программирование\Компиляторы</t>
  </si>
  <si>
    <t>Книга С. Свердлова «Конструирование компиляторов» представляет собой учебное пособие, посвященное теории и практике построения трансляторов, компиляторов и интерпретаторов. В ней подробно рассматриваются формальные языки и грамматики (по Хомскому), автоматные и контекстно-свободные грамматики, алгоритмы синтаксического анализа (включая LL-грамматики и рекурсивный спуск), а также трансляция выражений и структура компилятора на примере учебного языка «О». Материал ориентирован на студентов и начинающих специалистов, изучающих системное программирование и разработку языков программирования.</t>
  </si>
  <si>
    <t>Создай свой собственный язык программирования</t>
  </si>
  <si>
    <t>Клинтон Л. Джеффери</t>
  </si>
  <si>
    <t>Kлинтoн_Л_Джeффepи_Создай_свой_собственный_язык_программирования.pdf</t>
  </si>
  <si>
    <t>Эта книга представляет собой руководство для программистов по разработке компиляторов, интерпретаторов и доменно-ориентированных языков. Автор объясняет, как создать уникальный язык программирования, начиная с реализации лексического и синтаксического анализатора и заканчивая компиляцией и запуском программ. В книге рассматриваются такие ключевые концепции, как дизайн языка, определение типов данных и потока управления, а также организация реализации через байт-код. Издание предназначено для разработчиков программного обеспечения, имеющих опыт программирования на языках высокого уровня, таких как Java или C++.</t>
  </si>
  <si>
    <t>Компиляторы. Принципы, технологии, инструменты</t>
  </si>
  <si>
    <t>Альфред В. Ахо; Моника С. Лам; Рави Сети; Джеффри Д. Ульман</t>
  </si>
  <si>
    <t>Компиляторы. Принципы, технологии, инструменты, 2-е издание.djvu</t>
  </si>
  <si>
    <t>Данный фрагмент книги «Компиляторы. Принципы, технологии, инструменты» (известной как «Книга Дракона») представляет собой классический учебник по теории и практике построения компиляторов. Ключевые концепции включают лексический, синтаксический и семантический анализ, генерацию кода и оптимизацию. Книга предназначена для студентов старших курсов и специалистов в области разработки программного обеспечения, уже знакомых с основами программирования и дискретной математики.</t>
  </si>
  <si>
    <t>Pro TBB: C++ Parallel Programming with Threading Building Blocks</t>
  </si>
  <si>
    <t>Michael Voss;Rafael Asenjo;James Reinders</t>
  </si>
  <si>
    <t>Программирование/Многопоточность</t>
  </si>
  <si>
    <t>Многопоточность</t>
  </si>
  <si>
    <t>C++ параллельное прграммирование TBB.pdf</t>
  </si>
  <si>
    <t>C:\Users\alexa\YandexDisk\Книги\Программирование\Многопоточность</t>
  </si>
  <si>
    <t>Книга представляет собой современное руководство по библиотеке Threading Building Blocks (TBB) для параллельного программирования на C++. В ней рассматриваются базовые параллельные алгоритмы, управление памятью, структуры данных и проблемы синхронизации, а затем более сложные темы, такие как паттерны параллельного программирования и работа с гетерогенными системами. Издание предназначено для программистов на C++, желающих освоить TBB, и подходит как для новичков, так и для опытных специалистов.</t>
  </si>
  <si>
    <t>Grokking Concurrency</t>
  </si>
  <si>
    <t>Kirill Bobrov</t>
  </si>
  <si>
    <t>Grokking Concurrency_Final.pdf</t>
  </si>
  <si>
    <t>Книга «Grokking Concurrency» Киррила Боброва посвящена основам и практическим аспектам параллельного и асинхронного программирования. В ней рассматриваются ключевые концепции, такие как последовательное и параллельное выполнение, процессы и потоки, межпроцессное взаимодействие, многозадачность, декомпозиция задач и данных, а также проблемы синхронизации (состояния гонки, взаимоблокировки и голодание). Отдельное внимание уделяется неблокирующему вводу-выводу, событийно-ориентированной и асинхронной моделям, а также применению методологии Фостера для разработки конкурентных приложений. Издание рассчитано на разработчиков начального и среднего уровня, желающих освоить принципы построения эффективных и масштабируемых систем.</t>
  </si>
  <si>
    <t>Java Concurrency in Practice</t>
  </si>
  <si>
    <t>Брайан Гетц; Тим Пайерлс; Джошуа Блох; Джозеф Боубер; Дэвид Холмс; Даг Ли</t>
  </si>
  <si>
    <t>Java_Concurrency_на_практике_2020.pdf</t>
  </si>
  <si>
    <t>Книга «Java Concurrency на практике» посвящена разработке многопоточных и параллельных приложений на платформе Java. Авторы, включая создателей ключевых технологий параллелизма, объясняют не только принципы работы потоков, но и предлагают паттерны проектирования, правила и модели, актуальные для любых версий Java. В книге рассматриваются основы потокобезопасности, атомарность, блокировки, а также риски, связанные с безопасностью, производительностью и жизнеспособностью кода. Издание предназначено для профессиональных разработчиков, уже знакомых с Java, которые хотят создавать надежные, масштабируемые и поддерживаемые параллельные приложения.</t>
  </si>
  <si>
    <t>Python Concurrency with asyncio 2022.pdf</t>
  </si>
  <si>
    <t>Эта книга Мэттью Фаулера посвящена асинхронному программированию на Python с использованием библиотеки asyncio. В ней рассматриваются ключевые концепции, такие как корутины, задачи, цикл событий, а также методы управления конкурентностью, включая тайм-ауты, отмену задач и синхронизацию с помощью блокировок и семафоров. Отдельное внимание уделяется параллельному выполнению задач с многопроцессорностью и многопоточностью, работе с блокирующими API и построению веб-приложений. Книга предназначена для разработчиков Python среднего уровня, желающих освоить асинхронное программирование для повышения производительности I/O-зависимых приложений.</t>
  </si>
  <si>
    <t>Multithreaded JavaScript</t>
  </si>
  <si>
    <t>Thomas Hunter II; Bryan English</t>
  </si>
  <si>
    <t>Многопоточный Javascript.pdf</t>
  </si>
  <si>
    <t>Книга «Многопоточный JavaScript» посвящена созданию многопоточных приложений на JavaScript, выходящих за рамки однопоточного цикла событий. В ней рассматриваются ключевые концепции, такие как потоки, конкурентность и параллелизм, а также практические разделы по работе с веб-исполнителями в браузерах (выделенные, разделяемые и сервисные исполнители) и модулем worker_threads в Node.js. Издание предназначено для разработчиков, уже знакомых с JavaScript, но мало знакомых с многопоточным программированием.</t>
  </si>
  <si>
    <t>Основы параллельного программирования</t>
  </si>
  <si>
    <t>К. Ю. Богачёв</t>
  </si>
  <si>
    <t>Основы_параллельного_программирования-2020.pdf</t>
  </si>
  <si>
    <t>Книга К. Ю. Богачёва представляет собой учебное пособие по основам параллельного программирования, нацеленное на обучение самостоятельной разработке эффективных программ для параллельных ЭВМ. В ней рассматриваются пути повышения производительности процессоров и памяти, а также ключевые концепции, такие как управление процессами, синхронизация и взаимодействие между ними с использованием разделяемой памяти, семафоров и очередей сообщений. Материал сопровождается многочисленными примерами на языке C и основан на курсе лекций для студентов МГУ. Пособие предназначено для студентов, аспирантов, научных работников и программистов, желающих освоить разработку параллельных программ.</t>
  </si>
  <si>
    <t>C++ Concurrency in Action</t>
  </si>
  <si>
    <t>Anthony Williams</t>
  </si>
  <si>
    <t>Параллельное_программирование_на_С++_в_действии.pdf</t>
  </si>
  <si>
    <t>Книга Энтони Уильямса «Параллельное программирование на C++ в действии» посвящена разработке многопоточных приложений с использованием стандарта C++11. В ней рассматриваются ключевые концепции, такие как управление потоками, защита разделяемых данных с помощью мьютексов, синхронизация и предотвращение взаимоблокировок. Издание предназначено для программистов, желающих освоить практические приемы написания надежных многопоточных программ, и не требует предварительных знаний в области параллелизма.</t>
  </si>
  <si>
    <t>Parallel and High Performance Computing</t>
  </si>
  <si>
    <t>Robert (Bob) Robey; Yuliana (Yulie) Zamora</t>
  </si>
  <si>
    <t>Параллельные_и_высокопроизводительные_вычисления.pdf</t>
  </si>
  <si>
    <t>Книга посвящена параллельным и высокопроизводительным вычислениям, объясняя, как распределять задачи между несколькими процессорами для повышения производительности. Ключевые разделы охватывают введение в параллельные вычисления, работу с CPU (векторизация, OpenMP, MPI) и GPU (архитектура, программирование на основе директив и языки), а также экосистемы (аффинность, планировщики, файловые операции). Издание предназначено для опытных программистов, владеющих C, C++ или Fortran.</t>
  </si>
  <si>
    <t>Энтони Практика многопоточного программирования 2020.pdf</t>
  </si>
  <si>
    <t>Книга Энтони Уильямса «C++. Практика многопоточного программирования» посвящена конкурентной обработке данных на языке C++17, от создания потоков до проектирования многопоточных алгоритмов. Ключевые разделы охватывают управление потоками, синхронизацию данных, атомарные типы, разработку структур данных с блокировками и без, а также тестирование многопоточных приложений. Издание предназначено для профессиональных разработчиков, желающих освоить практические аспекты высокопроизводительных параллельных вычислений.</t>
  </si>
  <si>
    <t>The Pragmatic Programmer</t>
  </si>
  <si>
    <t>David Thomas; Andrew Hunt</t>
  </si>
  <si>
    <t>Программирование/Общие вопросы</t>
  </si>
  <si>
    <t>!!Программист - прогматик (2020).pdf</t>
  </si>
  <si>
    <t>C:\Users\alexa\YandexDisk\Книги\Программирование\Общие вопросы</t>
  </si>
  <si>
    <t>Фрагмент представляет собой выходные данные книги «Программист-прагматик» (второе юбилейное издание) Дэвида Томаса и Эндрю Ханта. Книга посвящена философии и практическим подходам к разработке программного обеспечения, охватывая такие ключевые концепции, как ответственность разработчика, принцип DRY (избежание дублирования), ортогональность, работа с инструментами, отладка и гибкое проектирование. Издание предназначено для программистов любого уровня — от новичков до опытных специалистов, стремящихся повысить эффективность и качество своей работы.</t>
  </si>
  <si>
    <t>Beginning Programming All-in-One For Dummies, 2nd Edition</t>
  </si>
  <si>
    <t>Wallace Wang</t>
  </si>
  <si>
    <t>!Beginning Programming All-in-One For Dummies, 2nd Edition 2022.pdf</t>
  </si>
  <si>
    <t>Это книга-руководство для абсолютных новичков, посвящённое основам программирования. Она охватывает ключевые концепции: типы языков программирования, работу с переменными, циклами, ветвлениями, функциями, объектами и файлами, а также принципы проектирования интерфейсов. Материал разбит на тематические книги, начиная с введения в программирование и заканчивая практическими инструментами. Издание предназначено для людей, которые никогда не программировали и хотят получить всеобъемлющее, простое и понятное введение в эту сферу.</t>
  </si>
  <si>
    <t>Путь программиста</t>
  </si>
  <si>
    <t>Сонмез Джон</t>
  </si>
  <si>
    <t>!Сонмез_Д_Путь_программиста_Библиотека.pdf</t>
  </si>
  <si>
    <t>Книга Джона Сонмеза «Путь программиста» посвящена построению успешной карьеры в IT, выходя за рамки технических навыков и рассматривая программиста как человека, испытывающего стресс и вынужденного постоянно развиваться. Ключевые разделы охватывают карьерный рост, социальные навыки, прохождение собеседований, варианты трудоустройства (включая фриланс и стартапы), а также продвижение себя и создание личного бренда. Издание предназначено для IT-специалистов любого уровня, стремящихся лучше понять профессию, оставаться востребованными и получать удовольствие от работы.</t>
  </si>
  <si>
    <t>A Friendly Guide to Software Development</t>
  </si>
  <si>
    <t>Leticia Portella</t>
  </si>
  <si>
    <t>Friendly Guides to Technology</t>
  </si>
  <si>
    <t>A Friendly Guide to Software Development.pdf</t>
  </si>
  <si>
    <t>Книга «A Friendly Guide to Software Development» Летиции Портеллы представляет собой введение в процесс разработки программного обеспечения, предназначенное для людей без технического образования. В ней объясняются ключевые этапы создания проекта, начиная с проверки гипотезы и проведения пользовательских интервью, и заканчивая определением целевой аудитории. Издание входит в серию Friendly Guides to Technology, цель которой — устранить пробелы в знаниях между техническими и нетехническими специалистами. Материал рассчитан на новичков, которые работают в команде с разработчиками или хотят понять основы индустрии, не становясь программистами.</t>
  </si>
  <si>
    <t>A Software Engineer’s Guide to Seniority: A Guide to Technical Leadership</t>
  </si>
  <si>
    <t>Jocelyn Harper</t>
  </si>
  <si>
    <t>A Software Engineers Guide to Seniority.pdf</t>
  </si>
  <si>
    <t>Эта книга представляет собой практическое руководство для инженеров-программистов, стремящихся перейти на уровень senior и развить навыки технического лидерства. Автор, Джоселин Харпер, рассматривает ключевые темы: создание профессионального контента, подготовку резюме и прохождение собеседований, переговоры о зарплате, а также обязанности senior-инженера, лучшие практики написания кода и повышение продуктивности. Издание предназначено для специалистов среднего уровня (middle), которые хотят продвинуться по карьерной лестнице и получить конкретные инструменты для роста.</t>
  </si>
  <si>
    <t>An Artist's Guide to Programming</t>
  </si>
  <si>
    <t>Jim Parker</t>
  </si>
  <si>
    <t>An Artists Guide to Programming.pdf</t>
  </si>
  <si>
    <t>Книга Джима Паркера «An Artist’s Guide to Programming» обучает основам программирования через создание визуальных и звуковых проектов на языке Processing. Она охватывает ключевые концепции (условия, циклы, массивы, функции) и включает 100 практических примеров — от рисования круга до 3D-графики, анимации, работы со звуком и видео, а также создания игр и симуляций. Издание предназначено для начинающих, особенно для художников и творческих людей, желающих освоить программирование через графику и интерактивные проекты.</t>
  </si>
  <si>
    <t>Anyone Can Code: Algorithmic Thinking</t>
  </si>
  <si>
    <t>Ali Arya</t>
  </si>
  <si>
    <t>Anyone Can Code_Algorithmic Thinking.pdf</t>
  </si>
  <si>
    <t>Книга «Anyone Can Code: Algorithmic Thinking» Али Арьи посвящена основам алгоритмического мышления и программирования, объясняя, как алгоритмы применяются в повседневной жизни и простых программах. Ключевые разделы охватывают последовательное выполнение, выбор, итерацию, функции, поиск (линейный и бинарный), сортировку данных, а также модульное и ориентированное на данные проектирование алгоритмов. Материал предназначен для абсолютных новичков, желающих освоить базовые принципы программирования и решения задач.</t>
  </si>
  <si>
    <t>Designing the User Interface: Strategies for Effective Human-Computer Interaction, 6/e</t>
  </si>
  <si>
    <t>Ben Shneiderman;Catherine Plaisant;Maxine Cohen;Steven Jacobs;Niklas Elmqvist;Nicholas Diakopoulos</t>
  </si>
  <si>
    <t>Ben_Shneiderman_&amp;_Catherine_Plaisant_&amp;_Maxine_Cohen_&amp;_Steven_Jacobs.epub</t>
  </si>
  <si>
    <t>Эта книга представляет собой шестое издание классического учебника по проектированию пользовательских интерфейсов и взаимодействию человека с компьютером. В ней рассматриваются ключевые концепции, такие как цели юзабилити, универсальная доступность, руководящие принципы и «Восемь золотых правил» проектирования интерфейсов, а также подробно описываются процессы дизайна и оценки, включая методы прототипирования и юзабилити-тестирования. Издание предназначено как для исследователей и коммерческих дизайнеров, так и для студентов, стремящихся повысить осведомленность широкой публики о качественных интерфейсах.</t>
  </si>
  <si>
    <t>Программист-фанатик</t>
  </si>
  <si>
    <t>Чед Фаулер</t>
  </si>
  <si>
    <t>Ched_Fauler_-_Programmist-fanatik.pdf</t>
  </si>
  <si>
    <t>Книга Чеда Фаулера «Программист-фанатик» представляет собой сборник практических советов для разработчиков, посвященный не технологиям, а психологии программирования, мотивации, карьерному росту и отношениям в коллективе. Ключевые разделы охватывают такие темы, как поиск своего рынка, инвестиции в интеллект, универсальность и умение выходить за рамки простого написания кода. Издание предназначено как для начинающих программистов, желающих быстро построить карьеру, так и для опытных специалистов, стремящихся пересмотреть устоявшиеся взгляды и выйти на новый уровень мастерства.</t>
  </si>
  <si>
    <t>Five Lines of Code</t>
  </si>
  <si>
    <t>Christian Clausen</t>
  </si>
  <si>
    <t>Christian Clausen_Five_Lines_of_Code Manning.pdf</t>
  </si>
  <si>
    <t>Книга Кристиана Клаузена «Five Lines of Code» посвящена практическим методам и правилам рефакторинга кода, с акцентом на то, как и когда его проводить. В ней представлен набор конкретных шаблонов рефакторинга, таких как Extract Method, Replace Type Code with Classes и Inline Method, а также рассматриваются принципы улучшения читаемости и поддерживаемости кода без изменения его поведения. Издание предназначено для разработчиков среднего и продвинутого уровня, желающих систематизировать свои навыки работы с существующим кодом и научиться безопасно его улучшать.</t>
  </si>
  <si>
    <t>Data Oriented Programming MEAP V14</t>
  </si>
  <si>
    <t>Yehonathan Sharvit</t>
  </si>
  <si>
    <t>Data-Oriented Programming Unlearning objects.pdf</t>
  </si>
  <si>
    <t>Книга «Data-Oriented Programming» Йонатана Шарвита знакомит с парадигмой программирования, ориентированной на данные (DOP), которая снижает сложность систем и делает их более гибкими. В основе DOP лежат четыре принципа, раскрываемые через историю программиста, переходящего от объектно-ориентированного подхода к DOP. Книга разделена на три части, посвящённые гибкости, масштабируемости и поддерживаемости, и содержит практические примеры на JavaScript. Она предназначена для разработчиков с опытом работы на высокоуровневых языках (Java, C#, Python, JavaScript), уже создававших веб-системы.</t>
  </si>
  <si>
    <t>Data Structures the Fun Way</t>
  </si>
  <si>
    <t>Jeremy Kubica</t>
  </si>
  <si>
    <t>Data.Structures.the.Fun.Way.pdf</t>
  </si>
  <si>
    <t>Книга Джереми Кубицы «Data Structures the Fun Way» представляет собой увлекательное введение в структуры данных, объясняющее их через забавные примеры, связанные с кофе. В ней рассматриваются ключевые концепции, такие как бинарный поиск, стеки, очереди, бинарные деревья поиска, хеш-таблицы, B-деревья и фильтры Блума. Издание предназначено для новичков и начинающих программистов, желающих освоить основы структур данных в лёгкой и доступной форме.</t>
  </si>
  <si>
    <t>Data-Oriented Programming</t>
  </si>
  <si>
    <t>Data_Oriented_Programming_Reduce_complexity_by_rethinking_data.pdf</t>
  </si>
  <si>
    <t>Книга «Data-Oriented Programming» Йехонатана Шарвита посвящена снижению сложности программного обеспечения за счёт переосмысления роли данных. В основе подхода лежат четыре принципа: отделение кода от данных, представление данных с помощью общих структур, неизменяемость данных и разделение схемы данных и её представления. Книга разделена на три части, охватывающие гибкость, масштабируемость и поддерживаемость системы, и включает такие темы, как управление состоянием, конкурентность, валидация и отладка. Материал рассчитан на практикующих разработчиков, знакомых с основами программирования, которые хотят освоить альтернативу объектно-ориентированному подходу.</t>
  </si>
  <si>
    <t>Data Structures the Fun Way (Early Access 5/12/22)</t>
  </si>
  <si>
    <t>Data_Structures_the_Fun_Way_From_Binary_Search_to_QuadTrees_in_1.pdf</t>
  </si>
  <si>
    <t>Этот фрагмент представляет собой введение к книге Джереми Кубицы «Data Structures the Fun Way», посвящённой структурам данных. Книга охватывает такие темы, как бинарный поиск, динамические структуры, стеки, очереди, бинарные деревья поиска, приоритетные очереди, кучи, сетки, пространственные деревья и хеш-таблицы. Издание находится на стадии раннего доступа и предназначено для читателей, желающих изучить структуры данных в увлекательной форме, вероятно, от новичков до специалистов среднего уровня.</t>
  </si>
  <si>
    <t>Joel on Software</t>
  </si>
  <si>
    <t>Joel Spolsky</t>
  </si>
  <si>
    <t>dzhoel_o_programmirovanii_fail_pdf_651529.pdf</t>
  </si>
  <si>
    <t>Книга представляет собой сборник эссе Джоэла Спольски, посвящённых практическим аспектам разработки программного обеспечения, управлению проектами и организации работы программистов. Ключевые разделы охватывают такие темы, как выбор языка программирования, работа с Unicode, составление функциональных спецификаций, управление графиком работ и ежедневная сборка проекта. Издание адресовано широкому кругу читателей — от разработчиков и проектировщиков до менеджеров, то есть как специалистам, так и тем, кто работает с ними в смежных ролях.</t>
  </si>
  <si>
    <t>Grokking Simplicity: Taming Complex Software with Functional Thinking</t>
  </si>
  <si>
    <t>Eric Normand</t>
  </si>
  <si>
    <t>Grokking_Simplicity_Taming_complex_software_with_functional_thin.pdf</t>
  </si>
  <si>
    <t>Книга «Grokking Simplicity» Эрика Нормана посвящена практическому применению функционального мышления для управления сложностью программного обеспечения. Ключевая концепция — разделение кода на три категории: действия (actions), вычисления (calculations) и данные (data), а также методы извлечения вычислений из действий и обеспечения неизменяемости данных (immutability) через копирование при записи. Книга предназначена для разработчиков среднего уровня, которые хотят освоить функциональные принципы для написания более тестируемого, переиспользуемого и предсказуемого кода.</t>
  </si>
  <si>
    <t>Eric Freeman;Elisabeth Robson</t>
  </si>
  <si>
    <t>Head_First_Learn_to_Code_A_Learner’s_Guide_to_Coding_and_Computational.pdf</t>
  </si>
  <si>
    <t>Эта книга представляет собой введение в программирование и вычислительное мышление, написанное в доступном и увлекательном стиле. Авторы используют юмор, практические упражнения и пошаговые инструкции, чтобы объяснить основы кода и избежать типичных ошибок. Книга предназначена для абсолютных новичков, желающих начать карьеру в программировании, а также для тех, кто хочет освоить Python и научиться решать задачи с помощью вычислительного подхода.</t>
  </si>
  <si>
    <t>Искусство чистого кода</t>
  </si>
  <si>
    <t>Iskusstvo_chistogo_koda.pdf</t>
  </si>
  <si>
    <t>Книга Кристиана Майера «Искусство чистого кода» посвящена принципам написания простого, понятного и удобного в сопровождении программного кода. Ключевые концепции включают борьбу со сложностью, принцип 80/20, создание минимально жизнеспособного продукта, отказ от преждевременной оптимизации, состояние потока и принципы Unix. Издание предназначено для разработчиков ПО, стремящихся повысить свою продуктивность и упростить поддержку кода, от новичков до опытных специалистов.</t>
  </si>
  <si>
    <t>Шаблоны реализации корпоративных приложений</t>
  </si>
  <si>
    <t>Kent_Bek_-_Shablony_realizacii_korporativnyh_pr.djvu</t>
  </si>
  <si>
    <t>Данный фрагмент книги Кента Бека «Шаблоны реализации корпоративных приложений» посвящен описанию шаблонов и практик, используемых при разработке корпоративного программного обеспечения. Ключевые концепции включают в себя структурирование кода, организацию взаимодействия между объектами и применение проверенных решений для повышения надежности и гибкости системы. Книга ориентирована на опытных разработчиков и специалистов, уже знакомых с основами объектно-ориентированного программирования и проектирования.</t>
  </si>
  <si>
    <t>LaTeX Beginner's Guide</t>
  </si>
  <si>
    <t>Stefan Kottwitz</t>
  </si>
  <si>
    <t>LaTeX,_руководство_для_начинающих.pdf</t>
  </si>
  <si>
    <t>Книга представляет собой руководство для начинающих по работе с системой верстки LaTeX, предназначенное для создания профессиональных текстов, статей и книг. В ней рассматриваются ключевые концепции, такие как установка дистрибутива TeX Live, работа в онлайн-редакторе Overleaf, логическое форматирование текста и создание макрокоманд. Издание ориентировано на широкий круг читателей, желающих освоить профессиональную верстку с нуля.</t>
  </si>
  <si>
    <t>Skills of a Successful Software Engineer</t>
  </si>
  <si>
    <t>Fernando Doglio</t>
  </si>
  <si>
    <t>Manning.Skills.of.a.Successful.Software.Engineer.1617299707.epub</t>
  </si>
  <si>
    <t>Эта книга посвящена навыкам, необходимым для успешной карьеры инженера-программиста, выходящим за рамки простого написания кода. Ключевые разделы охватывают написание читаемого кода, юнит-тестирование, рефакторинг, личностное развитие (обучение, коммуникация) и подготовку к техническим собеседованиям. Автор подчеркивает важность таких качеств, как терпение, умение принимать критику и стремление к постоянному обучению, а также разбирает антипаттерны вроде избыточного проектирования. Книга предназначена как для начинающих разработчиков, так и для опытных специалистов, желающих систематизировать свои софт-скиллы и повысить эффективность работы.</t>
  </si>
  <si>
    <t>Manning.Skills.of.a.Successful.Software.Engineer.1617299707.mobi</t>
  </si>
  <si>
    <t>Книга посвящена развитию навыков, необходимых для успешной карьеры инженера-программиста, выходящих за рамки чистого написания кода. Ключевые концепции включают техническое мастерство, эффективную коммуникацию, управление проектами и продуктом, а также построение карьеры. Издание предназначено для практикующих разработчиков и специалистов среднего уровня, стремящихся перейти на более высокие позиции и повысить свою профессиональную эффективность.</t>
  </si>
  <si>
    <t>Manning.Skills.of.a.Successful.Software.Engineer.1617299707.pdf</t>
  </si>
  <si>
    <t>Книга Фернандо Дольо посвящена нетехническим навыкам, необходимым для успешной карьеры инженера-программиста. Автор выделяет ключевые концепции, такие как приоритет работоспособности кода над оптимизацией, написание читаемого для людей кода, важность юнит-тестирования, планирование перед написанием кода и контроль эго. Отдельные разделы посвящены выбору правильного работодателя (избегание «семейных» компаний и бесполезных бонусов), а также эффективному использованию код-ревью и побочных проектов. Книга предназначена как для начинающих разработчиков, так и для опытных специалистов, стремящихся улучшить свои профессиональные и карьерные навыки.</t>
  </si>
  <si>
    <t>Refactoring: Improving the Design of Existing Code</t>
  </si>
  <si>
    <t>Martin Fowler</t>
  </si>
  <si>
    <t>Martin_Fauler_-_Refaktoring_Uluchshenie_suschestvuyuschego_koda.pdf</t>
  </si>
  <si>
    <t>Эта книга Мартина Фаулера посвящена рефакторингу — процессу улучшения внутренней структуры существующего программного кода без изменения его внешнего поведения. Ключевые концепции включают каталог из десятков проверенных техник рефакторинга, таких как «Извлечение метода» и «Замена условного оператора полиморфизмом», а также принципы работы с «запахами кода». Издание предназначено для практикующих разработчиков и программистов среднего уровня, стремящихся писать более чистый, поддерживаемый и гибкий код.</t>
  </si>
  <si>
    <t>Объектно-ориентированное мышление</t>
  </si>
  <si>
    <t>Вайсфельд М.</t>
  </si>
  <si>
    <t>Obektno-orientirovannoe_myshlenie.pdf</t>
  </si>
  <si>
    <t>Книга Мэтта Вайсфельда посвящена освоению объектно-ориентированного мышления как фундаментального подхода, лежащего в основе современных языков программирования. Автор подчеркивает, что для эффективного использования ООП необходимо в первую очередь изменить образ мыслей, а не фокусироваться на изучении конкретного языка. Ключевые разделы охватывают базовые и продвинутые концепции, проектирование классов, наследование, работу с фреймворками, создание объектных моделей и шаблоны проектирования. Книга предназначена для разработчиков-новичков, которые хотят освоить правильные методики проектирования и повторного использования кода.</t>
  </si>
  <si>
    <t>OpenXML на русском</t>
  </si>
  <si>
    <t>Воутер Ван Вугт</t>
  </si>
  <si>
    <t>OpenXML на русском.pdf</t>
  </si>
  <si>
    <t>Книга посвящена формату Open XML — международному стандарту (Ecma 376) для описания текстовых документов, электронных таблиц и презентаций, основанному на XML, ZIP и XML-Schema. Ключевые концепции включают переход от двоичных форматов к самоописывающей информации, обеспечение интероперабельности, открытости и повторного использования данных, а также практическую реализацию концепции активного документа. Издание предназначено для разработчиков и специалистов, желающих создавать собственные офисные приложения или интегрировать функциональность Microsoft Office, и требует технической подготовки.</t>
  </si>
  <si>
    <t>Nim in Action</t>
  </si>
  <si>
    <t>Dominik Picheta</t>
  </si>
  <si>
    <t>Picheta_Nim-in-Action.pdf</t>
  </si>
  <si>
    <t>Фрагмент книги «Nim in Action» Доминика Пичеты представляет собой справочное руководство по языку программирования Nim, охватывающее основные конструкции, типы данных, управляющие структуры, ввод-вывод и определение типов. Ключевые разделы включают синтаксис языка, работу с коллекциями, обработку исключений, а также практические темы, такие как сетевое программирование, параллелизм и управление пакетами через Nimble. Книга предназначена для разработчиков, уже знакомых с основами программирования, которые хотят изучить Nim для создания эффективных и производительных приложений.</t>
  </si>
  <si>
    <t>Practical Guide To Computer Algorithms Using Python And C#</t>
  </si>
  <si>
    <t>Lane, Ronald</t>
  </si>
  <si>
    <t>Practical_Guide_To_Computer_Algorithms_Using_Python_And_C#_2022.pdf</t>
  </si>
  <si>
    <t>Книга представляет собой практическое руководство по компьютерным алгоритмам с примерами реализации на языках Python и C#. В ней рассматриваются ключевые концепции, такие как сортировка, поиск, графовые алгоритмы и структуры данных. Издание предназначено для читателей с начальным или средним уровнем подготовки, желающих углубить понимание алгоритмов через написание кода.</t>
  </si>
  <si>
    <t>Programming with GitHub Copilot</t>
  </si>
  <si>
    <t>Kurt Dowswell</t>
  </si>
  <si>
    <t>Programming with GitHub Copilot_True.pdf</t>
  </si>
  <si>
    <t>Книга Курта Даусвелла «Programming with GitHub Copilot» посвящена практическому использованию ИИ-ассистента GitHub Copilot для повышения продуктивности разработки. В ней рассматриваются ключевые функции инструмента, включая автодополнение кода, работу с чатом, написание тестов, диагностику ошибок, рефакторинг и усиление безопасности кода. Издание предназначено для разработчиков разного уровня, от новичков до опытных специалистов, желающих освоить современные методы ускорения циклов разработки и внедрения практик DevSecOps.</t>
  </si>
  <si>
    <t>Programming with OpenSCAD</t>
  </si>
  <si>
    <t>Justin Gohde; Marius Kintel</t>
  </si>
  <si>
    <t>Programming_with_OpenSCAD_A_Beginner's.pdf</t>
  </si>
  <si>
    <t>Эта книга представляет собой практическое руководство по созданию трёхмерных моделей для 3D-печати с помощью языка программирования OpenSCAD. Она последовательно знакомит читателя с основами 3D-рисования, трансформацией фигур, работой с 2D-формами, циклами, переменными, модулями и условными операторами, а также с проектированием крупных проектов. Издание предназначено для начинающих пользователей, желающих освоить программирование для создания трёхмерных объектов.</t>
  </si>
  <si>
    <t>Chisty kod</t>
  </si>
  <si>
    <t>Robert C. Martin</t>
  </si>
  <si>
    <t>Robert_Martin_-_Chisty_kod.pdf</t>
  </si>
  <si>
    <t>Книга Роберта Мартина «Чистый код» посвящена принципам и практикам написания читаемого, поддерживаемого и эффективного программного кода. Ключевые концепции включают правила именования переменных и функций, написание качественных комментариев, форматирование кода, обработку ошибок, а также методологии рефакторинга и тестирования (TDD). Издание предназначено для программистов среднего и продвинутого уровня, стремящихся повысить профессиональное мастерство и улучшить качество своей работы.</t>
  </si>
  <si>
    <t>Idealny programmist</t>
  </si>
  <si>
    <t>Robert Martin</t>
  </si>
  <si>
    <t>Piter</t>
  </si>
  <si>
    <t>Robert_Martin_-_Idealny_programmist.pdf</t>
  </si>
  <si>
    <t>Книга Роберта Мартина «Идеальный программист» посвящена профессиональному подходу к разработке программного обеспечения, где главным приоритетом является качество кода. Ключевые концепции включают ответственность за код, умение говорить «нет» нереалистичным требованиям, использование разработки через тестирование, рефакторинг и стратегии тестирования. Издание предназначено для программистов любого уровня, стремящихся стать профессионалами и освоить методы создания надежного и поддерживаемого ПО.</t>
  </si>
  <si>
    <t>Software Durability Concepts and Practices</t>
  </si>
  <si>
    <t>Rajeev Kumar</t>
  </si>
  <si>
    <t>Software Durability_Concepts and Practices(долговечность).pdf</t>
  </si>
  <si>
    <t>Книга «Software Durability: Concepts and Practices» посвящена концепции долговечности программного обеспечения как ключевого фактора его качества и эффективности, наряду с безопасностью и производительностью. Авторы исследуют атрибуты долговечности, приводят реальные примеры проблем и решений, а также подчеркивают, что игнорирование этого аспекта ведет к отказам после развертывания и потере доверия пользователей. Издание предназначено для разработчиков и практикующих специалистов, стремящихся создавать устойчивое и надежное ПО, способное снизить затраты на сопровождение.</t>
  </si>
  <si>
    <t>Software Engineering, Second Edition</t>
  </si>
  <si>
    <t>David C. Kung</t>
  </si>
  <si>
    <t>Software Engineering_2Ed_True.pdf</t>
  </si>
  <si>
    <t>Книга Дэвида Кунга «Software Engineering, Second Edition» представляет собой всестороннее учебное пособие по программной инженерии, охватывающее полный жизненный цикл разработки ПО. Ключевые разделы включают системную инженерию, анализ и архитектурное проектирование, моделирование различных типов систем (интерактивных, событийно-управляемых, трансформационных), применение паттернов проектирования, обеспечение качества и тестирование, а также управление проектами и безопасность. Издание предназначено для студентов и практикующих специалистов, желающих углубить знания в области методологий, процессов и современных практик разработки программного обеспечения.</t>
  </si>
  <si>
    <t>Software Mistakes and Tradeoffs</t>
  </si>
  <si>
    <t>Tomasz Lelek; Jon Skeet</t>
  </si>
  <si>
    <t>Software Mistakes an... by Tomasz Lelek.pdf</t>
  </si>
  <si>
    <t>Эта книга посвящена анализу компромиссов и распространенных ошибок при разработке программного обеспечения, помогая разработчикам принимать взвешенные архитектурные решения. Авторы рассматривают ключевые концепции, такие как оптимизация производительности в однопоточном и многопоточном контексте, баланс между гибкостью и сложностью кода, обработка ошибок, работа с датами и временем, а также вопросы версионирования и совместимости API. Издание предназначено для практикующих разработчиков и инженеров среднего и продвинутого уровня, стремящихся углубить понимание последствий выбора тех или иных паттернов проектирования.</t>
  </si>
  <si>
    <t>Software: Ошибки и компромиссы при разработке ПО</t>
  </si>
  <si>
    <t>Томаш Лелек; Джон Скит</t>
  </si>
  <si>
    <t>Software_Ошибки_и_компромиссы_при_разработке_ПО.pdf</t>
  </si>
  <si>
    <t>Книга «Software: Ошибки и компромиссы при разработке ПО» посвящена анализу компромиссов, неизбежных при проектировании программного обеспечения, и поиску правильных решений в условиях баланса между скоростью, безопасностью, затратами и функциональностью. Авторы на реальных примерах разбирают типичные ошибки, такие как дублирование кода, обработка ошибок, преждевременная оптимизация и управление версиями, предлагая практические паттерны для их исправления. Издание ориентировано на практикующих разработчиков и специалистов среднего уровня, стремящихся улучшить свои навыки проектирования и избежать дорогостоящих просчетов.</t>
  </si>
  <si>
    <t>Tekhnologia_razrabotki_programmnogo_obespechenia_2019_Gnidenko.pdf</t>
  </si>
  <si>
    <t>Книга посвящена методологии и процессам разработки программного обеспечения, охватывая ключевые этапы жизненного цикла ПО. В ней рассматриваются такие концепции, как модели разработки (каскадная, итеративная, гибкие методологии), управление требованиями, проектирование архитектуры, тестирование и документирование. Издание ориентировано на студентов технических специальностей и начинающих специалистов в области IT, желающих освоить системный подход к созданию программных продуктов.</t>
  </si>
  <si>
    <t>The Book of Batch Scripting</t>
  </si>
  <si>
    <t>Jack McLarney</t>
  </si>
  <si>
    <t>The Book of Batch Scripting.pdf</t>
  </si>
  <si>
    <t>Эта книга представляет собой практическое руководство по языку пакетного скриптинга (Batch) в Windows, охватывающее все этапы — от основ работы с переменными, условиями и циклами до продвинутых тем, таких как рекурсия, обработка файлов и написание отчетов. Ключевые разделы включают работу с переменными и областями видимости, условное выполнение, типы данных, команды для работы с файлами и каталогами, а также подробный разбор команды `for` и её опций. Издание предназначено как для новичков, желающих освоить автоматизацию задач в командной строке, так и для опытных специалистов, стремящихся углубить свои знания в пакетном программировании.</t>
  </si>
  <si>
    <t>The Rules of Programming</t>
  </si>
  <si>
    <t>Zimmerman, Chris</t>
  </si>
  <si>
    <t>The Rules of Programming_True.pdf</t>
  </si>
  <si>
    <t>Книга Криса Циммермана «The Rules of Programming» представляет собой сборник из 21 практического правила, которые помогают программистам писать более качественный и надежный код. Ключевые концепции включают такие принципы, как «Простота, но не проще», «Ошибки заразны», «Хорошее имя — лучшая документация» и «Оптимизация — не первая задача». Издание предназначено как для новичков, так и для опытных разработчиков, предлагая полезные уроки для любого уровня мастерства.</t>
  </si>
  <si>
    <t>The Super Programmer</t>
  </si>
  <si>
    <t>The Super Programmer_A colorful introduction.pdf</t>
  </si>
  <si>
    <t>Книга «The Super Programmer» представляет собой красочное введение в компьютерные науки, охватывающее путь от физических основ (электроны, схемы, логические вентили) до высокоуровневых тем, таких как операционные системы, обработка звука и компьютерная графика. Ключевые разделы включают «Build!» (аппаратное обеспечение и низкоуровневое программирование), «Hear!» (цифровой звук и синтез) и «See!» (изображения, 3D-рендеринг и фракталы). Книга предназначена для любознательных новичков и энтузиастов, желающих понять, как работают компьютеры изнутри, от транзисторов до графики.</t>
  </si>
  <si>
    <t>Tidy First?</t>
  </si>
  <si>
    <t>Tidy First_Final.pdf</t>
  </si>
  <si>
    <t>Книга Кента Бека «Tidy First?» посвящена практическим методам улучшения программного кода через небольшие, постепенные изменения, фокусируясь на дизайне и читаемости, а не на инструментах. Ключевая концепция — приоритет человеческих отношений через код и превращение сложного кода в более простую форму с помощью теории связности и сцепления. Книга предназначена для профессиональных программистов любого уровня, от новичков до опытных специалистов, работающих с реальными проектами.</t>
  </si>
  <si>
    <t>Vaysfeld_Объектно-ориентированное мышление.pdf</t>
  </si>
  <si>
    <t>Книга Мэтта Вайсфельда посвящена основам объектно-ориентированного программирования и, в первую очередь, формированию правильного подхода к проектированию, который автор называет «объектно-ориентированным мышлением». В ней рассматриваются фундаментальные концепции ООП, анатомия классов, принципы наследования и композиции, а также практические темы, такие как работа с XML, JSON, базами данных и шаблоны проектирования. Издание предназначено для новичков, которые хотят освоить парадигму ООП до перехода к изучению конкретных языков программирования.</t>
  </si>
  <si>
    <t>What Every Engineer Should Know about Software Engineering</t>
  </si>
  <si>
    <t>Phillip A. Laplante</t>
  </si>
  <si>
    <t>What_Every_Engineer_Should_Know_about_Software_Eng.pdf</t>
  </si>
  <si>
    <t>Книга представляет собой практическое руководство по разработке качественного программного обеспечения, написанное в формате вопросов и ответов. Она охватывает ключевые концепции и процессы, такие как гибкие методологии, разработка требований, архитектура, проектирование и конструирование ПО, а также новые разделы по кибербезопасности и прорывным технологиям. Издание предназначено для широкого круга инженеров из разных дисциплин, которые работают с программным обеспечением, включая тех, кто хочет лучше взаимодействовать с разработчиками и снижать затраты на разработку.</t>
  </si>
  <si>
    <t>Write Great Code, Volume 3</t>
  </si>
  <si>
    <t>Randall Hyde</t>
  </si>
  <si>
    <t>Write_Great_Code_Volume_3_Engineering_software.epub</t>
  </si>
  <si>
    <t>Эта книга Рэндалла Хайда из серии «Write Great Code» посвящена инженерным аспектам разработки программного обеспечения, выходящим за рамки написания кода. Ключевые разделы охватывают методологии разработки, управление продуктивностью, использование UML для проектирования, а также создание системной, требовательной и тестовой документации. Издание предназначено для опытных программистов, стремящихся повысить своё мастерство и перейти от рядового разработчика к уровню инженера, способного создавать качественное и надёжное ПО.</t>
  </si>
  <si>
    <t>Introduction to Logic Programming</t>
  </si>
  <si>
    <t>Michael Genesereth; Vinay K. Chaudhri</t>
  </si>
  <si>
    <t>Введение в логическое программирование.zip</t>
  </si>
  <si>
    <t>Книга Майкла Дженесерета и Виная К. Чаудри «Введение в логическое программирование» знакомит с парадигмой программирования, основанной на символической логике, где программы представляют собой наборы логических предложений. В издании рассматриваются базовые понятия (наборы данных, запросы, обновления), а также практическое применение вычислительной логики в дедуктивных базах данных и бизнес-логике. Книга предназначена для программистов различной квалификации, студентов и всех, кто хочет освоить логическое программирование с нуля.</t>
  </si>
  <si>
    <t>Введение в профессию Том 4 Парадигмы</t>
  </si>
  <si>
    <t>Введение в профессию Том 4 Парадигмы.pdf</t>
  </si>
  <si>
    <t>A Data-Centric Introduction to Computing</t>
  </si>
  <si>
    <t>Kathi Fisler; Shriram Krishnamurthi; Benjamin S. Lerner; Joe Gibbs Politz</t>
  </si>
  <si>
    <t>Введение_в_программирование_и_структуры_данных.pdf</t>
  </si>
  <si>
    <t>Эта книга представляет собой введение в программирование и структуры данных, основанное на практическом подходе к созданию надежного и читаемого кода. Ключевая концепция — составление плана решения задачи, начиная с определения структур данных и написания тестов, и только затем переходя к коду. В книге рассматриваются такие темы, как работа с числами, строками, изображениями, именование значений и создание функций. Издание предназначено для студентов вузов и всех, кто хочет изучить современное программирование с нуля.</t>
  </si>
  <si>
    <t>Введение в рекурсивное программирование</t>
  </si>
  <si>
    <t>Введение_в_рекурсивное_программирование.pdf</t>
  </si>
  <si>
    <t>Книга представляет собой всестороннее введение в рекурсию как фундаментальное понятие информатики и ключевой метод программирования. В ней подробно разбираются основные типы рекурсии (линейная, хвостовая, множественная), парадигмы «разделяй и властвуй» и перебор с возвратами, а также вопросы взаимосвязи рекурсии и итерации и теоретической оценки стоимости вычислений. Издание предназначено для широкой аудитории: от студентов и преподавателей до программистов-любителей и профессионалов, желающих научиться мыслить и программировать рекурсивно.</t>
  </si>
  <si>
    <t>Разработка требований к программному обеспечению</t>
  </si>
  <si>
    <t>Карл Вигерс; Джой Битти</t>
  </si>
  <si>
    <t>Русская редакция; БХВ-Петербург</t>
  </si>
  <si>
    <t>Виггерс битти Разработа требований к ПО.pdf</t>
  </si>
  <si>
    <t>Книга Карла Вигерса и Джой Битти представляет собой подробное руководство по разработке качественных требований к программному обеспечению, охватывающее проверенные на практике методы их выявления, формулирования, проверки и тестирования. В третьем издании особое внимание уделено новым приемам для проектов гибкой разработки (agile), а также разбираются типичные проблемы, такие как недостаточное вовлечение пользователей и двусмысленные требования. Издание предназначено для широкого круга специалистов — от бизнес-аналитиков и разработчиков до тестировщиков и менеджеров продуктов, стремящихся понять и удовлетворить потребности клиентов.</t>
  </si>
  <si>
    <t>Грокаем функциональное мышление</t>
  </si>
  <si>
    <t>Эрик Норманд</t>
  </si>
  <si>
    <t>Грокаем функциональное мышление.pdf</t>
  </si>
  <si>
    <t>Книга Эрика Нормана «Грокаем функциональное мышление» посвящена применению принципов функционального программирования для упрощения и повышения надёжности кода, особенно в условиях растущей сложности кодовых баз. Ключевая концепция — разделение всего кода на три категории: действия (зависящие от времени вызова), вычисления (детерминированные преобразования) и данные (инертная информация), что позволяет бороться с ошибками синхронизации и дублированием. Издание предназначено для разработчиков среднего и высокого уровня, содержит примеры, иллюстрации и практические задания для закрепления материала.</t>
  </si>
  <si>
    <t>Грокаем функциональное программирование</t>
  </si>
  <si>
    <t>Михал Плахта</t>
  </si>
  <si>
    <t>Грокаем_функциональное_программирование.zip</t>
  </si>
  <si>
    <t>Книга Михала Плахты «Грокаем функциональное программирование» посвящена введению в функциональное программирование (ФП) для программистов, знакомых с объектно-ориентированным подходом. Ключевые концепции включают чистые функции, неизменяемые данные, декларативный стиль, а также практические темы вроде ввода-вывода и параллельной обработки данных. Материал рассчитан на новичков в ФП, объясняя сложные идеи через простые примеры, иллюстрации и упражнения на языке Scala.</t>
  </si>
  <si>
    <t>Делай как в Google. Разработка программного обеспечения</t>
  </si>
  <si>
    <t>Титус Винтерс; Том Маншрек; Хайрам Райт</t>
  </si>
  <si>
    <t>Делай_как_в_Google_Разработка_программного_обеспечения_2021_Том.pdf</t>
  </si>
  <si>
    <t>Книга «Делай как в Google. Разработка программного обеспечения» посвящена различиям между программированием и программной инженерией, а также методам создания и поддержки стабильной кодовой базы на основе опыта Google. Ключевые разделы охватывают три аспекта: культуру (работа в команде, обмен знаниями, лидерство), процессы (код-ревью, тестирование, документация) и инструменты (управление версиями, сборка, статический анализ). Издание предназначено для специалистов в области разработки ПО, стремящихся внедрить лучшие инженерные практики и масштабируемые подходы, а также для тех, кто хочет понять, как ведущие мировые компании управляют сложными проектами.</t>
  </si>
  <si>
    <t>Думай как программист</t>
  </si>
  <si>
    <t>Думай как программист.djvu</t>
  </si>
  <si>
    <t>Книга «Думай как программист» посвящена развитию алгоритмического мышления и навыков решения задач, а не изучению конкретного языка программирования. Ключевые концепции включают декомпозицию задач, распознавание шаблонов, абстракцию и пошаговое построение алгоритмов. Издание предназначено для начинающих программистов и всех, кто хочет научиться структурированно подходить к сложным проблемам.</t>
  </si>
  <si>
    <t>Pearls of Functional Algorithm Design</t>
  </si>
  <si>
    <t>Richard Bird</t>
  </si>
  <si>
    <t>Жемчужины_проектирования_алгоритмов 2013.pdf</t>
  </si>
  <si>
    <t>Эта книга Ричарда Бёрда посвящена проектированию алгоритмов с использованием функционального подхода и языка Haskell, где каждое решение формально выводится из постановки задачи через эквациональные рассуждения. Основное содержание разделено на 30 коротких глав-«жемчужин», каждая из которых решает конкретную задачу из таких областей, как игры, комбинаторика, сжатие данных и сопоставление строк. Ключевая концепция книги — переход от неэффективной функциональной спецификации к эффективному алгоритму посредством формальных преобразований. Издание предназначено для программистов, увлекающихся функциональным программированием, студентов, аспирантов и преподавателей, интересующихся принципами проектирования алгоритмов, то есть для специалистов среднего и продвинутого уровня.</t>
  </si>
  <si>
    <t>Программирование: типовые задачи, алгоритмы, методы</t>
  </si>
  <si>
    <t>Златопольский Д. М.</t>
  </si>
  <si>
    <t>Златопольский Programmirovanie_Tipovye_zadachi_algoritmy_metody_2015.pdf</t>
  </si>
  <si>
    <t>Книга Д. Златопольского посвящена методике решения типовых задач программирования, не привязанной к конкретному языку, с примерами на школьном алгоритмическом языке. В представленном фрагменте рассматривается проблема выбора между эффективностью, размером и понятностью программы на примере алгоритмов поиска наибольшего общего делителя (НОД), включая метод перебора и алгоритм Евклида. Издание предназначено для школьников, студентов, начинающих изучать программирование, а также для преподавателей и участников олимпиад.</t>
  </si>
  <si>
    <t>Сборник задач по программированию</t>
  </si>
  <si>
    <t>Д. М. Златопольский</t>
  </si>
  <si>
    <t>Златопольский Sbornik_zadach_po_programmirovaniyu.pdf</t>
  </si>
  <si>
    <t>Это сборник задач по программированию, охватывающий все основные темы курса: от ввода и вывода данных и оператора присваивания до циклов, условных операторов и целочисленной арифметики. Книга содержит более 1700 задач разного уровня сложности, многие из которых даны в двух вариантах для организации контрольных работ. Материал не привязан к конкретному языку программирования и предназначен для школьников, студентов колледжей и вузов, а также для самостоятельного изучения программирования с нуля.</t>
  </si>
  <si>
    <t>1400 задач по программированию</t>
  </si>
  <si>
    <t>Златопольский_Д_М_1400_задач_по_программированию_2020.pdf</t>
  </si>
  <si>
    <t>Книга представляет собой сборник из более чем 1400 задач по программированию, охватывающих широкий спектр тем — от простых вычислений по формулам до работы с массивами, строками, процедурами и функциями. Задачи не привязаны к конкретному языку и могут быть решены на Pascal, Python, C и других языках. Издание предназначено для широкой аудитории: от новичков, самостоятельно изучающих программирование, до студентов IT-специальностей и преподавателей школ, колледжей и вузов.</t>
  </si>
  <si>
    <t>Знакомство с программированием на языке Processing</t>
  </si>
  <si>
    <t>Кейси Риас; Бен Фрай</t>
  </si>
  <si>
    <t>Знакомство с программированием.pdf</t>
  </si>
  <si>
    <t>Это руководство по языку Processing, написанное его создателями, посвящено основам программирования для создания интерактивной графики. Книга последовательно охватывает такие темы, как рисование фигур, работа с данными, управление с помощью мыши и клавиатуры, а также загрузка мультимедиа, используя метод «обучение через практику» с подробными примерами и кодом. Издание предназначено как для новичков, так и для опытных программистов, желающих освоить создание игр, анимации и интерфейсов.</t>
  </si>
  <si>
    <t>Отъявленный программист: лайфхакинг из первых рук</t>
  </si>
  <si>
    <t>Игорь Савчук</t>
  </si>
  <si>
    <t>Игорь_Савчук_Отъявленный_программист_лайфхакинг_из_первых_рук_2016.pdf</t>
  </si>
  <si>
    <t>Книга Игоря Савчука представляет собой сборник интервью с известными программистами, системными администраторами и другими IT-специалистами, объединённых идеей использования увлечённости профессией как инструмента для личностного и карьерного роста. В издании рассматриваются различные взгляды на работу, свободу в программировании, информационную безопасность и карьерные стратегии, а ключевые разделы включают беседы с Ричардом Столлманом, Крисом Касперски и другими представителями компьютерной субкультуры. Книга предназначена для широкого круга читателей, интересующихся IT-сферой, от новичков до опытных специалистов, желающих взглянуть на профессию с нестандартной стороны.</t>
  </si>
  <si>
    <t>About Face: The Essentials of Interaction Design</t>
  </si>
  <si>
    <t>Alan Cooper; Robert Reimann; David Cronin; Christopher Noessel</t>
  </si>
  <si>
    <t>Интерфейс.pdf</t>
  </si>
  <si>
    <t>Книга «Интерфейс. Основы проектирования взаимодействия» Алана Купера и соавторов посвящена целеориентированному проектированию интерактивных цифровых продуктов, где в центре внимания находятся цели, ожидания и поведение пользователей. Ключевые концепции включают процесс проектирования (от исследований и моделирования персонажей до определения требований и детализации), цифровой этикет, оптимизацию для пользователей среднего уровня, а также проектирование для различных платформ (настольные системы, мобильные устройства, Интернет). Издание предназначено для профессионалов в области проектирования взаимодействия, разработчиков и дизайнеров, стремящихся создавать удобные и эффективные цифровые продукты.</t>
  </si>
  <si>
    <t>The Art of WebAssembly</t>
  </si>
  <si>
    <t>Rick Battagline</t>
  </si>
  <si>
    <t>Искусство WebAssembly -2022.pdf</t>
  </si>
  <si>
    <t>Книга Рика Баттальини посвящена технологии WebAssembly — компактному межплатформенному инструменту для создания высокопроизводительных веб-приложений. В ней рассматриваются принципы оптимизации, компиляции и отладки низкоуровневого кода, а также работа с текстовым форматом WAT и взаимодействие WebAssembly с JavaScript. Издание охватывает практические темы, включая создание браузерной программы обнаружения столкновений и технологии рендеринга графики. Книга предназначена для веб-разработчиков, желающих освоить создание и развертывание приложений на основе WebAssembly.</t>
  </si>
  <si>
    <t>Искусство дизассемблирования</t>
  </si>
  <si>
    <t>Искусство дизассемблирования.djvu</t>
  </si>
  <si>
    <t>Книга посвящена методам и инструментам дизассемблирования, то есть обратной инженерии исполняемых файлов. В ней рассматриваются ключевые концепции анализа машинного кода, структуры исполняемых файлов (PE, ELF), а также приёмы восстановления логики программ. Издание ориентировано на специалистов в области информационной безопасности и разработчиков низкоуровневого ПО, имеющих базовые знания ассемблера и архитектуры процессора.</t>
  </si>
  <si>
    <t>Искусство программирования</t>
  </si>
  <si>
    <t>Кнут, Дональд Э.</t>
  </si>
  <si>
    <t>Искусство программирования - Кнут.zip</t>
  </si>
  <si>
    <t>Фрагмент текста отсутствует, поэтому невозможно определить содержимое книги. Пожалуйста, предоставьте текст для анализа.</t>
  </si>
  <si>
    <t>Искусство чистого кода.pdf</t>
  </si>
  <si>
    <t>Книга Кристиана Майера «Искусство чистого кода» посвящена принципам написания простого, понятного и удобного в сопровождении программного кода, главным из которых является борьба со сложностью. Ключевые концепции включают принцип 80/20, создание минимально жизнеспособного продукта (MVP), отказ от преждевременной оптимизации, состояние потока, принципы Unix и фокус на главном. Издание предназначено для разработчиков ПО любого уровня, от новичков до опытных специалистов, стремящихся упростить свою работу и повысить продуктивность.</t>
  </si>
  <si>
    <t>Как стать программистом с нуля</t>
  </si>
  <si>
    <t>Борис Рузанов</t>
  </si>
  <si>
    <t>Как стать программистом с нуля.pdf</t>
  </si>
  <si>
    <t>Эта книга представляет собой практическое руководство для людей без технического образования и опыта, желающих войти в IT и стать программистами. Автор, Senior Android-разработчик, делится личной историей преодоления страхов и ошибок, рассказывает о выборе специальности, оптимизации времени для совмещения учебы с работой и семьей, а также о поиске первой работы. Ключевые разделы охватывают психологические аспекты, выбор курсов и методы эффективного обучения. Книга предназначена для абсолютных новичков, которые хотят освоить программирование с нуля.</t>
  </si>
  <si>
    <t>How to Design Programs</t>
  </si>
  <si>
    <t>Matthias Felleisen; Robert Bruce Findler; Matthew Flatt; Shriram Krishnamurthi</t>
  </si>
  <si>
    <t>Как_проектировать_программы_2022_Фелляйзен,_Финдлер,_Кришнамурт.pdf</t>
  </si>
  <si>
    <t>Книга «Как проектировать программы» посвящена систематическому подходу к созданию программного обеспечения, основанному на планировании и понимании задач на каждом этапе. Ключевые концепции включают фундаментальные понятия проектирования, типы данных, работу с объемными данными, создание абстракций и тестирование. Издание предназначено для профессионалов и энтузиастов программирования, не имеющих опыта систематического проектирования, а также для преподавателей.</t>
  </si>
  <si>
    <t>Cracking the Coding Interview</t>
  </si>
  <si>
    <t>Gayle Laakmann McDowell</t>
  </si>
  <si>
    <t>Карьера программиста.pdf</t>
  </si>
  <si>
    <t>Книга «Карьера программиста» Гэйл Лакман Макдауэлл посвящена подготовке к техническим собеседованиям в ведущие IT-компании, такие как Google, Microsoft и Amazon. Основное содержание составляют 189 задач и вопросов по алгоритмам и структурам данных с подробными решениями, а также описание процесса собеседования, типичных ошибок и методик подготовки. Издание предназначено для программистов и руководителей, планирующих трудоустройство в крупные IT-организации или стартапы, и требует уверенного владения основами разработки.</t>
  </si>
  <si>
    <t>Код,_который_умещается_в_голове_Эвристики_для_разработчиков_2023.pdf</t>
  </si>
  <si>
    <t>Эта книга Марка Симана посвящена практическим эвристикам и методам управления сложностью программного кода, позволяющим разработчикам писать его в устойчивом темпе и избегать выхода проектов из-под контроля. Ключевые разделы охватывают такие концепции, как создание чек-листов, инкапсуляция, декомпозиция, проектирование API, модульное тестирование и организация командной работы. Издание предназначено для практикующих разработчиков, использующих объектно-ориентированные языки (C#, Java, C++, TypeScript), и будет полезно как специалистам среднего уровня, так и опытным программистам.</t>
  </si>
  <si>
    <t>Масштабируемый рефакторинг. Возвращаем контроль над кодом</t>
  </si>
  <si>
    <t>Мод Лемер</t>
  </si>
  <si>
    <t>Масштабируемый рефакторинг кода.pdf</t>
  </si>
  <si>
    <t>Книга Мод Лемер «Масштабируемый рефакторинг» посвящена стратегиям внесения значительных изменений в крупные и сложные кодовые базы. Автор рассматривает причины деградации кода, этапы планирования (оценка состояния, составление плана, получение одобрения, подбор команды) и выполнения рефакторинга (коммуникация, стратегии, закрепление результатов), а также приводит разборы реальных примеров. Издание предназначено для опытных разработчиков и технических лидеров, сталкивающихся с задачей поддержки и модернизации больших приложений.</t>
  </si>
  <si>
    <t>Think Like a Programmer</t>
  </si>
  <si>
    <t>Мировой_компьютерный_бестселлер_Спрол_Антон_Думай_как_программист.pdf</t>
  </si>
  <si>
    <t>Книга Антона Спрола «Думай как программист» посвящена развитию навыков творческого решения задач, а не просто изучению синтаксиса языка. Ключевые разделы включают стратегии решения задач на примере классических головоломок (например, «Лисица, гусь и кукуруза», «Скользящая восьмерка», «Судоку»), а также практические упражнения на языке C++. Издание предназначено для начинающих и中级 программистов, которые хотят научиться структурированному подходу к созданию кода и преодолению сложных проблем.</t>
  </si>
  <si>
    <t>Объекты. Стильное ООП</t>
  </si>
  <si>
    <t>Объекты Стильное ООП.pdf</t>
  </si>
  <si>
    <t>Книга «Объекты. Стильное ООП» Маттиаса Нобака посвящена практикам написания качественного объектно-ориентированного кода, который легко читать, изменять и поддерживать. Ключевые разделы охватывают создание сервисов и других объектов, их изменение, извлечение информации и разделение функций, а также изменение поведения сервисов. Издание предназначено для программистов любого уровня, желающих улучшить свой стиль кодирования, причем все примеры написаны на псевдокоде, что делает книгу универсальной для любого языка.</t>
  </si>
  <si>
    <t>The Practice of Programming</t>
  </si>
  <si>
    <t>Brian W. Kernighan; Rob Pike</t>
  </si>
  <si>
    <t>Практика програмирования_2015.pdf</t>
  </si>
  <si>
    <t>Книга «Практика программирования» Брайана Кернигана и Роба Пайка посвящена принципам профессионального программирования, выходящим за рамки простого написания кода. Ключевые разделы охватывают стиль программирования, алгоритмы и структуры данных, проектирование, отладку, тестирование, оптимизацию быстродействия и переносимость. Издание предназначено для повышения квалификации практикующих программистов, а также будет полезно студентам и преподавателям компьютерных специальностей.</t>
  </si>
  <si>
    <t>Практическое использование Common Lisp</t>
  </si>
  <si>
    <t>Практическое_использование_Common_Lisp.pdf</t>
  </si>
  <si>
    <t>Книга посвящена практическому применению языка Common Lisp для решения реальных задач программирования. В ней рассматриваются ключевые концепции языка, такие как работа с макросами, объектно-ориентированное программирование через CLOS, обработка данных и создание веб-приложений. Издание ориентировано на программистов среднего и продвинутого уровня, уже знакомых с основами Lisp или другими языками, и желающих углубить свои навыки в промышленной разработке.</t>
  </si>
  <si>
    <t>Предметно-ориентированное проектирование DDD. Структуризация сложных</t>
  </si>
  <si>
    <t>Предметно_ориентированное_проектирование_DDD_Структуризация_сложных.pdf</t>
  </si>
  <si>
    <t>Эта книга посвящена методологии предметно-ориентированного проектирования (Domain-Driven Design, DDD), которая помогает структурировать сложные программные системы, фокусируясь на основной бизнес-логике. Ключевые концепции включают единый язык (Ubiquitous Language), стратегическое моделирование предметной области и тактические паттерны, такие как Сущности, Объекты-значения и Агрегаты. Материал ориентирован на опытных разработчиков и архитекторов ПО, стремящихся создавать гибкие и поддерживаемые системы, а не на новичков в программировании.</t>
  </si>
  <si>
    <t>Программирование: теоремы и задачи</t>
  </si>
  <si>
    <t>А. Шень</t>
  </si>
  <si>
    <t>Программироание - задачи.pdf</t>
  </si>
  <si>
    <t>Книга представляет собой сборник задач по программированию различной сложности, направленный на обучение методам построения корректных и эффективных алгоритмов. Ключевые разделы включают работу с переменными, массивами, индуктивными функциями, а также порождение комбинаторных объектов. Издание предназначено для учителей информатики, старшеклассников и студентов младших курсов, а также для занятий в кружках и школах с углублённым изучением математики и информатики.</t>
  </si>
  <si>
    <t>Программирование без дураков</t>
  </si>
  <si>
    <t>Катрин Пассиг; Йоханнес Яндер</t>
  </si>
  <si>
    <t>Программирование без дураков.pdf</t>
  </si>
  <si>
    <t>Эта книга посвящена не столько синтаксису языков программирования, сколько культуре и коммуникации в разработке: стилю кода, именованию, комментированию и работе в команде. Ключевые разделы охватывают договоренности в коде, отладку, рефакторинг, тестирование, выбор инструментов и системы контроля версий. Издание ориентировано как на начинающих, так и на опытных программистов, желающих писать более понятный и качественный код, избегая типичных ошибок.</t>
  </si>
  <si>
    <t>Программирование с помощью искусственного интеллекта.pdf</t>
  </si>
  <si>
    <t>Книга Тома Таулли посвящена практическому применению инструментов искусственного интеллекта на всех этапах разработки программного обеспечения: от планирования и написания кода до тестирования и развертывания. В ней рассматриваются ключевые концепции, такие как использование больших языковых моделей (ChatGPT, Gemini), специализированных систем (GitHub Copilot, Tabnine) и методология модульного программирования в сочетании с ИИ, а также вопросы инженерии промптов и автоматизации. Издание предназначено для широкого круга разработчиков, от новичков до опытных специалистов, желающих освоить современные подходы к программированию с помощью ИИ.</t>
  </si>
  <si>
    <t>Программирование. МатЛог</t>
  </si>
  <si>
    <t>Программирование. МатЛог.pdf</t>
  </si>
  <si>
    <t>Данный фрагмент книги посвящён основам математической логики в контексте программирования. Ключевые концепции включают формальные языки, логические операции и их применение для построения алгоритмов. Материал ориентирован на новичков, изучающих программирование, и требует базовых знаний математики.</t>
  </si>
  <si>
    <t>Программирование. Теория типов</t>
  </si>
  <si>
    <t>Программирование. Теория типов.pdf</t>
  </si>
  <si>
    <t>Данный фрагмент книги посвящён теории типов в программировании — фундаментальной области, изучающей классификацию данных и их взаимосвязи в языках программирования. Ключевые концепции включают статическую и динамическую типизацию, систему типов, а также полиморфизм и вывод типов. Книга предназначена для специалистов и студентов, уже знакомых с основами программирования, которые хотят углубить понимание формальных основ типизации.</t>
  </si>
  <si>
    <t>Программирование_без_дураков_Питер.pdf</t>
  </si>
  <si>
    <t>Книга «Программирование без дураков» Катрин Пассиг и Йоханнеса Яндера посвящена не столько синтаксису языков, сколько культуре программирования, коммуникации и работе с кодом. Ключевые разделы охватывают стиль написания кода, именование переменных, комментирование, отладку, рефакторинг, тестирование, работу в команде и выбор инструментов. Издание предназначено как для начинающих, так и для опытных программистов, желающих избегать распространённых ошибок и писать более качественный и понятный код.</t>
  </si>
  <si>
    <t>The Pragmatic Programmer: 20th Anniversary Edition</t>
  </si>
  <si>
    <t>Программист-прогматик 2020.pdf</t>
  </si>
  <si>
    <t>Фрагмент представляет собой выходные данные и оглавление книги «Программист-прагматик» (второе юбилейное издание) Дэвида Томаса и Эндрю Ханта. Книга посвящена философии и практическим подходам к разработке программного обеспечения, охватывая такие ключевые концепции, как ответственность разработчика, борьба с дублированием (DRY), ортогональность, работа с инструментами, отладка и гибкое проектирование. Издание предназначено для программистов любого уровня — от новичков до опытных специалистов, стремящихся повысить качество своей работы и эффективность.</t>
  </si>
  <si>
    <t>Ч. Фаулер</t>
  </si>
  <si>
    <t>Программист-фанатик.pdf</t>
  </si>
  <si>
    <t>Книга «Программист-фанатик» Чада Фаулера представляет собой сборник практических советов для разработчиков, охватывающий нетехнические аспекты профессии: мотивацию, карьерный рост, отношения с коллегами и руководством. Ключевые разделы включают поиск своего рынка, инвестиции в интеллект и понимание того, что умения писать код недостаточно для успеха. Издание предназначено как для начинающих программистов, желающих быстро построить карьеру, так и для опытных специалистов, стремящихся пересмотреть устоявшиеся взгляды и выйти на новый уровень мастерства.</t>
  </si>
  <si>
    <t>Программная инженерия</t>
  </si>
  <si>
    <t>Программная инженерия.pdf</t>
  </si>
  <si>
    <t>Проектирование ПО Функциональный подход  2013.pdf</t>
  </si>
  <si>
    <t>Книга Ричарда Бёрда посвящена проектированию алгоритмов с использованием функционального подхода и языка Haskell, где каждое решение формально выводится из постановки задачи с помощью эквациональных рассуждений. Основное содержание разделено на 30 коротких глав-«жемчужин», охватывающих такие темы, как сортировка, сжатие данных, сопоставление строк, решение головоломок и комбинаторные задачи. Издание предназначено для программистов, увлекающихся функциональным программированием, студентов и преподавателей, интересующихся принципами проектирования алгоритмов и развитием навыков рассуждений о программах.</t>
  </si>
  <si>
    <t>Путь программиста.pdf</t>
  </si>
  <si>
    <t>Книга Джона Сонмеза «Путь программиста» посвящена построению успешной карьеры в IT, выходя за рамки технических навыков и фокусируясь на человеческих и профессиональных аспектах работы разработчика. Ключевые разделы охватывают карьерное планирование, социальные навыки, прохождение собеседований, фриланс, создание стартапов и личный маркетинг. Издание предназначено для программистов любого уровня, стремящихся лучше понять свою профессию, оставаться востребованными на рынке и получать удовольствие от работы.</t>
  </si>
  <si>
    <t>Регулярные выражения</t>
  </si>
  <si>
    <t>Фридл Дж.</t>
  </si>
  <si>
    <t>Регулярные выражения 2018.pdf</t>
  </si>
  <si>
    <t>Это третье издание международного бестселлера, посвящённого регулярным выражениям. Книга знакомит с фундаментальными основами regex, их механикой и практическими приёмами построения эффективных выражений. Она охватывает применение регулярных выражений в таких языках, как Java, JavaScript, C, C++, C#, Perl, Python, Ruby и PHP. Издание предназначено как для новичков, только открывающих мир regex, так и для профессионалов, желающих оптимизировать работу с данными.</t>
  </si>
  <si>
    <t>Рекурсивная книга о рекурсии</t>
  </si>
  <si>
    <t>Рекурсивная книга.pdf</t>
  </si>
  <si>
    <t>Книга «Рекурсивная книга о рекурсии» Эла Свейгарта посвящена основам и применению рекурсивных алгоритмов, с примерами на Python и JavaScript. Ключевые разделы охватывают классические рекурсивные алгоритмы, поиск с возвратом, обход деревьев, метод «разделяй и властвуй», мемоизацию и динамическое программирование. Издание предназначено для программистов, готовящихся к собеседованиям, и специалистов, желающих углубить понимание рекурсии.</t>
  </si>
  <si>
    <t>Code Craft: The Practice of Writing Excellent Code</t>
  </si>
  <si>
    <t>Pete Goodliffe</t>
  </si>
  <si>
    <t>Ремесло_программиста_Практика_написания_хорошего_кода.pdf</t>
  </si>
  <si>
    <t>Книга Питера Гудлифа «Ремесло программиста» посвящена практическим аспектам написания качественного, надежного и понятного кода в условиях промышленной разработки ПО. Ключевые концепции включают защитное программирование, выбор стиля кода, обработку ошибок и эффективную работу в команде. Издание предназначено для опытных программистов и студентов старших курсов, которые уже умеют писать код, но хотят научиться делать это профессионально.</t>
  </si>
  <si>
    <t>Martin Fowler; Kent Beck; John Brant; William Opdyke; Don Roberts</t>
  </si>
  <si>
    <t>Рефакторинг улучшение проекта.pdf</t>
  </si>
  <si>
    <t>Это книга Мартина Фаулера, посвященная рефакторингу — процессу улучшения внутренней структуры существующего программного кода без изменения его внешнего поведения. В ней подробно разбираются принципы рефакторинга, каталог конкретных техник (например, выделение метода, замена условной логики полиморфизмом), а также признаки «запахов кода», указывающие на необходимость изменений. Материал ориентирован на практикующих разработчиков и специалистов среднего и продвинутого уровня, которые хотят научиться делать код более понятным, гибким и поддерживаемым.</t>
  </si>
  <si>
    <t>Ричард_Берд_Жемчужины_проектирования_алгоритмов_функциональный_подход.pdf</t>
  </si>
  <si>
    <t>Эта книга Ричарда Бёрда посвящена проектированию алгоритмов с использованием функционального подхода и языка Haskell. Ключевая концепция — формальный вывод эффективных программ из исходных спецификаций с помощью эквациональных рассуждений. Книга состоит из 30 коротких глав-«жемчужин», каждая из которых решает конкретную задачу из таких областей, как комбинаторика, сжатие данных, поиск и игры. Издание предназначено для программистов, интересующихся функциональным программированием, студентов и специалистов, желающих освоить навыки рассуждений о программах.</t>
  </si>
  <si>
    <t>Роберт Мартин рекомендует. Код, который умещается в голове: эвристики для разработчиков</t>
  </si>
  <si>
    <t>Роберт Мартин рекомендует.pdf</t>
  </si>
  <si>
    <t>Книга Марка Симана «Код, который умещается в голове» посвящена практическим эвристикам и методам управления сложностью в разработке программного обеспечения, позволяющим писать код в устойчивом темпе и избегать выхода проектов из-под контроля. Ключевые разделы охватывают создание чек-листов, инкапсуляцию, декомпозицию, проектирование API, модульное тестирование и организацию командной работы. Издание предназначено для разработчиков, владеющих любым объектно-ориентированным языком (C#, Java, C++, TypeScript), и будет полезно как специалистам среднего уровня, так и опытным программистам, стремящимся улучшить качество кода и рабочие процессы.</t>
  </si>
  <si>
    <t>Совершенный софт: Совершенный софт – совершенная карьера</t>
  </si>
  <si>
    <t>Лёве Джувел</t>
  </si>
  <si>
    <t>Совершенный софт.pdf</t>
  </si>
  <si>
    <t>Книга Джувела Лёве «Совершенный софт» посвящена структурированному и высокотехнологичному подходу к разработке программного обеспечения, объединяющему проектирование систем и планирование проектов. Ключевые разделы охватывают декомпозицию, структуру и композицию системы, а также методы оценки времени, затрат и рисков для запуска проекта. Издание предназначено для профессионалов — разработчиков, архитекторов, руководителей проектов и менеджеров на любом этапе карьеры.</t>
  </si>
  <si>
    <t>Оформление программного кода</t>
  </si>
  <si>
    <t>Столяров А.В.</t>
  </si>
  <si>
    <t>СтоляровАВ_Оформление_программного_кода.pdf</t>
  </si>
  <si>
    <t>Книга посвящена основным принципам оформления программного кода, направленным на повышение его читаемости и доступности для анализа человеком. В пособии рассматриваются такие ключевые концепции, как разбиение программ на модули и подсистемы, различные стили расстановки структурных отступов и незначащих пробелов, а также выбор имен идентификаторов. Издание предназначено для студентов программистских специальностей, преподавателей и практикующих программистов.</t>
  </si>
  <si>
    <t>Страницы истории отечественных ИТ</t>
  </si>
  <si>
    <t>Страницы истории отечественных ИТ.zip</t>
  </si>
  <si>
    <t>Книга «Страницы истории отечественных ИТ» посвящена истории развития информационных технологий в России и СССР, охватывая ключевые этапы, достижения и персоналии. В ней рассматриваются такие концепции, как создание первых советских ЭВМ, развитие программирования и вычислительных систем, а также вклад отечественных учёных в мировую IT-сферу. Издание предназначено для широкого круга читателей, интересующихся историей науки и техники, включая студентов, специалистов и всех, кто хочет понять истоки современных технологий в России.</t>
  </si>
  <si>
    <t>Москвитин А.А.</t>
  </si>
  <si>
    <t>РИА-КМВ</t>
  </si>
  <si>
    <t>Это учебное пособие по дисциплине «Программирование», посвященное структурам данных и алгоритмам. Ключевые разделы охватывают классификацию структур (статические, полустатические, динамические, файловые), работу с абстрактными типами данных, а также методы разработки и оценки сложности алгоритмов. Книга предназначена для студентов, изучающих computer science и программирование, то есть для начального и среднего уровня подготовки.</t>
  </si>
  <si>
    <t>Тайная жизнь программ. Как создать код, который понравится вашему компьютеру</t>
  </si>
  <si>
    <t>Джонатан Стейнхарт</t>
  </si>
  <si>
    <t>Тайная_жизнь_программ_Как_создать_код,_который_понравится_вашему.pdf</t>
  </si>
  <si>
    <t>Книга Джонатана Стейнхарта «Тайная жизнь программ» посвящена фундаментальным принципам работы компьютеров и тому, как понимание аппаратного обеспечения помогает писать более качественный и эффективный код. Ключевые разделы охватывают внутренний язык компьютеров, логику, архитектуру, организацию данных, безопасность и машинный интеллект. Издание предназначено для программистов-профессионалов, желающих углубить свои знания о низкоуровневых процессах, происходящих при выполнении программ.</t>
  </si>
  <si>
    <t>Теория_Программирования_Станислав_Лезвиев_2</t>
  </si>
  <si>
    <t>User</t>
  </si>
  <si>
    <t>Теория_Программирования_Станислав_Лезвиев_2.pdf</t>
  </si>
  <si>
    <t>Эта книга представляет собой введение в теорию программирования, основанное на личном опыте автора. В ней рассматриваются фундаментальные концепции: алгоритмы, типы данных, функции, условия и циклы, а также инструменты разработки (IDE, компиляторы) и основные направления (фронтенд, бекенд, нейросети). Материал предназначен для абсолютных новичков, которые хотят понять, что такое программирование, как работают языки программирования и где они применяются в повседневной жизни.</t>
  </si>
  <si>
    <t>Технология CUDA</t>
  </si>
  <si>
    <t>Технология CUDA.pdf</t>
  </si>
  <si>
    <t>Данный фрагмент книги посвящен технологии параллельных вычислений CUDA от компании NVIDIA. В нем рассматриваются ключевые концепции, такие как архитектура графических процессоров (GPU), модель программирования с использованием ядер (kernels), иерархия памяти и организация потоков (threads) и блоков (blocks). Книга предназначена для разработчиков и специалистов, уже знакомых с основами программирования на C/C++, которые хотят освоить высокопроизводительные вычисления на GPU.</t>
  </si>
  <si>
    <t>Технология программирования</t>
  </si>
  <si>
    <t>Технология_программирования.pdf</t>
  </si>
  <si>
    <t>Данный фрагмент книги «Технология программирования» посвящён основам разработки программного обеспечения. Ключевые концепции включают этапы жизненного цикла ПО, методы структурного и модульного программирования, а также принципы тестирования и отладки. Издание ориентировано на студентов и начинающих специалистов в области информатики и программирования.</t>
  </si>
  <si>
    <t>Том 2. Низкоуровневое программирование</t>
  </si>
  <si>
    <t>Том_2_Низкоуровневое_программирование.pdf</t>
  </si>
  <si>
    <t>The Programmer’s Brain</t>
  </si>
  <si>
    <t>Felienne Hermans</t>
  </si>
  <si>
    <t>Ум программиста.pdf</t>
  </si>
  <si>
    <t>Книга Фелин Херманс «Ум программиста» посвящена применению когнитивистики для улучшения навыков чтения, понимания и написания кода. В ней рассматриваются три типа замешательства при работе с кодом (недостаток знаний, информации и вычислительной мощности), а также роль долговременной, кратковременной и рабочей памяти в процессе программирования. Ключевые разделы включают методы снижения когнитивной нагрузки, приемы именования и поддержки читаемости кода, а также мнемонические техники для изучения новых языков. Книга предназначена для программистов и IT-специалистов любого уровня, от новичков до опытных разработчиков.</t>
  </si>
  <si>
    <t>Рефакторинг: улучшение проекта существующего кода</t>
  </si>
  <si>
    <t>Мартин Фаулер; Кент Бек; Джон Брант; Уильям Опдайк; Дон Робертс</t>
  </si>
  <si>
    <t>Фаулер_М_Рефакторинг_Улучшение_проекта_2019.pdf</t>
  </si>
  <si>
    <t>Книга Мартина Фаулера «Рефакторинг: улучшение проекта существующего кода» посвящена методике улучшения внутренней структуры программного кода без изменения его внешнего поведения. Ключевые концепции включают определение рефакторинга, принципы его выполнения, каталог конкретных техник (например, составление методов, перенос функциональности, упрощение условных выражений) и диагностику «запахов кода», указывающих на необходимость изменений. Издание предназначено для практикующих разработчиков и специалистов среднего и продвинутого уровня, стремящихся повысить качество и поддерживаемость существующих программных проектов.</t>
  </si>
  <si>
    <t>Регулярные выражения. Основы</t>
  </si>
  <si>
    <t>Фицджеральд М.</t>
  </si>
  <si>
    <t>Фицджеральд М. - Регулярные выражения. Основы - 2015.djvu</t>
  </si>
  <si>
    <t>Книга Майкла Фицджеральда «Регулярные выражения. Основы» представляет собой вводное руководство по работе с регулярными выражениями — мощным инструментом для поиска и обработки текста. В ней последовательно разбираются базовые концепции: синтаксис шаблонов, метасимволы, квантификаторы, группы и классы символов, а также практические примеры их применения. Материал ориентирован на начинающих программистов и специалистов, которые хотят освоить регулярные выражения с нуля без углубления в сложные теоретические аспекты.</t>
  </si>
  <si>
    <t>Читаемый код, или Программирование как искусство</t>
  </si>
  <si>
    <t>Д. Босуэлл; Т. Фаучер</t>
  </si>
  <si>
    <t>Читаемый_код,_или_Программирование_как_искусство.pdf</t>
  </si>
  <si>
    <t>Книга «Читаемый код, или Программирование как искусство» Д. Босуэлла и Т. Фаучера посвящена принципам написания понятного и поддерживаемого программного кода. Основное внимание уделяется практическим приёмам: выбору имён переменных, оформлению логических выражений, структурированию функций и комментированию. Ключевые разделы охватывают упрощение кода, уменьшение когнитивной нагрузки и рефакторинг. Издание ориентировано на программистов любого уровня — от новичков до опытных специалистов, желающих улучшить качество своего кода.</t>
  </si>
  <si>
    <t>Шень А.</t>
  </si>
  <si>
    <t>Шень - программирование и задачи.pdf</t>
  </si>
  <si>
    <t>Книга представляет собой сборник задач по программированию различной сложности с решениями, нацеленный на обучение методам построения корректных и эффективных алгоритмов. Ключевые разделы охватывают работу с переменными, массивами, индуктивными функциями и порождение комбинаторных объектов. Издание предназначено для учителей информатики, старшеклассников и студентов младших курсов, а также для занятий на кружках и факультативах.</t>
  </si>
  <si>
    <t>Object-Oriented Analysis and Design</t>
  </si>
  <si>
    <t>Программирование/Паттерны проектирования</t>
  </si>
  <si>
    <t>Паттерны проектирования</t>
  </si>
  <si>
    <t>Brett_Maklaflin_-_Obektno-orientirovanny_anal.pdf</t>
  </si>
  <si>
    <t>C:\Users\alexa\YandexDisk\Книги\Программирование\Паттерны проектирования</t>
  </si>
  <si>
    <t>Книга представляет собой практическое введение в объектно-ориентированный анализ и проектирование (ООАП), в котором акцент сделан на применении UML, сценариев использования и итеративной разработке для создания качественного программного обеспечения. Ключевые концепции включают последовательную проработку примеров от анализа требований до тестирования, а также объяснение того, как каждый шаг ООАП способствует созданию качественных программ. Издание ориентировано на практикующих программистов, включая новичков и тех, кто уже работает с Java, но не решается освоить более сложные теоретические материалы.</t>
  </si>
  <si>
    <t>Obektno-orientirovannoe proektirovanie s primerami primenenia</t>
  </si>
  <si>
    <t>Buch, G.</t>
  </si>
  <si>
    <t>Buch_G_-_Obektno-orientirovannoe_programmirovanie_s_primerami_primenenia_-_1992.pdf</t>
  </si>
  <si>
    <t>Книга Гради Буча представляет собой фундаментальное руководство по объектно-ориентированной методологии, охватывающее полный цикл разработки: анализ, проектирование и программирование. В первой части рассматриваются ключевые концепции, такие как сложность программного обеспечения, объектный подход, классы и объекты, а также классификация. Вторая часть посвящена методологии, включая систему обозначений (диаграммы классов, состояний, объектов) и итеративный процесс проектирования. Третья часть содержит практические примеры реализации на языках Smalltalk, Object Pascal, C++, CLOS и Ada. Книга предназначена для профессиональных программистов, руководителей проектов и студентов, изучающих разработку сложных программных систем.</t>
  </si>
  <si>
    <t>HeadFirst Патерны проектирования</t>
  </si>
  <si>
    <t>Эрик Гамма; Ричард Хелм; Ральф Джонсон; Джон Влиссидес</t>
  </si>
  <si>
    <t>HeadFirst Патерны проектирования -2022.pdf</t>
  </si>
  <si>
    <t>Это книга по паттернам проектирования, написанная в популярном стиле серии Head First, которая сочетает юмор, техническую глубину и практические примеры. В ней рассматриваются такие ключевые паттерны, как Наблюдатель, Декоратор, Фабрика, Одиночка, Команда, Адаптер, Фасад, Шаблонный Метод, Итератор, Компоновщик, Состояние и Заместитель. Издание подходит как для новичков, впервые знакомящихся с паттернами, так и для опытных разработчиков, желающих углубить свои знания.</t>
  </si>
  <si>
    <t>Java EE. Паттерны проектирования для профессионалов</t>
  </si>
  <si>
    <t>Мурат Иенер; Алекс Фидом</t>
  </si>
  <si>
    <t>Java_EE_Патерны проектирования для профессионалов 2016.pdf</t>
  </si>
  <si>
    <t>Книга «Java EE. Паттерны проектирования для профессионалов» посвящена применению паттернов проектирования в среде Java EE 7, сочетая теорию с практическими примерами. В ней рассматриваются как фундаментальные паттерны (Фасад, Одиночка, Фабрика, Декоратор, Наблюдатель), так и продвинутые возможности платформы, включая внедрение зависимостей, асинхронность и REST-веб-сервисы. Издание предназначено для профессиональных разработчиков, желающих более эффективно работать с Java EE и углубить свои знания в проектировании корпоративных приложений.</t>
  </si>
  <si>
    <t>Patterny_proektirovania_Head_First_O_39_Reilly</t>
  </si>
  <si>
    <t>Patterny_proektirovania_Head_First_O_39_Reilly.pdf</t>
  </si>
  <si>
    <t>Данный фрагмент книги «Паттерны проектирования. Head First O'Reilly» знакомит читателя с концепцией паттернов проектирования в объектно-ориентированном программировании на Java. Ключевые концепции включают в себя принципы SOLID, различные типы паттернов (порождающие, структурные и поведенческие) и их практическое применение для решения типовых задач разработки. Книга предназначена для программистов среднего уровня, уже знакомых с основами Java, которые хотят углубить свои знания в архитектуре ПО и научиться писать гибкий, переиспользуемый код.</t>
  </si>
  <si>
    <t>Software Design Patterns: The Ultimate Guide</t>
  </si>
  <si>
    <t>Software_Design_Patterns.pdf</t>
  </si>
  <si>
    <t>Книга Sufyan bin Uzayr «Software Design Patterns: The Ultimate Guide» представляет собой подробное руководство по паттернам проектирования программного обеспечения — многократно используемым шаблонам для решения типовых задач разработки. Автор объясняет, что паттерны не являются готовым кодом, а служат гибкими шаблонами и лучшими практиками, основанными на объектно-ориентированном программировании. Издание охватывает три основные категории паттернов (порождающие, структурные и поведенческие), а также включает ускоренный курс основ, продвинутые практические примеры и акцент на написании чистого и оптимизированного кода. Книга предназначена для разработчиков и программистов, желающих углубить свои знания от базового до продвинутого уровня для создания более надежных и гибких приложений.</t>
  </si>
  <si>
    <t>Spring. Все паттерны проектирования</t>
  </si>
  <si>
    <t>Динеш Раджпут</t>
  </si>
  <si>
    <t>Spring. Все паттерны проектирования.pdf</t>
  </si>
  <si>
    <t>Книга Динеша Раджпута «Spring. Все паттерны проектирования» посвящена применению паттернов проектирования в контексте фреймворка Spring 5. В ней рассматриваются классические паттерны «Банды четырех», внедрение зависимостей, аспектно-ориентированное программирование, шаблоны доступа к данным, MVC, реактивные и конкурентные паттерны. Издание предназначено для программистов, уже знакомых с основами Java и Spring, и стремящихся углубить понимание архитектуры приложений.</t>
  </si>
  <si>
    <t>The easiest way to learn design patterns</t>
  </si>
  <si>
    <t>Fiodar Sazanavets</t>
  </si>
  <si>
    <t>the-easiest-way-to-learn-design-patterns-for-javascript.pdf</t>
  </si>
  <si>
    <t>Эта книга представляет собой практическое руководство по изучению паттернов проектирования на JavaScript с примерами для Node.js. В первой части подробно разбираются SOLID-принципы, а во второй части описываются типичные проблемы разработки и подходящие для их решения паттерны. Книга предназначена для разработчиков, уже имеющих базовые знания JavaScript, которые хотят структурировать свой код и освоить профессиональные подходы к проектированию.</t>
  </si>
  <si>
    <t>Implementing Domain-Driven Design</t>
  </si>
  <si>
    <t>Vaughn Vernon</t>
  </si>
  <si>
    <t>Вон_Вернон_Реализация_методов_предметно_ориентированного_проектирования 2016.pdf</t>
  </si>
  <si>
    <t>Книга Вона Вернона посвящена практической реализации методов предметно-ориентированного проектирования (DDD). В ней подробно рассматриваются ключевые концепции, такие как ограниченные контексты, сущности, объекты-значения, агрегаты, события предметной области и стратегическое моделирование. Издание предназначено для опытных разработчиков и архитекторов программного обеспечения, стремящихся создавать сложные бизнес-приложения с четкой доменной логикой.</t>
  </si>
  <si>
    <t>Паттерны проектирования JavaScript</t>
  </si>
  <si>
    <t>Ди Франческо Уго</t>
  </si>
  <si>
    <t>Паттерны проектирования JavaScript.pdf</t>
  </si>
  <si>
    <t>Книга Уго Ди Франческо посвящена паттернам проектирования в современном JavaScript (ES6+) и их применению для создания масштабируемого, производительного и удобного в сопровождении кода. В первой части рассматриваются классические порождающие, структурные и поведенческие паттерны, во второй — архитектурные решения и паттерны пользовательского интерфейса, включая React и микрофронтенды, а в третьей — паттерны производительности, безопасности и асинхронного программирования. Издание предназначено для разработчиков, уже имеющих опыт работы с JavaScript, которые хотят углубить знания в области проектирования и внедрять проверенные решения в веб-экосистемах.</t>
  </si>
  <si>
    <t>Паттерны разработки на Python: TDD, DDD и событийно-ориентированная архитектура</t>
  </si>
  <si>
    <t>Гарри Персиваль; Боб Грегори</t>
  </si>
  <si>
    <t>Паттерны разработки на Python.pdf</t>
  </si>
  <si>
    <t>Книга «Паттерны разработки на Python» Гарри Персиваля и Боба Грегори посвящена применению высокоуровневых архитектурных паттернов, таких как предметно-ориентированное проектирование (DDD), разработка через тестирование (TDD) и событийно-управляемая архитектура, в экосистеме Python. Ключевые разделы охватывают паттерны «Репозиторий», «UoW» (Unit of Work), «Агрегат», «Шина сообщений», а также концепции CQRS и гексагональной архитектуры. Книга предназначена для опытных Python-разработчиков, стремящихся управлять сложностью крупных приложений и улучшить их тестируемость.</t>
  </si>
  <si>
    <t>Design Patterns. Elements of Reusable Object-Oriented Software</t>
  </si>
  <si>
    <t>Erich Gamma; Richard Helm; Ralph Johnson; John Vlissides</t>
  </si>
  <si>
    <t>Паттерны_ООП.pdf</t>
  </si>
  <si>
    <t>Это юбилейное издание культовой книги «Банды четырех», посвященное 23 паттернам объектно-ориентированного проектирования. Книга систематизирует проверенные решения типовых задач проектирования, разделяя их на порождающие, структурные и паттерны поведения, и демонстрирует их реализацию на C++ и Smalltalk. Издание предназначено для программистов и разработчиков, стремящихся повысить гибкость и повторное использование кода, то есть для специалистов среднего и продвинутого уровня.</t>
  </si>
  <si>
    <t>Погружение в паттерны проектирования</t>
  </si>
  <si>
    <t>Погружение_в_паттерны_проектирования_2021.pdf</t>
  </si>
  <si>
    <t>Это книга Александра Швеца, посвящённая глубокому разбору 22 классических паттернов проектирования, впервые описанных «Бандой Четырёх». В ней последовательно рассматриваются основы объектно-ориентированного программирования, принципы проектирования (включая SOLID) и каталог паттернов, разделённый на порождающие, структурные и поведенческие. Издание предназначено для разработчиков любого уровня, от новичков до опытных специалистов, желающих систематизировать знания и улучшить архитектуру своего кода.</t>
  </si>
  <si>
    <t>Разработка интерфейсов. Паттерны проектирования. 3-е изд.</t>
  </si>
  <si>
    <t>Дженифер Тидвелл; Чарли Брюэр; Эйнн Валенсия</t>
  </si>
  <si>
    <t>Разработка интерфейсов.pdf</t>
  </si>
  <si>
    <t>Книга «Разработка интерфейсов. Паттерны проектирования» (3-е издание) Дженифер Тидвелл, Чарли Брюэра и Эйнн Валенсии посвящена проектированию пользовательских интерфейсов для мобильных, настольных и веб-приложений с использованием паттернов. Ключевые разделы охватывают информационную архитектуру, навигацию, визуальный стиль, мобильные интерфейсы, работу с данными и атомарный дизайн. Книга предназначена как для начинающих, которые найдут в ней ориентиры и лучшие практики, так и для опытных разработчиков, ищущих новые идеи.</t>
  </si>
  <si>
    <t>Шаблоны корпоративных приложений</t>
  </si>
  <si>
    <t>2002-2016</t>
  </si>
  <si>
    <t>Шаблоны_корпоративных_приложений 2002-2016.pdf</t>
  </si>
  <si>
    <t>Фрагмент книги Мартина Фаулера «Шаблоны корпоративных приложений» посвящён архитектурным паттернам проектирования программного обеспечения, используемым в корпоративных системах. Ключевые концепции включают описание шаблонов уровня доменной логики (например, Transaction Script, Domain Model) и способов организации доступа к данным. Книга предназначена для опытных разработчиков и архитекторов, уже знакомых с объектно-ориентированным программированием и базами данных.</t>
  </si>
  <si>
    <t>Разработка игры в Unity. С нуля и до реализации</t>
  </si>
  <si>
    <t>Дмитрий Вадимович Денисов</t>
  </si>
  <si>
    <t>Программирование/Разработка игр</t>
  </si>
  <si>
    <t>Разработка игр</t>
  </si>
  <si>
    <t>! Разработка_игры_в_Unity_С_нуля_и_до_реализации 2021.pdf</t>
  </si>
  <si>
    <t>C:\Users\alexa\YandexDisk\Книги\Программирование\Разработка игр</t>
  </si>
  <si>
    <t>Эта книга представляет собой практическое руководство по созданию игры в Unity с нуля, в котором пошагово, с помощью скриншотов, описывается разработка прототипа «Dragon Picker» на языке C#. Ключевые разделы охватывают установку среды, создание игровых объектов и ландшафта, программирование логики, настройку графического интерфейса, добавление звуков и публикацию готового проекта. Издание предназначено для новичков, только знакомящихся с основами разработки в Unity, и не требует глубоких знаний программирования, достаточно базовых навыков работы с компьютером.</t>
  </si>
  <si>
    <t>Game Programming Algorithms and Techniques: A Platform-Agnostic Approach</t>
  </si>
  <si>
    <t>Sanjay Madhav</t>
  </si>
  <si>
    <t>!Game_Programming_Algorithms_and_Techniques_A_Platform_Agnostic_Approach.pdf</t>
  </si>
  <si>
    <t>Этот фрагмент представляет собой введение к книге «Game Programming Algorithms and Techniques: A Platform-Agnostic Approach» (Санджей Мадхав), посвящённой алгоритмам и методам программирования игр, не привязанным к конкретной платформе. Ключевые разделы, судя по оглавлению, охватывают обзор программирования игр, 2D-графику и линейную алгебру для игр. Книга предназначена для разработчиков игр, вероятно, от начального до среднего уровня, стремящихся освоить фундаментальные концепции.</t>
  </si>
  <si>
    <t>Сделай видеоигру один и не свихнись</t>
  </si>
  <si>
    <t>Слава Грис</t>
  </si>
  <si>
    <t>!Сделай_видеоигру_один_и_не_свихнись_2023_Слава_Грис.pdf</t>
  </si>
  <si>
    <t>Эта книга Славы Гриса, разработчика-одиночки, посвящена не только техническим аспектам создания видеоигр, но и психологической устойчивости, необходимой, чтобы довести проект до конца. Автор утверждает, что главная ошибка новичков — фокусироваться исключительно на программировании и графике, игнорируя вопросы мотивации, самодисциплины и предотвращения выгорания. Ключевая концепция книги — правильный вопрос не «возможно ли сделать игру одному?», а «возможно ли сделать игру и не свихнуться?». Издание предназначено для начинающих разработчиков, которые хотят освоить ремесло соло-разработки и не бросить проект на полпути.</t>
  </si>
  <si>
    <t>Unity и C#. Геймдев от идеи до реализации</t>
  </si>
  <si>
    <t>Джереми Гибсон Бонд</t>
  </si>
  <si>
    <t>Bond_Unity-i-S-.618498.pdf</t>
  </si>
  <si>
    <t>Эта книга представляет собой комплексное руководство по разработке игр, объединяющее теорию геймдизайна, методы прототипирования и практическое программирование на C# в среде Unity. Ключевые разделы охватывают анализ игр через многоуровневую тетраду, бумажное прототипирование, математику игрового баланса, а также цифровое прототипирование с созданием восьми реальных игровых прототипов. Издание предназначено как для начинающих, желающих освоить профессию геймдизайнера, так и для специалистов, стремящихся систематизировать знания и перейти от идеи к готовому проекту.</t>
  </si>
  <si>
    <t>Character Development and Storytelling for Games</t>
  </si>
  <si>
    <t>Lee Sheldon</t>
  </si>
  <si>
    <t>CRC_Character_Development_and_Storytelling_for_Games_3rd_Edition.pdf</t>
  </si>
  <si>
    <t>Это третье издание книги Ли Шелдона, посвящённое основам создания персонажей и сторителлинга для видеоигр. Автор сочетает практические техники с анализом классических литературных и драматургических источников, от Аристотеля до современных игр. Ключевые разделы охватывают трёхмерное построение персонажей, их роли в повествовании, работу с протагонистом и второстепенными героями, а также избегание стереотипов. Книга предназначена как для начинающих, так и для профессиональных гейм-дизайнеров и сценаристов, желающих углубить понимание нарратива в играх.</t>
  </si>
  <si>
    <t>Game AI Uncovered: Volume Two</t>
  </si>
  <si>
    <t>Paul Roberts</t>
  </si>
  <si>
    <t>Game AI Uncovered_v2.pdf</t>
  </si>
  <si>
    <t>Это второй том сборника «Game AI Uncovered» под редакцией Пола Робертса, в котором собраны практические советы, идеи и передовые техники от 22 ведущих профессионалов и исследователей в области игрового искусственного интеллекта. Книга охватывает широкий спектр тем, включая динамические деревья поведения, утилитарные системы, машинное обучение для автоматизированного прохождения, имитацию игрока, синхронизированное следование по пути и многое другое, на примере таких игр, как Plants vs. Zombies, Dead Space и Sniper Elite 5. Издание будет полезно как новичкам, желающим освоить основы игрового ИИ, так и опытным разработчикам, ищущим новые подходы и вдохновение для своих проектов.</t>
  </si>
  <si>
    <t>Game Design Deep Dive; Horror</t>
  </si>
  <si>
    <t>Joshua Bycer</t>
  </si>
  <si>
    <t>Game Design Deep Div... by Joshua Bycer.pdf</t>
  </si>
  <si>
    <t>Книга Джошуа Байсера «Game Design Deep Dive: Horror» посвящена анализу эволюции жанра хоррор в видеоиграх, начиная с эпохи до survival horror и заканчивая современными инди-проектами. Ключевые разделы охватывают базовые принципы дизайна ужасов, психологию страха, создание напряженного геймплея через управление ресурсами и врагами, а также переход от классического survival horror к action-хоррору и его возрождению. Издание предназначено как для начинающих, так и для опытных специалистов в области геймдизайна, желающих глубже понять механику и историю жанра.</t>
  </si>
  <si>
    <t>GAMEDEV: 10 Steps to Making Your First Game Successful</t>
  </si>
  <si>
    <t>Wlad Marhulets</t>
  </si>
  <si>
    <t>GAMEDEV 10 Steps to Making Your First.epub</t>
  </si>
  <si>
    <t>Книга «GAMEDEV: 10 Steps to Making Your First Game Successful» Владислава Мархулеца представляет собой пошаговое руководство по созданию и коммерческому запуску первой видеоигры, основанное на личном опыте автора, который без опыта и бюджета на маркетинг добился успеха с игрой DARQ. Ключевые разделы охватывают все этапы: от правильного мышления и препродакшена до финансирования, разработки, маркетинга, юридических вопросов и релиза. Издание предназначено для абсолютных новичков в геймдеве, которые хотят научиться делать игры с нуля и зарабатывать на этом.</t>
  </si>
  <si>
    <t>Шаблоны игрового программирования</t>
  </si>
  <si>
    <t>martalex</t>
  </si>
  <si>
    <t>gameprogrammingpatterns.pdf</t>
  </si>
  <si>
    <t>Книга «Шаблоны игрового программирования» представляет собой коллекцию паттернов проектирования, адаптированных для разработки видеоигр, и направлена на то, чтобы сделать код чище, понятнее и быстрее. В ней рассматриваются классические шаблоны (Команда, Наблюдатель, Синглтон), а также специализированные игровые паттерны, такие как Игровой цикл, Компонент, Пул объектов и Пространственное разбиение, сгруппированные по разделам: последовательные, поведенческие, шаблоны уменьшения связности и оптимизации. Книга предназначена для разработчиков игр разного уровня — от новичков, сталкивающихся с проблемами организации кода, до опытных специалистов, желающих улучшить производительность и архитектуру своих проектов.</t>
  </si>
  <si>
    <t>Geometry for Programmers MEAP V03</t>
  </si>
  <si>
    <t>Oleksandr Kaleniuk</t>
  </si>
  <si>
    <t>Geometry for Programmers (MEAP) 2022.pdf</t>
  </si>
  <si>
    <t>Книга «Geometry for Programmers» Олександра Каленюка посвящена прикладной геометрии для программистов, объясняя математические основы, такие как матрицы, преобразования и сплайны Безье, на практических примерах. Ключевые разделы охватывают геометрию линейных уравнений, проективные преобразования, полиномиальную аппроксимацию, сплайны и моделирование поверхностей. Издание предназначено для программистов любого уровня, желающих глубже понять математику, стоящую за игровыми движками, CAD-системами и 3D-печатью, при этом не требуя глубоких математических знаний — сложные вычисления делегируются библиотеке SymPy.</t>
  </si>
  <si>
    <t>Игровой движок. Программирование и внутреннее устройство. Третье издание</t>
  </si>
  <si>
    <t>Грегори Джейсон</t>
  </si>
  <si>
    <t>Igrovoy_dvizhok_Programmirovanie_i_vnutrennee_ustroystvo_Tretye.pdf</t>
  </si>
  <si>
    <t>Книга Джейсона Грегори «Игровой движок. Программирование и внутреннее устройство» (третье издание) представляет собой фундаментальный труд по разработке игрового ПО, охватывающий теорию и практику создания низкоуровневых систем движка. Ключевые разделы включают 3D-математику, параллельное программирование, системы рендеринга, анимации, физики, звука и базовый слой геймплея. Издание предназначено для профессиональных разработчиков игр и программистов, стремящихся углубить понимание внутреннего устройства игровых движков.</t>
  </si>
  <si>
    <t>C# Game Programming Cookbook for Unity 3D</t>
  </si>
  <si>
    <t>Murray, Jeff W.</t>
  </si>
  <si>
    <t>Jeff_W_Murray_C#_Game_Programming_Cookbook_for_Unity_3D_CRC_Press.epub</t>
  </si>
  <si>
    <t>Эта книга представляет собой практическое руководство по разработке игр на C# в Unity 3D, предлагающее гибкий каркас для ускорения создания проектов. Ключевые концепции включают модульную архитектуру с менеджерами и контроллерами, а также готовые рецепты для реализации 2D-раннера, систем оружия, ИИ, управления звуком и пользовательским интерфейсом. Издание ориентировано на разработчиков, уже знакомых с основами Unity и C#, которые хотят структурировать свои проекты и получить готовые решения для типовых игровых механик.</t>
  </si>
  <si>
    <t>Beginning Python Games Development, Second Edition: With PyGame</t>
  </si>
  <si>
    <t>Harrison Kinsley; Will McGugan</t>
  </si>
  <si>
    <t>Kinsley_H_McGugan_W_Beginning_Python_Games_Development_With_PyGame.pdf</t>
  </si>
  <si>
    <t>Это второе издание книги «Beginning Python Games Development with PyGame», авторов Харрисона Кинсли и Уилла МакГугана, посвящённое созданию видеоигр на языке Python с использованием библиотеки PyGame. Книга охватывает ключевые концепции: основы Python, работу с графикой, анимацией, пользовательским вводом, 3D-графикой и звуковыми эффектами, а также включает главы по OpenGL и упаковке готовых игр. Издание предназначено для начинающих разработчиков, желающих освоить создание игр с нуля, и не требует глубоких предварительных знаний в программировании.</t>
  </si>
  <si>
    <t>Unreal Engine: Game Development from A to Z</t>
  </si>
  <si>
    <t>Joanna Lee; John P. Doran; Nitish Misra</t>
  </si>
  <si>
    <t>Lee_J_Doran_J_Misra_N_-_Unreal_Engine_Game_Development_from_A_to_Z_-_2016.epub</t>
  </si>
  <si>
    <t>Эта книга представляет собой практическое руководство по разработке игр на движке Unreal Engine 4, охватывающее полный цикл создания проекта — от обзора интерфейса и работы с редактором до настройки материалов, освещения, анимации и искусственного интеллекта. Ключевые разделы включают создание уровней с помощью BSP-кистей и статических сеток, работу с системой материалов, настройку различных типов источников света и знакомство с визуальным скриптингом Blueprint. Издание предназначено для начинающих разработчиков, желающих освоить основы работы с Unreal Engine и получить пошаговые инструкции по созданию игрового окружения.</t>
  </si>
  <si>
    <t>Lengyel_E_-_Mathematics_for_3D_Game_Programmin.pdf</t>
  </si>
  <si>
    <t>Это третье издание книги Эрика Ленгеля, посвящённое математическим основам, необходимым для программирования трёхмерных игр и компьютерной графики. Книга охватывает ключевые концепции, включая векторы, матрицы, трансформации, геометрию для 3D-движков, трассировку лучей, а также освещение и затенение. Издание предназначено для специалистов и студентов, уже имеющих базовые знания в программировании, и углубляется в практические аспекты рендеринга и математического моделирования.</t>
  </si>
  <si>
    <t>Mathematics for Game Programming and Computer Graphics</t>
  </si>
  <si>
    <t>Byl, Penny de</t>
  </si>
  <si>
    <t>Mathematics.for.Game.Programming.and.Computer.Graphics (Python ex).pdf</t>
  </si>
  <si>
    <t>Книга «Mathematics for Game Programming and Computer Graphics» Пенни де Байл посвящена математическим основам, необходимым для создания, рендеринга и управления трехмерными виртуальными средами. В ней рассматриваются такие темы, как работа с графическими окнами и координатами, рисование линий, полигонов и растровых изображений, а также алгоритмы построения линий и окружностей, включая метод Брезенхема и сглаживание. Издание предназначено для разработчиков игр и специалистов по компьютерной графике, желающих освоить практическую математику через проектно-ориентированный подход с примерами на Python.</t>
  </si>
  <si>
    <t>Build Stunning Real-time VFX with Unreal Engine 5</t>
  </si>
  <si>
    <t>Hrishikesh Andurlekar</t>
  </si>
  <si>
    <t>Niagara.pdf</t>
  </si>
  <si>
    <t>Книга посвящена созданию реалистичных визуальных эффектов в реальном времени с помощью системы частиц Niagara в Unreal Engine 5. В ней рассматриваются основы работы с интерфейсом, создание пользовательских модулей и обработчиков событий, а также интеграция с Blueprints для управления эффектами в играх и на виртуальных съёмочных площадках. Издание предназначено для новичков в области VFX, помогая им поэтапно освоить инструмент и перейти к созданию контента, готового к производству.</t>
  </si>
  <si>
    <t>REN'PY. СОЗДАЕМ ИГРЫ И ПРИЛОЖЕНИЯ</t>
  </si>
  <si>
    <t>Адонин А.</t>
  </si>
  <si>
    <t>RenPy Создаем игры и приложения.pdf</t>
  </si>
  <si>
    <t>Эта книга представляет собой практическое руководство по игровому движку Ren'Py, предназначенное для создания игр и приложений, от визуальных новелл до RPG и шутеров. Ключевые разделы охватывают установку движка, основы синтаксиса, дизайн визуальной новеллы, работу с экранами, переменными и условными операторами, а также компиляцию проектов. Материал рассчитан на пользователей любого уровня, от начинающих до профессионалов, и включает пошаговые примеры с разбором кода.</t>
  </si>
  <si>
    <t>Unity in Action, Third Edition</t>
  </si>
  <si>
    <t>Joseph Hocking</t>
  </si>
  <si>
    <t>Unity in Action, Third Edition [2022] Joseph Hocking.pdf</t>
  </si>
  <si>
    <t>Книга «Unity in Action, Third Edition» Джозефа Хокинга посвящена разработке многоплатформенных игр на C# в движке Unity. В ней рассматриваются ключевые концепции, такие как управление 3D-камерой, рейкастинг, работа с 2D-графикой и физикой, создание GUI, управление инвентарём, HTTP-запросы, звук и развёртывание на разных платформах. Издание предназначено для начинающих и специалистов, желающих освоить Unity с нуля и перейти от концепции к готовому билду игры.</t>
  </si>
  <si>
    <t>Unity. Полное руководство</t>
  </si>
  <si>
    <t>Корнилов А. В.</t>
  </si>
  <si>
    <t>Unity. Полное руководство.pdf</t>
  </si>
  <si>
    <t>Это книга представляет собой полное руководство по игровому движку Unity, предназначенное для начинающих разработчиков, желающих создавать игры и трёхмерные миры без глубоких навыков программирования. Издание разделено на три части: первая знакомит с интерфейсом и основами Unity, вторая охватывает графику, физику, скриптинг, звук, навигацию и анимацию, а третья посвящена созданию полноценной игры от планирования до настройки интерфейса. Материал сопровождается примерами кода, скриншотами и доступом к дополнительным ресурсам на виртуальном DVD.</t>
  </si>
  <si>
    <t>Unity 5.x Game AI Programming</t>
  </si>
  <si>
    <t>Adam Horton; Ryan Vice</t>
  </si>
  <si>
    <t>Unity_5_x_Программирование_искусственного_интеллекта_в_играх.pdf</t>
  </si>
  <si>
    <t>Книга «Unity 5.x. Программирование искусственного интеллекта в играх» Хорхе Паласиоса посвящена созданию и настройке систем искусственного интеллекта в игровом движке Unity. В ней рассматриваются такие ключевые концепции, как модели поведения для перемещения (преследование, уклонение, блуждание), навигация (алгоритмы поиска пути, включая A* и IDA*), а также принятие решений с помощью деревьев и конечных автоматов. Издание представляет собой сборник практических рецептов и методик и предназначено для разработчиков игр, уже имеющих базовые навыки программирования в Unity.</t>
  </si>
  <si>
    <t>Unreal Engine C++ the Ultimate Developer's Handbook: Learn C++ and Unreal Engine by Creating a Complete Action Game</t>
  </si>
  <si>
    <t>Stephen Ulibarri</t>
  </si>
  <si>
    <t>Unreal Engine C++ the Ultimate Dev Handbook.pdf</t>
  </si>
  <si>
    <t>Эта книга представляет собой практическое руководство по изучению C++ и движка Unreal Engine через создание полноценной слэшер-игры. В ней рассматриваются такие ключевые концепции, как работа с классами Actor и Pawn, программирование на C++, создание материалов и освещения, а также реализация игровой механики. Издание предназначено для новичков, желающих освоить разработку игр с нуля, и сопровождается ссылками на дополнительные видеокурсы автора.</t>
  </si>
  <si>
    <t>Unreal Engine VR Cookbook: Developing Virtual Reality with UE4</t>
  </si>
  <si>
    <t>Mitch McCaffrey</t>
  </si>
  <si>
    <t>unreal engine для VR разработчиков.pdf</t>
  </si>
  <si>
    <t>Книга «Unreal Engine VR Cookbook» Митча Маккафри представляет собой практическое руководство по разработке виртуальной реальности с использованием движка Unreal Engine 4. Она охватывает ключевые концепции, такие как настройка шлемов VR (Gear VR, Rift, Vive), взаимодействие на основе трассировки, телепортация, создание 2D-интерфейсов, инверсная кинематика персонажа и оптимизация производительности. Издание предназначено для разработчиков, уже знакомых с основами Unreal Engine, и предлагает готовые рецепты и лучшие практики для создания VR-проектов.</t>
  </si>
  <si>
    <t>Unreal Engine 5 Game Programming Design Patterns in C++, Java, C#, and Blueprints</t>
  </si>
  <si>
    <t>Sonic workflow</t>
  </si>
  <si>
    <t>Sonicworkflow LLC.</t>
  </si>
  <si>
    <t>Unreal_Engine_5_Game_Programming_Design_Patterns_in_C++,_Java,_C.pdf</t>
  </si>
  <si>
    <t>Эта книга посвящена применению классических паттернов проектирования (GoF) в среде визуального скриптинга Unreal Engine 5 (Blueprints) с параллельным разбором эквивалентного кода на C++, Java и C#. Ключевые разделы охватывают порождающие (Builder, Factory, Singleton), структурные (Adapter, Decorator, Façade) и поведенческие (Observer, State, Strategy) паттерны. Издание предназначено для разработчиков, уже имеющих опыт работы с Blueprints или традиционными языками программирования, и не подходит для абсолютных новичков.</t>
  </si>
  <si>
    <t>Разработка игр на языке JavaScript</t>
  </si>
  <si>
    <t>Беляев С. А.</t>
  </si>
  <si>
    <t>Беляев_C_А_Разработка_игр_на_языке_JavaScript.pdf</t>
  </si>
  <si>
    <t>Это учебное пособие по разработке игр на языке JavaScript, которое сочетает теорию с практическими примерами для решения реальных задач. Книга охватывает семь глав, включая работу с HTML-элементом canvas, загрузку и отображение игровых карт, обработку изображений, взаимодействие с пользователем через клавиатуру и мышь, физику объектов, менеджер игры и работу со звуком. Пособие предназначено для начинающих программистов, желающих освоить JavaScript как первый язык для создания игр и интернет-приложений.</t>
  </si>
  <si>
    <t>Unity для разработчика. Мобильные мультиплатформенные игры</t>
  </si>
  <si>
    <t>Джон Мэннинг; Пэрис Батфилд-Эддисон</t>
  </si>
  <si>
    <t>Бестселлеры_O’Reilly_Мэннинг_Д_,_Батфилд_Эддисон_П_Unity_для_разработчика.pdf</t>
  </si>
  <si>
    <t>Книга «Unity для разработчика. Мобильные мультиплатформенные игры» представляет собой практическое руководство по освоению игрового движка Unity для создания игр, работающих на мобильных устройствах. В первой части издания рассматриваются основы работы с редактором Unity, написание сценариев на C# и ключевые концепции, такие как представление сцены, обозреватель проекта и инспектор. Материал ориентирован на разработчиков, желающих научиться создавать качественный 2D- и 3D-контент, начиная с базового уровня.</t>
  </si>
  <si>
    <t>Большая книга Roblox : как создавать свои миры и делать игру незабываемой</t>
  </si>
  <si>
    <t>Давид Жаньо</t>
  </si>
  <si>
    <t>Большая книга Roblox.pdf</t>
  </si>
  <si>
    <t>Эта книга представляет собой практическое руководство по платформе Roblox, охватывающее все этапы — от создания аккаунта и навигации по сайту до основ программирования и разработки собственных игровых миров. Ключевые разделы включают настройку профиля, работу с аватаром, инвентарем и группами, а также инструкции по запуску игр на компьютере и мобильных устройствах. Издание предназначено для новичков, желающих освоить платформу и научиться создавать в ней уникальные проекты.</t>
  </si>
  <si>
    <t>Боты для компьютерных игр</t>
  </si>
  <si>
    <t>Боты для компьютерных игр.pdf</t>
  </si>
  <si>
    <t>Книга Ильи Шпигоря посвящена разработке ботов для компьютерных игр, охватывая их классификацию, методы создания и способы защиты. Ключевые разделы включают кликеры, внутриигровые боты (работающие с памятью процесса) и внеигровые боты (анализирующие сетевой трафик), а также специальные техники, такие как эмуляция устройств ввода. Материал рассчитан на специалистов и разработчиков, интересующихся автоматизацией, информационной безопасностью и низкоуровневым программированием.</t>
  </si>
  <si>
    <t>Виртуальная реальность в Unity</t>
  </si>
  <si>
    <t>tlgm it boooks</t>
  </si>
  <si>
    <t>Виртуальная_реальность_в_Unity_tlgm_it_boooks_2016.pdf</t>
  </si>
  <si>
    <t>Данный фрагмент книги посвящен разработке проектов виртуальной реальности в среде Unity. Ключевые концепции включают настройку сцены, взаимодействие с объектами и оптимизацию производительности для VR-устройств. Книга предназначена для разработчиков, имеющих базовые навыки работы с Unity, и ориентирована на уровень от новичка до специалиста, желающего освоить специфику VR.</t>
  </si>
  <si>
    <t>Игра как бизнес : от мечты до релиза</t>
  </si>
  <si>
    <t>Савченко, Алексей</t>
  </si>
  <si>
    <t>Игра как бизнес.pdf</t>
  </si>
  <si>
    <t>Книга Алексея Савченко «Игра как бизнес» представляет собой практическое руководство по созданию видеоигр с нуля до релиза, охватывающее как производственные, так и предпринимательские аспекты геймдева. Ключевые разделы включают подготовительные работы (выбор жанра, платформы, регистрация компании), организацию производства (прототипирование, работа с движками, стадии альфа/бета/релиз-кандидат) и поиск партнёров (взаимодействие с издателями, участие в выставках, юридические аспекты договоров). Издание предназначено для начинающих и практикующих разработчиков, которые хотят системно подойти к превращению идеи в коммерчески успешный продукт и избежать типичных ошибок индустрии.</t>
  </si>
  <si>
    <t>Изучаем C++ создавая игры в UE4</t>
  </si>
  <si>
    <t>Уилльям Шериф; Андрей Золотько</t>
  </si>
  <si>
    <t>Изучаем С++ через игры UE4.pdf</t>
  </si>
  <si>
    <t>Эта книга представляет собой практическое руководство по изучению языка программирования C++ в контексте разработки игр на движке Unreal Engine 4. В первых главах рассматриваются основы: написание кода, работа с переменными и памятью, а также управляющие конструкции (if, else, switch). Материал предназначен для начинающих программистов, желающих освоить C++ через создание реальных игровых проектов.</t>
  </si>
  <si>
    <t>Проектирование виртуальных миров. Теория и практика дизайна уровней</t>
  </si>
  <si>
    <t>Михаил Кадиков</t>
  </si>
  <si>
    <t>Кадиков_М_Проектирование_виртуальных_миров_2019.pdf</t>
  </si>
  <si>
    <t>Эта книга Михаила Кадикова представляет собой практическое руководство по профессии дизайнера уровней для компьютерных игр, охватывающее полный цикл создания виртуальных миров — от поиска идеи и создания «вау-моментов» до финального прототипирования. Ключевые разделы посвящены анатомии игрового пространства, атмосфере и повествованию через окружение, психологии восприятия и ужаса, навигации, визуальному языку, а также организации боевого опыта и дизайну мультиплеерных уровней. Издание предназначено как для начинающих специалистов, желающих освоить профессию с нуля, так и для практикующих разработчиков, стремящихся систематизировать знания и улучшить свои навыки в проектировании геймплея.</t>
  </si>
  <si>
    <t>Кровь, пот и пиксели. Обратная сторона индустрии видеоигр</t>
  </si>
  <si>
    <t>Джейсон Шрейер</t>
  </si>
  <si>
    <t>Кровь, пот и пиксели.pdf</t>
  </si>
  <si>
    <t>Книга Джейсона Шрейера «Кровь, пот и пиксели» посвящена обратной стороне индустрии видеоигр — изнурительному процессу их создания, от зарождения идеи до релиза, полному кризисов, переработок и финансовых рисков. На примере конкретных проектов автор раскрывает ключевые проблемы разработки: жесткие дедлайны, технические ограничения, конфликты в команде и необходимость переделывать целые элементы игры в последний момент. Книга предназначена как для новичков, интересующихся игровой индустрией, так и для специалистов, желающих глубже понять реалии профессии.</t>
  </si>
  <si>
    <t>Программирование в Unreal Engine 5 для начинающего игродела: основы визуального языка Blueprint</t>
  </si>
  <si>
    <t>Максименкова Ольга Вениаминовна; Веселко Никита</t>
  </si>
  <si>
    <t>Максименкова_О_,_Веселко_Н_Программирование_в_Unreal_Engine_5_для.pdf</t>
  </si>
  <si>
    <t>Книга представляет собой практическое руководство по основам визуального языка Blueprint в игровом движке Unreal Engine 5, предназначенное для начинающих игроделов. В ней рассматриваются ключевые концепции геймдизайна, такие как игровые механики и циклы разработки, а также практические аспекты работы с редактором: установка движка, интерфейс, импорт ассетов, создание текстур, материалов и статических мешей. Издание ориентировано на новичков, желающих освоить инструментарий UE 5 для создания собственных игровых миров и персонажей.</t>
  </si>
  <si>
    <t>Мастера геймдизайна</t>
  </si>
  <si>
    <t>Конста Клеметти; Харро Грёнберг</t>
  </si>
  <si>
    <t>Мастера геймдизайна.pdf</t>
  </si>
  <si>
    <t>Эта книга посвящена анализу феномена успеха финских видеоигр, таких как Angry Birds и Clash of Clans, и поиску уникальных принципов геймдизайна, которые лежат в их основе. Авторы, Конста Клеметти и Харро Грёнберг, исследуют, как небольшая страна стала супердержавой игровой индустрии, и собирают беседы с ведущими геймдизайнерами, чтобы выявить «ДНК» увлекательных игр. Ключевая концепция — поиск гибких правил и подходов, способных вдохновить на создание вовлекающих проектов. Книга предназначена как для профессиональных геймдизайнеров, так и для всех, кто интересуется творческим мышлением и историей игровой индустрии.</t>
  </si>
  <si>
    <t>Миллионы миллиардов. Как стартовать в игровой индустрии, работая удаленно, заработать денег и создать игру мечты</t>
  </si>
  <si>
    <t>Максим Михеенко</t>
  </si>
  <si>
    <t>Миллионы миллиардов - как стартовать в игровой индустрии 2021.pdf</t>
  </si>
  <si>
    <t>Эта книга Максима Михеенко посвящена игровой индустрии как самой быстрорастущей сфере развлечений с годовым доходом более 150 миллиардов долларов, а также практическим советам по старту в ней, включая удаленную работу и создание собственной игры. Автор рассматривает эволюцию индустрии от нишевого хобби до массового явления, выделяет около двадцати ниш (мобильные, ПК, консольные игры) с разными бизнес-моделями и обсуждает влияние игр на развитие человека, опровергая мифы об их вреде. Материал предназначен для новичков и всех, кто интересуется будущим, хочет понять сферу разработки игр и реализовать свой творческий потенциал в этой меняющейся реальности.</t>
  </si>
  <si>
    <t>Программирование в Unreal Engine 5 для начинающего игродела : основы визуального языка Blueprint</t>
  </si>
  <si>
    <t>Максименкова Ольга Вениаминовна; Веселко Никита И.</t>
  </si>
  <si>
    <t>Программирование_в_UE_5_для_начинающего.pdf</t>
  </si>
  <si>
    <t>Это руководство посвящено основам работы с игровым движком Unreal Engine 5 и его визуальным языком программирования Blueprint. Книга охватывает установку движка, устройство редактора, работу с ассетами, текстурами и материалами, а также знакомит с базовыми понятиями геймдизайна, такими как игровые механики и циклы разработки. Издание предназначено для начинающих игроделов, желающих освоить создание игр без глубоких знаний традиционного программирования.</t>
  </si>
  <si>
    <t>С. А. Беляев</t>
  </si>
  <si>
    <t>Разработка игр на JS.pdf</t>
  </si>
  <si>
    <t>Учебное пособие С. А. Беляева посвящено разработке однопользовательских двумерных игр на языке JavaScript. Книга построена в практическом ключе: в семи главах последовательно рассматриваются загрузка и отображение игровых карт, работа с графикой, обработка событий клавиатуры и мыши, реализация физики объектов, создание менеджера игры и работа со звуком. Пособие предназначено для бакалавров и магистров направлений «Программная инженерия» и «Прикладная математика и информатика», а также для широкого круга читателей, интересующихся разработкой интернет-приложений; для его освоения достаточно владения любым языком программирования, хотя знание JavaScript облегчит восприятие.</t>
  </si>
  <si>
    <t>Unity 2018 Game Development in 24 Hours, Sams Teach Yourself</t>
  </si>
  <si>
    <t>Mike Geig</t>
  </si>
  <si>
    <t>Разработка игр на Unity за 24 часа.pdf</t>
  </si>
  <si>
    <t>Это книга Майка Гейга, посвященная обучению работе с игровым движком Unity 2018. В ней рассматриваются основы интерфейса редактора, работа с игровыми объектами, системами координат и преобразованиями (перемещение, вращение, масштабирование). Книга предназначена для начинающих разработчиков игр и любителей, желающих быстро освоить принципы игрового программирования и создать портфолио проектов.</t>
  </si>
  <si>
    <t>Разработка игр и теория развлечений</t>
  </si>
  <si>
    <t>Разработка_игр_и_теория_развлечений.pdf</t>
  </si>
  <si>
    <t>Книга посвящена разработке игр и теории развлечений, рассматривая игровой дизайн как с точки зрения технической реализации, так и с позиции психологии вовлечения игрока. Ключевые концепции включают анализ механик, нарратива и баланса, а также методы удержания внимания пользователя. Издание ориентировано на новичков и начинающих специалистов, желающих систематизировать знания о создании игр.</t>
  </si>
  <si>
    <t>Разработка_игры_в_Unity_С_нуля_и_до_реализации_2021_Денисов.pdf</t>
  </si>
  <si>
    <t>Это практическое руководство по созданию игры в среде Unity с использованием языка C#, в котором шаг за шагом описывается разработка прототипа «Dragon Picker». Книга охватывает полный цикл: от установки программного обеспечения и создания игровых объектов до программирования логики, настройки интерфейса, добавления звуков и публикации готового проекта. Материал предназначен для новичков с базовыми навыками работы на компьютере, желающих освоить разработку игр через выполнение конкретного проекта без углубления в избыточную теорию.</t>
  </si>
  <si>
    <t>Сделай_видеоигру_один_и_не_свихнись_2023_Слава_Грис.pdf</t>
  </si>
  <si>
    <t>Книга Славы Гриса посвящена психологическим и практическим аспектам самостоятельной разработки видеоигр, с акцентом на сохранение мотивации и предотвращение выгорания. Автор утверждает, что главная проблема новичков — не техническая сложность, а неправильный вопрос: вместо «возможно ли сделать игру одному?» нужно спрашивать «возможно ли сделать игру и не свихнуться?». В первых разделах разбирается миф о том, что современные игры требуют огромной команды, и приводятся исторические примеры (Super Mario Bros.) для переосмысления роли соло-разработчика. Книга предназначена для начинающих разработчиков, которые хотят освоить ремесло и довести проект до конца, не потеряв рассудок.</t>
  </si>
  <si>
    <t>Творческие задания в среде Scratch : рабочая тетрадь для 5–6 классов</t>
  </si>
  <si>
    <t>Пашковская Ю. В.</t>
  </si>
  <si>
    <t>Творческие задания в среде Scratch _ рабочая тетрадь для 5–6 классов ( PDFDrive ).pdf</t>
  </si>
  <si>
    <t>Эта рабочая тетрадь предназначена для учащихся 5–6 классов и посвящена обучению основам программирования в среде Scratch. Книга содержит творческие задания, которые чередуются с письменными упражнениями, а итогом каждой темы является создание мультфильма, презентации, теста или игры. Ключевые разделы охватывают управление спрайтами, циклы, условия, переменные, списки и создание анимационных проектов. Пособие ориентировано на новичков и позволяет легко начать программировать, постепенно переходя к сложным проектам.</t>
  </si>
  <si>
    <t>Хочу в геймдев! Основы игровой разработки для начинающих</t>
  </si>
  <si>
    <t>Вячеслав Николаевич Уточкин; Константин Сергеевич Сахнов</t>
  </si>
  <si>
    <t>Хочу в геймдев!.pdf</t>
  </si>
  <si>
    <t>Книга «Хочу в геймдев!» посвящена основам игровой разработки для начинающих. Авторы подчеркивают, что создание игр — это комплексная итеративная работа, требующая знаний в программировании, гейм-дизайне, психологии и маркетинге, а успех приходит через практику, ошибки и тестирование. В рассмотренном фрагменте разбираются причины, по которым люди играют: от простого убийства времени до получения эмоций и ощущения награды за труды, а также отмечается, что современные игроки ценят вызов, а не «халявные» подарки. Издание предназначено для новичков, которые только планируют карьеру в игровой индустрии или хотят стать инди-разработчиками.</t>
  </si>
  <si>
    <t>Вячеслав Уточкин; Константин Сахнов</t>
  </si>
  <si>
    <t>Хочу_в_геймдев!_Основы_игровой_разработки_для_начинающих.pdf</t>
  </si>
  <si>
    <t>Эта книга представляет собой практическое руководство по основам игровой разработки для начинающих, охватывающее полный цикл создания игры: от психологии игроков и профессии гейм-дизайнера до этапов препродакшена, продакшена и подготовки к релизу. Ключевые разделы посвящены гейм-дизайну, левел-дизайну, игровому балансу, экономике, документированию, тестированию и работе с отзывами. Авторы подчеркивают, что создание игр — это итеративный процесс, требующий практики, и что ошибки неизбежны, но именно они формируют опыт разработчика. Материал предназначен для новичков, желающих получить системные знания об игровом рынке и методологии разработки, будь то для работы в студии или в качестве инди-разработчика.</t>
  </si>
  <si>
    <t>Элементы гейм-дизайна. Как создавать игры, от которых невозможно оторваться</t>
  </si>
  <si>
    <t>Роберт Зубек</t>
  </si>
  <si>
    <t>Элементы гейм-дизайна.pdf</t>
  </si>
  <si>
    <t>Книга Роберта Зубека представляет собой практическое введение в гейм-дизайн, посвященное созданию увлекательных игр. Автор фокусируется на дизайне геймплея, предлагая анализировать игры на трех уровнях: чистая механика, динамика поведения и конечный опыт игрока. В основе подхода лежат три столпа разработки, а также используются принятые в индустрии модели и терминология. Издание предназначено для новичков, особенно студентов вводных курсов, и содержит иллюстрации, схемы и упражнения для освоения профессии.</t>
  </si>
  <si>
    <t>Archi User Guide</t>
  </si>
  <si>
    <t>Phillipus</t>
  </si>
  <si>
    <t>Проектирование и моделирование информационных систем/ArchiMate</t>
  </si>
  <si>
    <t>Проектирование и моделирование информационных систем</t>
  </si>
  <si>
    <t>ArchiMate</t>
  </si>
  <si>
    <t>Archi User Guide.pdf</t>
  </si>
  <si>
    <t>C:\Users\alexa\YandexDisk\Книги\Проектирование и моделирование информационных систем\ArchiMate</t>
  </si>
  <si>
    <t>Это руководство пользователя описывает Archi — бесплатный инструмент с открытым исходным кодом для создания моделей на языке ArchiMate, используемый в корпоративной архитектуре. В книге рассматриваются установка программы, структура рабочего пространства (окна моделей, свойств, навигатора и палитры), а также базовые функции, такие как отмена действий и работа с вкладками. Руководство предназначено для архитекторов и моделистов любого уровня, включая новичков, которые делают первые шаги в ArchiMate.</t>
  </si>
  <si>
    <t>ArchiMate+Arch-презентацияi</t>
  </si>
  <si>
    <t>Коптелов Андрей Константинович</t>
  </si>
  <si>
    <t>ArchiMate+Arch-презентацияi.pdf</t>
  </si>
  <si>
    <t>Этот фрагмент представляет собой презентацию, посвященную инструменту Archi 4.0 и языку моделирования ArchiMate 3.0 для описания архитектуры предприятия. Ключевые концепции включают элементы структуры (активные, пассивные), поведения (процессы, функции, события) и мотивации (цели, требования, заинтересованные стороны), а также стратегические элементы. Материал предназначен для специалистов в области управления бизнес-процессами и ИТ, имеющих базовое понимание архитектуры предприятия, и сравнивает Archi с коммерческими инструментами вроде Visio и ARIS.</t>
  </si>
  <si>
    <t>ArchiMate 3.1 Specification</t>
  </si>
  <si>
    <t>The Open Group</t>
  </si>
  <si>
    <t>ARCHIMATE_v3_1_spec.pdf</t>
  </si>
  <si>
    <t>Данный фрагмент представляет собой официальную спецификацию ArchiMate 3.1 — стандарта языка архитектурного моделирования предприятия, разработанного консорциумом The Open Group. Ключевые разделы включают описание структуры языка, его наслоение (layering), базовую и полную структуру фреймворка, а также классификацию элементов на поведенческие, структурные и мотивационные. Документ предназначен для специалистов в области корпоративной архитектуры, архитекторов и аналитиков, уже знакомых с основами моделирования, так как содержит строгие технические определения и метамодели.</t>
  </si>
  <si>
    <t>Конспект курса лекций - Основы ArchiMate</t>
  </si>
  <si>
    <t>Рубенчик А.В.</t>
  </si>
  <si>
    <t>EA_ArchiMate-lecture_2.pdf</t>
  </si>
  <si>
    <t>Этот фрагмент представляет собой конспект лекции по основам языка моделирования архитектуры предприятия ArchiMate. В нём подробно разбираются базовые понятия языка: элементы (активные структурные, пассивные структурные и элементы поведения) и отношения между ними, а также объясняется фундаментальное свойство ArchiMate — разделение моделирования структуры и поведения. Ключевая концепция проводится через аналогию с естественным языком, где активный элемент соответствует подлежащему, элемент поведения — глаголу, а пассивный — дополнению. Материал предназначен для новичков и специалистов, начинающих изучение архитектуры предприятия и языка ArchiMate.</t>
  </si>
  <si>
    <t>Тони Бенедикт;Матиас Кирхмер;Марк Шарсиг;Питер Франц;Раджу Саксена;Дэн Моррис;Джек Хилти</t>
  </si>
  <si>
    <t>Проектирование и моделирование информационных систем/BPMN</t>
  </si>
  <si>
    <t>BPMN</t>
  </si>
  <si>
    <t>BPM CBOK 4.0.pdf</t>
  </si>
  <si>
    <t>C:\Users\alexa\YandexDisk\Книги\Проектирование и моделирование информационных систем\BPMN</t>
  </si>
  <si>
    <t>Этот фрагмент представляет собой введение к Своду знаний по управлению бизнес-процессами (BPM CBOK 4.0), который определяет BPM как системный подход к управлению процессами, направленный на достижение стратегических целей организации. Ключевые концепции включают определение BPM как сочетания управленческой дисциплины и ИТ, а также описание миссии и видения Ассоциации профессионалов управления бизнес-процессами (ABPMP), которая выпустила данный свод знаний. Книга предназначена для практикующих специалистов в области процессного управления, включая менеджеров, консультантов и архитекторов, стремящихся к стандартизации знаний и сертификации.</t>
  </si>
  <si>
    <t>Business Process Model and Notation (BPMN), Version 2.0</t>
  </si>
  <si>
    <t>OMG BPMN 2.0 FTF</t>
  </si>
  <si>
    <t>Object Management Group</t>
  </si>
  <si>
    <t>BPMN - formal-11-01-03.pdf</t>
  </si>
  <si>
    <t>Этот фрагмент представляет собой титульную страницу и раздел юридических уведомлений официальной спецификации OMG BPMN 2.0 (Business Process Model and Notation), версии от января 2011 года. Документ определяет стандарт моделирования бизнес-процессов, включая формальные схемы (XSD, XMI) и правила визуальной нотации. Ключевые разделы, упомянутые в отрывке, касаются лицензионных условий, патентных прав и ограничений на использование спецификации. Материал предназначен для разработчиков программного обеспечения, архитекторов и специалистов по бизнес-процессам, а не для новичков, так как содержит юридическую и техническую информацию о стандарте.</t>
  </si>
  <si>
    <t>BPMN 2.0 by Example Version 1.0</t>
  </si>
  <si>
    <t>Falko Menge</t>
  </si>
  <si>
    <t>Object Management Group, Inc.</t>
  </si>
  <si>
    <t>BPMN-dtc-10-06-02.pdf</t>
  </si>
  <si>
    <t>Данный фрагмент представляет собой не книгу, а титульную страницу и лицензионные условия спецификации BPMN 2.0 by Example, выпущенной Object Management Group (OMG) в 2010 году. Документ описывает примеры использования нотации моделирования бизнес-процессов (BPMN 2.0) и содержит юридические уведомления об авторских правах, патентах и условиях использования. Ключевое содержание фрагмента — это правовая информация, а не изложение концепций или разделов самой спецификации. Текст предназначен для разработчиков и специалистов, использующих стандарт BPMN, но не содержит обучающего или аналитического материала.</t>
  </si>
  <si>
    <t>BPMN 2.0 Poster</t>
  </si>
  <si>
    <t>BPMB.de</t>
  </si>
  <si>
    <t>BPMN2_0_Poster_RU.pdf</t>
  </si>
  <si>
    <t>Этот фрагмент представляет собой справочный плакат по нотации BPMN 2.0, используемой для моделирования бизнес-процессов. В нём подробно описаны основные элементы нотации: типы событий (таймер, сообщение, ошибка), действия (задачи, транзакции, подпроцессы), логические операторы (И, ИЛИ, исключающее ИЛИ) и элементы взаимодействия (пулы, дорожки, потоки сообщений). Материал предназначен для специалистов по бизнес-анализу и моделированию процессов, которые уже знакомы с основами и нуждаются в компактном справочнике по синтаксису и семантике элементов BPMN.</t>
  </si>
  <si>
    <t>Руководство по реинжинирингу бизнес-процессов</t>
  </si>
  <si>
    <t>Аброр Ходжаев; Бахтиёр Сайфитдинов; Даце Груберте</t>
  </si>
  <si>
    <t>Baktria press</t>
  </si>
  <si>
    <t>BPR-Manual_designed---Rus---final.pdf</t>
  </si>
  <si>
    <t>Это руководство посвящено методологии реинжиниринга бизнес-процессов (BPR) в сфере государственных услуг, разработанное в рамках совместного проекта Агентства госуслуг Узбекистана и ПРООН. Ключевые разделы включают принципы реинжиниринга (ориентация на граждан, стандартизация, прозрачность, использование ИКТ) и пошаговое практическое применение в шести фазах: от подготовки и анализа текущего состояния (AS-IS) до проектирования улучшенного процесса (TO-BE), пилотирования и внедрения. Материал предназначен для специалистов и поставщиков государственных услуг, участвующих в модернизации административных процессов.</t>
  </si>
  <si>
    <t>Business Process Model and Notation (BPMN) Version 2.0. Графический язык моделирования бизнес-процессов BPMN. Версия 2.0</t>
  </si>
  <si>
    <t>Перевозчиков Константин</t>
  </si>
  <si>
    <t>ООО «Импелтех»</t>
  </si>
  <si>
    <t>oficialnoe-opisanie-notacii-bpmn-na-russkom-yazyke.pdf</t>
  </si>
  <si>
    <t>Этот документ представляет собой перевод на русский язык официальной спецификации нотации BPMN 2.0 — графического языка для моделирования бизнес-процессов. Ключевые разделы включают описание типов процессов и хореографий, требования к моделированию и исполнению, а также правила переноса визуальных моделей. Книга предназначена для специалистов, знакомящихся с принципами построения моделей бизнес-процессов, и может быть полезна как новичкам, так и практикующим аналитикам.</t>
  </si>
  <si>
    <t>Моделирование бизнес-процессов в нотации BPMN : Практикум в BPMS: Bizagi Digital Platform. Часть II</t>
  </si>
  <si>
    <t>Владимир Репин</t>
  </si>
  <si>
    <t>Repin_V._Modelirovanie_Biznes_Proc.pdf</t>
  </si>
  <si>
    <t>Книга Владимира Репина посвящена практическому применению нотации BPMN для настройки и запуска исполняемых бизнес-процессов в BPMS Bizagi Digital Platform. В ней рассматриваются имитационное моделирование в Business Studio, типовые ошибки при создании описательных моделей и пошаговая настройка группы связанных процессов. Издание предназначено для читателей, желающих получить базовые практические навыки проектирования и автоматизации процессов в современной BPM-системе.</t>
  </si>
  <si>
    <t>Моделирование бизнес-процессов в нотации BPMN2.0</t>
  </si>
  <si>
    <t>И.Г. Фёдоров</t>
  </si>
  <si>
    <t>МЭСИ</t>
  </si>
  <si>
    <t>И_Г_Фёдоров_Моделирование_бизнес_процессов_в_нотации_BPMN2_0.pdf</t>
  </si>
  <si>
    <t>Книга И.Г. Фёдорова посвящена моделированию бизнес-процессов в нотации BPMN 2.0, включая создание исполняемых моделей для внутриорганизационных и межорганизационных процессов. В ней рассматриваются ключевые концепции, такие как типы диаграмм (оркестровка, взаимодействие, хореография), элементы управления, операции, логические операторы и события. Издание предназначено для широкого круга специалистов, владеющих основами аналитического моделирования и желающих перейти к разработке исполняемых моделей.</t>
  </si>
  <si>
    <t>Моделирование бизнес-процессов в нотации BPMN</t>
  </si>
  <si>
    <t>Моделирование бизнес-процессов в нотации BPMN.pdf</t>
  </si>
  <si>
    <t>Эта книга Владимира Репина представляет собой практическое пособие для начинающих по освоению нотации BPMN, используемой для моделирования и анализа бизнес-процессов. В ней рассматриваются основы создания графических схем, включая пулы, дорожки, события, операции, шлюзы и потоки документов, а также логика процессов и межпроцессное взаимодействие. Ключевые разделы охватывают анализ качества схем, декомпозицию и описание сквозных процессов. Материал предназначен для сотрудников, впервые приступающих к описанию процессов, и позволяет освоить нотацию на начальном уровне за один день.</t>
  </si>
  <si>
    <t>моделирование бизнес-процессов в нотации bpmn_влад.epub</t>
  </si>
  <si>
    <t>Книга Владимира Репина представляет собой краткое методическое пособие по освоению нотации BPMN для практического описания и анализа бизнес-процессов. В ней рассматриваются основы графической схемы процесса, логика с использованием шлюзов, движение документов, межпроцессное взаимодействие и анализ качества схем. Ключевые разделы включают пулы и дорожки, события, операции, шлюзы «И» и «ИЛИ», а также граничные события и декомпозицию. Пособие предназначено для сотрудников, которые впервые приступают к описанию процессов, и позволяет освоить начальный уровень нотации за один день.</t>
  </si>
  <si>
    <t>ФСИС_Нотация BPMN</t>
  </si>
  <si>
    <t>Пользователь Windows</t>
  </si>
  <si>
    <t>ФСИС_Нотация BPMN.pdf</t>
  </si>
  <si>
    <t>Этот фрагмент представляет собой учебно-методическое пособие по нотации BPMN, предназначенное для моделирования бизнес-процессов. Ключевые концепции включают определение бизнес-процесса, цели и ограничения нотации BPMN, а также обзор основных элементов диаграмм: элементов управления (операции, логические операторы, события), соединительных элементов (потоки управления, сообщений, ассоциации) и артефактов. Материал ориентирован на широкий круг бизнес-пользователей, включая бизнес-аналитиков, технических разработчиков и менеджеров, и подходит как для новичков, так и для специалистов, желающих освоить стандарт визуального описания процессов.</t>
  </si>
  <si>
    <t>Создание функциональной модели информационной системы с помощью CASE-средства CA ERwin Process Modeler 7.3</t>
  </si>
  <si>
    <t>В. И. Горбаченко; Г. Ф. Убиенных; Г. В. Бобрышева</t>
  </si>
  <si>
    <t>ПГУ</t>
  </si>
  <si>
    <t>Функциональное моделирование.pdf</t>
  </si>
  <si>
    <t>Это учебное пособие посвящено созданию функциональных моделей информационных систем с помощью CASE-средства CA ERwin Process Modeler 7.3. В книге рассматриваются ключевые методологии моделирования предметной области: IDEF0, DFD и IDEF3, а также приводятся практические примеры построения контекстных диаграмм, диаграмм декомпозиции и дерева узлов. Пособие предназначено для студентов, бакалавров и магистров, обучающихся по направлениям «Прикладная информатика» и «Информатика и вычислительная техника», а также для всех, кто осваивает проектирование информационных систем.</t>
  </si>
  <si>
    <t>Методология функционального моделирования IDEF0</t>
  </si>
  <si>
    <t>Научно-исследовательский Центр CALS – технологий «Прикладная Логистика»</t>
  </si>
  <si>
    <t>Госстандарт России</t>
  </si>
  <si>
    <t>Проектирование и моделирование информационных систем/IDEF0</t>
  </si>
  <si>
    <t>IDEF0</t>
  </si>
  <si>
    <t>idef0-rus.pdf</t>
  </si>
  <si>
    <t>C:\Users\alexa\YandexDisk\Книги\Проектирование и моделирование информационных систем\IDEF0</t>
  </si>
  <si>
    <t>Этот руководящий документ представляет собой официальную российскую адаптацию стандарта США по методологии функционального моделирования IDEF0, предназначенную для анализа и описания производственно-технических и организационно-экономических систем. Ключевые разделы включают концепцию IDEF0, синтаксис и семантику графического языка (блоки, стрелки, диаграммы), правила построения моделей, а также методику организации процесса моделирования с определением ролей участников (руководитель, разработчик, библиотекарь). Документ рассчитан на специалистов в области системного анализа, проектирования и реинжиниринга бизнес-процессов, владеющих базовыми понятиями моделирования.</t>
  </si>
  <si>
    <t>Функциональное моделирование на базе стандарта IDEF0</t>
  </si>
  <si>
    <t>Киселев Д.Ю.; Киселев Ю.В.; Вавилин А.В.</t>
  </si>
  <si>
    <t>Издательство СГАУ</t>
  </si>
  <si>
    <t>Киселев Д.Ю. Функциональное моделирование.pdf</t>
  </si>
  <si>
    <t>Данный фрагмент представляет собой методические указания по функциональному моделированию на базе стандарта IDEF0. Ключевые концепции включают ре-инжиниринг деловых процессов, методологию структурного анализа SADT, а также описание семейства стандартов IDEF (IDEF0, IDEF1/1X, IDEF2) для создания функциональных и информационных моделей. Пособие предназначено для студентов технических специальностей, то есть для новичков, изучающих основы графического описания и анализа производственных систем.</t>
  </si>
  <si>
    <t>Expert Data Modeling with Power BI</t>
  </si>
  <si>
    <t>Soheil Bakhshi</t>
  </si>
  <si>
    <t>Проектирование и моделирование информационных систем/PowerBi</t>
  </si>
  <si>
    <t>PowerBi</t>
  </si>
  <si>
    <t>POWER BI Моделирование на экспертном уровне.pdf</t>
  </si>
  <si>
    <t>C:\Users\alexa\YandexDisk\Книги\Проектирование и моделирование информационных систем\PowerBi</t>
  </si>
  <si>
    <t>Книга Сохейла Бахши посвящена экспертному моделированию данных в Power BI, описывая техники подключения к данным, их преобразования с помощью Power Query и DAX, а также построения оптимизированных моделей для бизнес-требований. Ключевые концепции включают слои данных (подготовки, модели и визуализации), схемы «звезда» и «снежинка», денормализацию, итеративный подход к моделированию и варианты лицензирования. Издание предназначено для пользователей систем бизнес-аналитики, специалистов и разработчиков в области анализа данных, желающих повысить квалификацию и расширить навыки использования Power BI (уровень — от продвинутого до экспертного).</t>
  </si>
  <si>
    <t>Power Query в Excel и Power BI: сбор, объединение и преобразование данных</t>
  </si>
  <si>
    <t>Гил Равив</t>
  </si>
  <si>
    <t>Power Query в Excel и Power BI.zip</t>
  </si>
  <si>
    <t>Книга Гила Равива посвящена инструменту Power Query для сбора, объединения и преобразования данных в Excel и Power BI. В ней рассматриваются базовые и продвинутые методы обработки таблиц, отмена свертывания столбцов, работа с языком формул M, а также вопросы текстовой аналитики и анализа социальных сетей. Издание предназначено для аналитиков данных и продвинутых пользователей Excel, желающих автоматизировать обработку данных без сложных формул и макросов.</t>
  </si>
  <si>
    <t>Guide for Writing Requirements</t>
  </si>
  <si>
    <t>INCOSE</t>
  </si>
  <si>
    <t>Проектирование и моделирование информационных систем/UML</t>
  </si>
  <si>
    <t>UML</t>
  </si>
  <si>
    <t>INCOSE Guide for Writing Requirements.pdf</t>
  </si>
  <si>
    <t>C:\Users\alexa\YandexDisk\Книги\Проектирование и моделирование информационных систем\UML</t>
  </si>
  <si>
    <t>Этот документ представляет собой официальное руководство INCOSE (Международного совета по системной инженерии) по написанию качественных текстовых требований. В нём подробно описываются характеристики как отдельных требований (необходимость, однозначность, проверяемость), так и их наборов (полнота, непротиворечивость), а также приводятся конкретные правила и грамматические рекомендации для их формулирования. Книга предназначена для системных инженеров, аналитиков и специалистов, работающих с требованиями, и требует базового понимания системной инженерии.</t>
  </si>
  <si>
    <t>Modeling and Simulation in Python</t>
  </si>
  <si>
    <t>Jason M. Kinser</t>
  </si>
  <si>
    <t>Modeling and Simulation in Python.pdf</t>
  </si>
  <si>
    <t>Эта книга Джейсона Кинсера знакомит с фундаментальными методами компьютерного моделирования в Python, используемыми в науке и инженерии. Ключевые разделы охватывают случайные величины, метод Монте-Карло, модели самоорганизации, скрытые марковские модели и анализ связных данных на примерах из биологии, спорта и литературы. Издание предназначено для читателей, уже имеющих базовые навыки программирования, и развивает алгоритмическое мышление через практические проекты.</t>
  </si>
  <si>
    <t>Software Engineering with UML</t>
  </si>
  <si>
    <t>Bhuvan Unhelkar</t>
  </si>
  <si>
    <t>Software Engineering  UML.pdf</t>
  </si>
  <si>
    <t>Этот фрагмент представляет собой введение к книге «Software Engineering with UML» Бхувана Унхелкара, посвящённой основам программной инженерии с использованием объектно-ориентированного подхода и языка UML. В первой главе рассматриваются шесть фундаментальных концепций объектно-ориентированного программирования: классификация, абстракция, инкапсуляция, ассоциация, наследование и полиморфизм, а также исторический контекст развития моделирования. Книга предназначена для специалистов и студентов, изучающих программную инженерию, и предполагает наличие базовых знаний в этой области.</t>
  </si>
  <si>
    <t>UML для простых смертных</t>
  </si>
  <si>
    <t>UML для простых смертных.pdf</t>
  </si>
  <si>
    <t>Книга «UML для простых смертных» посвящена основам языка визуального моделирования UML, предназначенного для проектирования программных систем. В рассмотренном фрагменте объясняются ключевые концепции, такие как диаграммы вариантов использования и классов, а также их роль в описании требований и структуры системы. Материал ориентирован на новичков и разработчиков, которые хотят быстро освоить базовые принципы UML без углубления в сложную теорию.</t>
  </si>
  <si>
    <t>UML Diagramming: A Case Study Approach</t>
  </si>
  <si>
    <t>Sundaramoorthy, Suriya</t>
  </si>
  <si>
    <t>UML.Diagramming (восстановленный).pdf</t>
  </si>
  <si>
    <t>Книга «UML Diagramming» представляет собой практическое руководство по освоению диаграмм UML с использованием кейсов из различных отраслей. В ней рассматриваются ключевые типы диаграмм (вариантов использования, активностей, последовательностей, классов, компонентов и развертывания), а также основы объектно-ориентированного проектирования и анализа. Издание предназначено для студентов и специалистов, желающих научиться применять UML на практике, начиная с базового уровня.</t>
  </si>
  <si>
    <t>Анализ и проектирование систем с использованием UML</t>
  </si>
  <si>
    <t>Э. Г. Галиаскаров; А. С. Воробьев</t>
  </si>
  <si>
    <t>Анализ и проектирование систем с использованием UML.pdf</t>
  </si>
  <si>
    <t>Это учебное пособие посвящено практическому применению языка UML для анализа и проектирования программных систем. Ключевые разделы включают разработку концептуальной модели классов, модели вариантов использования и их спецификацию, а также работу с инструментами Visual Paradigm и MDriven. Книга предназначена для студентов ИТ-направлений, преподавателей и всех, кто интересуется системным подходом в разработке, и рассчитана на начальный и средний уровень подготовки.</t>
  </si>
  <si>
    <t>Практическое моделирование на UML</t>
  </si>
  <si>
    <t>Бойцов А. К.; Колмогорова С. С.</t>
  </si>
  <si>
    <t>Реноме</t>
  </si>
  <si>
    <t>Практическое моделирование на UML.pdf</t>
  </si>
  <si>
    <t>Монография посвящена практическому применению языка UML для моделирования структуры приложений, поведения и бизнес-процессов при разработке программного обеспечения. В книге рассматриваются такие ключевые темы, как типы диаграмм (структурные и поведения), моделирование баз данных и процессов, а также разработка алгоритмов и процедур оформления заказов. Издание предназначено для специалистов и пользователей, уже знакомых с основами разработки, которые нуждаются в профессиональной помощи для решения проблем проектирования с помощью диаграмм UML.</t>
  </si>
  <si>
    <t>Программная инженерия (UML)</t>
  </si>
  <si>
    <t>М. М. Маран</t>
  </si>
  <si>
    <t>Программная инженерия (UML).pdf</t>
  </si>
  <si>
    <t>Учебное пособие М. М. Марана посвящено основам программной инженерии, включая этапы жизненного цикла ПО, обзор методологий разработки и подробное рассмотрение объектно-ориентированного подхода с использованием языка UML. Ключевые разделы охватывают диаграммы UML, процессы анализа и проектирования, а также вопросы реализации на C# и тестирования в среде Microsoft Visual Studio. Книга предназначена для студентов вузов, имеющих базовую подготовку по программированию и впервые приступающих к изучению методов разработки программного обеспечения.</t>
  </si>
  <si>
    <t>README. Суровые реалии разработчиков</t>
  </si>
  <si>
    <t>Крис Риккомини; Дмитрий Рябой</t>
  </si>
  <si>
    <t>Проектирование и моделирование информационных систем/Методы проектирования</t>
  </si>
  <si>
    <t>Методы проектирования</t>
  </si>
  <si>
    <t>README-Суровые реалии разработчиков.pdf</t>
  </si>
  <si>
    <t>C:\Users\alexa\YandexDisk\Книги\Проектирование и моделирование информационных систем\Методы проектирования информационных систем</t>
  </si>
  <si>
    <t>Книга «README. Суровые реалии разработчиков» посвящена практическим аспектам работы программиста, которым не учат в университетах, и охватывает ключевые концепции инжиниринга: работу с кодом промышленного уровня, тестирование, ревью кода, непрерывную интеграцию, управление зависимостями, архитектуру ПО, гибкое планирование и построение карьеры. Издание предназначено для начинающих разработчиков, которые хотят освоить лучшие практики, применяемые в ведущих IT-компаниях, и успешно адаптироваться к реальным условиям разработки.</t>
  </si>
  <si>
    <t>Изучаем DDD – предметно-ориентированное проектирование</t>
  </si>
  <si>
    <t>Влад Хононов</t>
  </si>
  <si>
    <t>Проектирование и моделирование информационных систем/Методы проектирования информационных систем</t>
  </si>
  <si>
    <t>Методы проектирования информационных систем</t>
  </si>
  <si>
    <t>Изучаем DDD – предметно-ориентированное проектирование.pdf</t>
  </si>
  <si>
    <t>Книга Владислава Хононова посвящена методологии предметно-ориентированного проектирования (DDD), которая помогает структурировать сложное программное обеспечение в условиях дробления бизнес-областей. В первой части рассматривается стратегическое проектирование, включающее анализ предметной области и выделение поддоменов (основных, универсальных и вспомогательных), а также их сравнение по сложности и изменчивости. Материал предназначен для архитекторов ПО, бизнес-аналитиков и разработчиков корпоративных систем, уже имеющих опыт в проектировании.</t>
  </si>
  <si>
    <t>Объектно-ориентированный анализ</t>
  </si>
  <si>
    <t>Объектно-ориентированный анализ.pdf</t>
  </si>
  <si>
    <t>Книга представляет собой практическое введение в объектно-ориентированный анализ и проектирование (ООАП), в котором акцент сделан на применении UML и сценариев использования для создания качественного программного обеспечения. Ключевые концепции включают последовательную проработку примеров через все стадии разработки — от анализа требований до тестирования и итеративной разработки, с опорой на проверенные принципы проектирования. Издание ориентировано на широкую аудиторию: от новичков, делающих первые шаги в проектировании, до опытных Java-программистов, которые хотят освоить ООАП без погружения в сложные теоретические тома.</t>
  </si>
  <si>
    <t>Объектно_ориентированное_мышление.pdf</t>
  </si>
  <si>
    <t>Книга Мэтта Вайсфельда посвящена освоению объектно-ориентированного мышления как фундаментального подхода, предшествующего изучению конкретных языков программирования. В ней рассматриваются ключевые концепции ООП, проектирование классов, наследование, композиция, работа с данными и шаблоны проектирования. Издание предназначено для разработчиков-новичков, желающих перейти от процедурного к объектно-ориентированному программированию, а также для специалистов, стремящихся углубить понимание принципов ООП.</t>
  </si>
  <si>
    <t>The Object-Oriented Thought Process</t>
  </si>
  <si>
    <t>Matt Weisfeld</t>
  </si>
  <si>
    <t>Объектно_ориентированный_подход_2020.pdf</t>
  </si>
  <si>
    <t>Книга Мэтта Вайсфельда «Объектно-ориентированный подход» посвящена фундаментальным принципам объектно-ориентированного программирования (ООП) и формированию правильного мышления, предшествующего изучению конкретных языков. Ключевые разделы охватывают анатомию классов, наследование и композицию, паттерны проектирования, а также принципы SOLID для создания гибкого и сопровождаемого кода. Издание ориентировано на разработчиков, уже имеющих базовый опыт программирования, которые хотят углубить понимание ОО-концепций и научиться применять их на практике.</t>
  </si>
  <si>
    <t>ОСРВ и технологии разработки кроссплатформенного ПО. Части 1-3</t>
  </si>
  <si>
    <t>ОСРВ_и_технологии_разработки_кроссплатформенного_ПО_Части_1_3.zip</t>
  </si>
  <si>
    <t>Оценка качества программного обеспечения. Практикум</t>
  </si>
  <si>
    <t>Оценка качества программного обеспечения. Практикум.pdf</t>
  </si>
  <si>
    <t>Данный фрагмент книги посвящен методам и практическим подходам к оценке качества программного обеспечения. Ключевые концепции включают метрики качества, стандарты тестирования и процедуры верификации, а также анализ надежности и производительности ПО. Издание предназначено для специалистов в области проектирования информационных систем, разработчиков и тестировщиков, имеющих базовый уровень подготовки и желающих углубить практические навыки в контроле качества.</t>
  </si>
  <si>
    <t>Простое объектно-ориентированное проектирование: чистый и гибкий код</t>
  </si>
  <si>
    <t>Аниче Маурисио</t>
  </si>
  <si>
    <t>Простое объектно-ориентированное проектирование.pdf</t>
  </si>
  <si>
    <t>Книга Маурисио Аниче посвящена принципам и практическим приёмам объектно-ориентированного проектирования, направленным на сохранение простоты и гибкости кодовой базы по мере её роста. Ключевые разделы охватывают управление сложностью, сокращение кода, обеспечение согласованности объектов, управление зависимостями, разработку хороших абстракций и модульность. Издание предназначено для программистов среднего и продвинутого уровня, желающих улучшить качество своего кода и научиться проектировать чистые, поддерживаемые системы.</t>
  </si>
  <si>
    <t>Современная программная инженерия. ПО в эпоху эджайла и непрерывного развертывания</t>
  </si>
  <si>
    <t>Дэвид Фарли</t>
  </si>
  <si>
    <t>Современная программная инженерия.pdf</t>
  </si>
  <si>
    <t>Книга Дэвида Фарли «Современная программная инженерия» посвящена фундаментальным принципам разработки ПО в эпоху Agile и непрерывного развертывания, с акцентом на управление сложностью и непрерывное обучение. Автор переосмысляет понятие программной инженерии, отделяя её от ремесленного подхода и производства, и рассматривает такие ключевые темы, как точность, масштабируемость, повторяемость и эмпирические итеративные техники. Книга предназначена для опытных разработчиков и специалистов, стремящихся повысить качество кода и эффективность рабочих процессов.</t>
  </si>
  <si>
    <t>Издательство «Русская редакция»; БХВ-Петербург</t>
  </si>
  <si>
    <t>Проектирование и моделирование информационных систем/Управление требованиями</t>
  </si>
  <si>
    <t>Управление требованиями</t>
  </si>
  <si>
    <t>Вигерс Разработка требований_к_программному_обеспечению.pdf</t>
  </si>
  <si>
    <t>C:\Users\alexa\YandexDisk\Книги\Проектирование и моделирование информационных систем\Управление требованиями</t>
  </si>
  <si>
    <t>Книга представляет собой подробное руководство по разработке качественных требований к программному обеспечению, охватывающее проверенные методы их выявления, формулирования, проверки и тестирования. Ключевые концепции включают уровни и типы требований, а также разделение на разработку и управление требованиями, при этом третье издание дополнено приемами для гибкой (agile) разработки. Издание предназначено для бизнес-аналитиков, разработчиков, тестировщиков, маркетологов и менеджеров проектов, стремящихся понять и удовлетворить потребности клиентов, то есть для специалистов среднего и продвинутого уровня.</t>
  </si>
  <si>
    <t>Жемчужины разработки. Чему мы научились за 50 лет создания ПО</t>
  </si>
  <si>
    <t>Карл Вигерс</t>
  </si>
  <si>
    <t>Вигерс. Жемчужины разработки.pdf</t>
  </si>
  <si>
    <t>Книга Карла Вигерса «Жемчужины разработки» обобщает 50-летний опыт создания программного обеспечения в виде 60 практических уроков, охватывающих шесть ключевых областей: требования, проектирование, управление проектами, культуру и командную работу, качество и совершенствование процессов. Основная идея заключается в том, чтобы помочь читателям учиться на чужих ошибках и избегать типичных проблем, предлагая конкретные «первые шаги» и «следующие шаги» для внедрения знаний. Издание предназначено для профессионалов в сфере разработки ПО любого уровня — от новичков до опытных специалистов, желающих повысить эффективность своих проектов и команд.</t>
  </si>
  <si>
    <t>Разработка и управление требованиями</t>
  </si>
  <si>
    <t>Elizabeth Hull; Kenneth Jackson; Jeremy Dick</t>
  </si>
  <si>
    <t>Разработка и управление требованиями.pdf</t>
  </si>
  <si>
    <t>Книга «Разработка и управление требованиями» представляет собой практическое руководство по управлению требованиями в проектировании систем, основанное на академическом подходе. Ключевые концепции включают общий процесс разработки, метод расширенных связей, применение UML2 и моделирование, а также использование инструмента Telelogic DOORS. Издание предназначено для студентов и специалистов, занимающихся проектированием систем и желающих углубить знания в области управления требованиями.</t>
  </si>
  <si>
    <t>50 приемов письма от Роя Питера Кларка</t>
  </si>
  <si>
    <t>Рой Питер Кларк</t>
  </si>
  <si>
    <t>Разработка текстов и документов</t>
  </si>
  <si>
    <t>50 примемов письма от Питера Кларка.pdf</t>
  </si>
  <si>
    <t>C:\Users\alexa\YandexDisk\Книги\Разработка текстов и документов</t>
  </si>
  <si>
    <t>Это практическое руководство по писательскому мастерству от легендарного журналиста и председателя Пулитцеровской премии Роя Питера Кларка. Книга разделена на четыре части, охватывающие основы грамматики и стиля, спецэффекты для выразительности, стратегии планирования текста и полезные привычки автора. Внутри содержится 50 конкретных приемов и 200 упражнений, направленных на преодоление творческих сомнений и создание идеального текста. Издание адресовано как начинающим авторам, так и профессиональным писателям, желающим отточить свое мастерство.</t>
  </si>
  <si>
    <t>Writing is Designing: Words and the User Experience</t>
  </si>
  <si>
    <t>Michael J. Metts; Andy Welfle</t>
  </si>
  <si>
    <t>Здесь должен быть текст.pdf</t>
  </si>
  <si>
    <t>Книга «Здесь должен быть текст. Профессиональный UX-райтинг» посвящена роли текста в пользовательском опыте (UX) и доказывает, что написание текстов — это неотъемлемая часть дизайна, а не просто «надписи на кнопках». Ключевые концепции включают стратегию и исследование пользователей, достижение ясности и снижение когнитивной нагрузки, работу с ошибками, инклюзивность и доступность, а также разработку голоса и тона продукта. Издание предназначено для технических и UX-писателей, а также для всех специалистов, работающих над цифровыми продуктами, от новичков до опытных практиков.</t>
  </si>
  <si>
    <t>Пиши, сокращай</t>
  </si>
  <si>
    <t>Максим Ильяхов; Людмила Сарычева</t>
  </si>
  <si>
    <t>Пиши, сокращай - Максим Ильяхов &amp; Людмила Сарычева.epub</t>
  </si>
  <si>
    <t>Эта книга Максима Ильяхова и Людмилы Сарычевой посвящена созданию сильных, убедительных и кратких текстов в информационном стиле. Авторы разбирают ключевые концепции: как избавляться от языкового мусора (вводных слов, штампов, оценок и канцеляризмов), как структурировать текст и делать его информативным, а также как писать продающие и сопроводительные письма. Издание предназначено для широкой аудитории — от новичков до опытных специалистов, которые хотят, чтобы их тексты читали, понимали и на них реагировали.</t>
  </si>
  <si>
    <t>Этой кнопке нужен текст. O UX-писательстве коротко и понятно</t>
  </si>
  <si>
    <t>Кирилл Егерев</t>
  </si>
  <si>
    <t>Этой кнопке нужен текст.pdf</t>
  </si>
  <si>
    <t>Книга Кирилла Егерева посвящена UX-писательству — созданию коротких и понятных текстов для интерфейсов (кнопки, сообщения об ошибках, подсказки), которые улучшают пользовательский опыт. Автор объясняет, почему текст в интерфейсе требует отдельного специалиста, а не просто копирайтера или дизайнера, и разбирает ключевые принципы работы: важность контекста, логики и заботы о пользователе. Книга предназначена как для новичков, желающих освоить профессию UX-писателя, так и для опытных специалистов (дизайнеров, менеджеров), которые хотят понять, как эффективно взаимодействовать с такими авторами и интегрировать их работу в процесс разработки.</t>
  </si>
  <si>
    <t>Основы тестирования программного обеспечения</t>
  </si>
  <si>
    <t>С. М. Старолетов</t>
  </si>
  <si>
    <t>Тестирование</t>
  </si>
  <si>
    <t>!!! Основы тестирования ПО.pdf</t>
  </si>
  <si>
    <t>C:\Users\alexa\YandexDisk\Книги\Тестирование</t>
  </si>
  <si>
    <t>Данный фрагмент представляет собой введение к учебному пособию «Основы тестирования программного обеспечения» С. М. Старолетова. Книга посвящена методам обеспечения качества ПО, включая модульное тестирование в IntelliJ IDEA и MS Visual Studio, TDD, BDD, автоматизированное тестирование в IBM Rational Tester и Selenium, а также контрактное программирование и Model Based Testing. Пособие предназначено для студентов СПО, обучающихся по специальности «Информационные системы», и требует начальных навыков объектно-ориентированного программирования.</t>
  </si>
  <si>
    <t>Agile-тестирование.pdf</t>
  </si>
  <si>
    <t>Книга «Agile-тестирование» Джанет Грегори и Лайзы Криспин представляет собой практическое руководство по процессу тестирования в гибких методологиях разработки. Ключевые разделы охватывают корпоративную культуру, обучение команды, планирование тестирования, оценку бизнес-ценности, исследовательское тестирование и автоматизацию. Издание предназначено для специалистов IT-отрасли, желающих перейти на Agile и улучшить свои показатели, и будет полезно как новичкам, так и опытным тестировщикам и всей команде разработки.</t>
  </si>
  <si>
    <t>Effective Software Testing MEAP V04</t>
  </si>
  <si>
    <t>Maurício Aniche</t>
  </si>
  <si>
    <t>Effective Software Testing A developer guide 2022.pdf</t>
  </si>
  <si>
    <t>Книга «Effective Software Testing» посвящена систематическим техникам поиска ошибок в коде, а не просто инструментам тестирования. Автор предлагает инженерный подход к созданию надёжных тестов, исследуя граничные случаи и «уголки» кода. Ключевые разделы охватывают спецификационное и структурное тестирование, проектирование контрактов, property-based testing, тестовые дублёры, TDD и качество тестового кода. Книга рассчитана как на начинающих разработчиков, так и на опытных специалистов, желающих углубить понимание тестирования, и требует лишь базового знания Java.</t>
  </si>
  <si>
    <t>End-to-End Web Testing with Cypress</t>
  </si>
  <si>
    <t>Waweru Mwaura</t>
  </si>
  <si>
    <t>End-to-End Web Testing CyPress.pdf</t>
  </si>
  <si>
    <t>Книга «End-to-End Web Testing with Cypress» посвящена автоматизации сквозного тестирования фронтенд-веб-приложений с использованием инструмента Cypress и языка JavaScript. В ней рассматриваются установка и настройка Cypress, а также практические техники написания тестов. Издание предназначено для разработчиков и инженеров по автоматизации тестирования, стремящихся освоить современные подходы к обеспечению качества веб-приложений.</t>
  </si>
  <si>
    <t>Full Stack Testing</t>
  </si>
  <si>
    <t>Mohan, Gayathri</t>
  </si>
  <si>
    <t>Full_Stack_Testing_A_Practical_Guide_for_Delivering_High_Quality.pdf</t>
  </si>
  <si>
    <t>Книга «Full Stack Testing» Гаятри Мохан представляет собой практическое руководство по всестороннему тестированию программного обеспечения, охватывающее 10 различных категорий тестирования, включая производительность, безопасность, доступность, исследовательское тестирование, автоматизацию и мобильное тестирование. Автор предлагает более 40 инструментов и примеров для применения стратегий и концепций тестирования в веб- и мобильных приложениях, а также рассматривает интеграцию тестов в конвейеры непрерывной поставки. Издание предназначено как для профессиональных разработчиков и QA-инженеров, так и для новичков, желающих улучшить навыки и освоить лучшие практики обеспечения качества.</t>
  </si>
  <si>
    <t>Гибкое тестирование: Практическое руководство для тестировщиков</t>
  </si>
  <si>
    <t>Gibkoe_testirovanie_Prakticheskoe_rukovodstvo_dlya_testirovschikov.pdf</t>
  </si>
  <si>
    <t>Книга посвящена гибкому тестированию в управлении проектами и представляет собой практическое руководство для тестировщиков. В ней рассматриваются ключевые концепции адаптивных методологий, включая интеграцию тестирования в Agile-процессы, автоматизацию и работу с итерациями. Издание ориентировано на специалистов среднего уровня, уже знакомых с основами тестирования, но желающих освоить гибкие подходы.</t>
  </si>
  <si>
    <t>Как тестируют в Google</t>
  </si>
  <si>
    <t>Уиттакер Д.; Арбон Д.; Каролло Д.</t>
  </si>
  <si>
    <t>how-google-tests-software.epub</t>
  </si>
  <si>
    <t>Книга описывает подход к тестированию в Google, где основная цель — не просто поиск ошибок, а встраивание качества во все этапы разработки и изменение процессов, чтобы сделать ошибки менее вероятными. Ключевая концепция — трансформация «службы тестирования» в «направление продуктивности разработки», где тестировать должен каждый участник проекта, а качество встраивается на всех уровнях. Книга предназначена для профессионалов индустрии разработки ПО — как для начинающих, так и для опытных тестировщиков, разработчиков и менеджеров.</t>
  </si>
  <si>
    <t>Learning Test-Driven Development</t>
  </si>
  <si>
    <t>Saleem Siddiqui</t>
  </si>
  <si>
    <t>Learning Test-Driven Development A Polyglot Guide to Writing 2022.pdf</t>
  </si>
  <si>
    <t>Книга «Learning Test-Driven Development» Салима Сиддики посвящена методологии разработки через тестирование (TDD) и учит писать чистый, неперегруженный код. Ключевая концепция, представленная в начале, — цикл «Красный-Зеленый-Рефакторинг», который иллюстрируется на примере задачи «Денежная проблема» с использованием языков Go, JavaScript и Python. Издание предназначено для разработчиков, желающих освоить TDD с нуля или углубить свои навыки, и содержит практические примеры на нескольких языках программирования.</t>
  </si>
  <si>
    <t>Practical Test Automation: Learn to Use Jasmine, RSpec, and Cucumber Effectively for Your TDD and BDD</t>
  </si>
  <si>
    <t>Panos Matsinopoulos</t>
  </si>
  <si>
    <t>Practical_Test_Automation_Learn_to_Use_Jasmine,_RSpec,_and_Cucumber.pdf</t>
  </si>
  <si>
    <t>Книга Паноса Мацинопулоса посвящена практическому освоению инструментов автоматизации тестирования Jasmine, RSpec и Cucumber для эффективного применения методологий TDD и BDD. В ней подробно рассматриваются ключевые концепции, такие как написание спецификаций (specs), использование встроенных сопоставлений (matchers), настройка и очистка окружения (setup/teardown), а также вложенные блоки describe и отключение тестов. Издание предназначено для разработчиков, уже знакомых с основами программирования и желающих углубить свои навыки в области тестирования.</t>
  </si>
  <si>
    <t>QA: тестирование, автоматизация и процессы на экспертном уровне</t>
  </si>
  <si>
    <t>Тюлькин И. В.</t>
  </si>
  <si>
    <t>QA тестирование, автоматизация и процессы на экспертном уровне.pdf</t>
  </si>
  <si>
    <t>Книга Ивана Тюлькина посвящена построению процессов в департаменте QA, автоматизации тестирования и разработке фреймворков для микросервисов на экспертном уровне. Ключевые разделы охватывают выстраивание процессов на проекте, работу с артефактами тестирования (тест-кейсы, баг-репорты, планы) и разграничение ролей QA-специалистов. Издание предназначено как для начинающих, так и для опытных специалистов по обеспечению качества, а также для студентов IT-направлений.</t>
  </si>
  <si>
    <t>Тестирование программного обеспечения. Базовый курс. 2-е издание.</t>
  </si>
  <si>
    <t>Святослав Куликов</t>
  </si>
  <si>
    <t>EPAM Systems</t>
  </si>
  <si>
    <t>Software_Testing_Base_Course_Svyatoslav_Kulikov_2nd_edition.pdf</t>
  </si>
  <si>
    <t>Книга Святослава Куликова представляет собой базовый курс по тестированию программного обеспечения, охватывающий фундаментальные понятия, процессы и классификации. Ключевые разделы включают жизненный цикл тестирования, виды и направления тестирования, работу с требованиями, а также создание чек-листов и тест-кейсов. Материал предназначен для новичков, желающих освоить профессию тестировщика, и специалистов, систематизирующих свои знания.</t>
  </si>
  <si>
    <t>The Art of Unit Testing, Third Edition MEAP V07</t>
  </si>
  <si>
    <t>Roy Osherove</t>
  </si>
  <si>
    <t>The Art of Unit Testing, 3rd V7 2022.pdf</t>
  </si>
  <si>
    <t>Книга Роя Ошероува «The Art of Unit Testing» (третье издание) посвящена основам и продвинутым техникам модульного тестирования на JavaScript с использованием фреймворка Jest. Ключевые разделы охватывают определение юнит-тестов и их отличие от интеграционных, работу с заглушками (stubs) и имитацией (mocks), тестирование асинхронного кода, а также вопросы читаемости, поддержки и рефакторинга тестов. Издание предназначено для разработчиков любого уровня, от новичков до опытных специалистов, знакомых с JavaScript ES2015, и будет полезно как бэкенд-, так и фронтенд-разработчикам.</t>
  </si>
  <si>
    <t>Автоматизация тестирования программного обеспечения. Работа в среде SilkTest 8.0</t>
  </si>
  <si>
    <t>В. В. Бахтизин; С. С. Куликов; Е. П. Фадеева</t>
  </si>
  <si>
    <t>БГУИР</t>
  </si>
  <si>
    <t>БГУИР Автоматизация тестирования ПО методичка.pdf</t>
  </si>
  <si>
    <t>Данный фрагмент представляет собой учебно-методическое пособие, посвященное автоматизации тестирования программного обеспечения. В книге рассматриваются классификация видов тестирования, требования к тест-кейсам, вопросы эффективности автоматизации, а также обзор инструментов-лидеров, таких как SilkTest, HP QuickTest Professional и Selenium. Особое внимание уделяется практической работе в среде SilkTest 8.0, включая создание тестовых скриптов и использование технологии Record&amp;Playback. Пособие предназначено для студентов специальности «Программное обеспечение информационных технологий» и специалистов, изучающих дисциплину «Надежность программного обеспечения».</t>
  </si>
  <si>
    <t>Гибкое тестирование</t>
  </si>
  <si>
    <t>Гибкое тестирование.pdf</t>
  </si>
  <si>
    <t>Книга посвящена методологии гибкого тестирования в контексте Agile-разработки. В ней рассматриваются ключевые концепции, такие как интеграция тестирования в каждый этап спринта, автоматизация проверок и управление качеством в условиях быстрых итераций. Издание ориентировано на практикующих тестировщиков, разработчиков и специалистов по контролю качества, уже знакомых с основами тестирования.</t>
  </si>
  <si>
    <t>Доверительное А/В-тестирование</t>
  </si>
  <si>
    <t>Рон Кохави; Диана Тан; Я Сюй</t>
  </si>
  <si>
    <t>Доверительное АВ-тестирование.pdf</t>
  </si>
  <si>
    <t>Эта книга представляет собой практическое руководство по проведению доверительных контролируемых онлайн-экспериментов (A/B-тестов), основанное на опыте Google, LinkedIn и Microsoft. Авторы рассматривают ключевые концепции: научный метод проверки гипотез, определение метрик, проверку достоверности результатов, создание масштабируемых платформ и типичные ловушки, такие как эффекты переноса. Издание адресовано как новичкам, желающим освоить методику, так и профессиональным техническим специалистам и менеджерам, стремящимся улучшить принятие решений на основе данных.</t>
  </si>
  <si>
    <t>Дружеское знакомство с тестированием программ: Пер. с англ.</t>
  </si>
  <si>
    <t>Лабун Б.</t>
  </si>
  <si>
    <t>Дружеское_знакомство_с_тестированием_программ.pdf</t>
  </si>
  <si>
    <t>Книга Билла Лабуна представляет собой вводное руководство по тестированию программного обеспечения, охватывающее базовые понятия, терминологию и методологии контроля качества. В ней подробно рассматриваются классы эквивалентности, граничные и угловые случаи, статическое и динамическое тестирование, а также такие подходы, как юнит-тестирование, разработка через тестирование и комбинаторное тестирование. Отдельное внимание уделяется составлению тест-планов, отчетов о дефектах и вопросам тестирования производительности и безопасности. Издание предназначено для начинающих тестировщиков ПО, желающих получить систематизированные знания с нуля.</t>
  </si>
  <si>
    <t>Дж. Уиттакер; Дж. Арбон; Дж. Каролло</t>
  </si>
  <si>
    <t>Как_тестируют_в_Google.pdf</t>
  </si>
  <si>
    <t>Книга описывает организацию тестирования программных продуктов в Google: процессы, структуру команд, используемые техники и распределение ответственности за качество. Ключевые концепции включают разделение ролей (разработчик в тестировании, инженер по тестированию), классификацию тестов по размерам и принцип «качество ≠ тестирование». Издание предназначено для профессионалов в области разработки ПО — тестировщиков, программистов и менеджеров.</t>
  </si>
  <si>
    <t>Usability Testing Essentials</t>
  </si>
  <si>
    <t>Carol M. Barnum</t>
  </si>
  <si>
    <t>Основы юзабилити-тестирования.pdf</t>
  </si>
  <si>
    <t>Книга Кэрол М. Барнум посвящена методикам и приемам юзабилити-тестирования — процедуре оценки продуктов (сайтов, приложений, устройств) на удобство использования. В начальных главах рассматриваются принципы тестирования, выбор оборудования и изучение пользовательских потребностей, а затем подробно описывается планирование, проведение теста и анализ результатов. Ключевые концепции включают фокус на пользователе, создание сценариев задач, метод «мысли вслух» и сбор метрик. Издание подойдет как новичкам, готовящимся к первому тесту, так и опытным специалистам, желающим развить навыки.</t>
  </si>
  <si>
    <t>Принципы юнит-тестирования</t>
  </si>
  <si>
    <t>Владимир Хориков</t>
  </si>
  <si>
    <t>Принципы UT.pdf</t>
  </si>
  <si>
    <t>Книга Владимира Хорикова «Принципы юнит-тестирования» посвящена правильному подходу к написанию модульных тестов, которые максимизируют качество и скорость разработки, в отличие от некачественных тестов, наносящих вред проекту. В ней рассматриваются универсальные рекомендации по оценке тестов, борьба с антипаттернами, рефакторинг тестов вместе с кодом, а также использование интеграционных тестов и метрик покрытия (code coverage и branch coverage). Издание предназначено для специалистов, стремящихся овладеть профессиональным уровнем тестирования и интегрировать его в жизненный цикл приложения.</t>
  </si>
  <si>
    <t>A Practitioner's Guide to Software Test Design</t>
  </si>
  <si>
    <t>Ли Копланд</t>
  </si>
  <si>
    <t>Руководство по разработке тестов ПО 2019.pdf</t>
  </si>
  <si>
    <t>Этот фрагмент книги Ли Копланда «A Practitioner's Guide to Software Test Design» представляет собой практическое руководство по разработке тестов для программного обеспечения. В нём рассматриваются фундаментальные концепции тестирования, включая определение процесса, уровни зрелости по Бейзеру, а также подробно описываются методы тестирования «чёрного ящика» (классы эквивалентности, граничные значения, таблицы решений, попарное тестирование) и «белого ящика» (поток управления и поток данных). Книга предназначена для практикующих специалистов в области тестирования, обладающих базовыми знаниями, и будет полезна как для новичков, желающих систематизировать подходы, так и для опытных тестировщиков, стремящихся углубить понимание методик.</t>
  </si>
  <si>
    <t>Руководство практикующего специалиста по тестированию 2019.pdf</t>
  </si>
  <si>
    <t>Этот фрагмент представляет собой оглавление и введение к книге Ли Копланда «Руководство практикующего специалиста по тестированию программного обеспечения», посвящённой методам проектирования тестов. Ключевые концепции включают описание пяти уровней зрелости тестирования (от отладки до умственной дисциплины), а также разделение методов на тестирование «чёрного ящика» (классы эквивалентности, граничные значения, попарное тестирование) и «белого ящика» (тестирование потока управления и данных). Книга предназначена для практикующих специалистов в области тестирования, стремящихся систематизировать и углубить свои знания.</t>
  </si>
  <si>
    <t>The Self-Taught Software Tester</t>
  </si>
  <si>
    <t>Chhavi Raj Dosaj</t>
  </si>
  <si>
    <t>Сам себе тестировщик.pdf</t>
  </si>
  <si>
    <t>Эта книга представляет собой пошаговое руководство по тестированию программного обеспечения, сочетающее теоретические основы с практической работой над реальным проектом. В первой части рассматриваются базовые концепции: виды тестирования, дефекты, процесс тестирования и подготовка тест-кейсов, а во второй части на примере банковского проекта Global Sun подробно разбираются все этапы — от стратегии и плана тестирования до регрессионного тестирования и итогового отчета. Издание предназначено для новичков, желающих освоить профессию тестировщика, а также может быть полезно практикующим специалистам в качестве справочного пособия.</t>
  </si>
  <si>
    <t>Тестирование ПО-Куликов_2nd_edition.pdf</t>
  </si>
  <si>
    <t>Это книга Святослава Куликова, представляющая собой базовый курс по тестированию программного обеспечения (второе издание). В ней рассматриваются фундаментальные концепции: определение тестирования, роль тестировщика, процессы разработки и жизненный цикл тестирования, виды и классификации тестирования, а также работа с требованиями, чек-листами и тест-кейсами. Материал предназначен для новичков и начинающих специалистов, желающих получить систематизированные знания о профессии и основных практиках тестирования.</t>
  </si>
  <si>
    <t>Тестирование программного обеспечения. Базовый курс.</t>
  </si>
  <si>
    <t>Тестирование программного обеспечения-бзовый курс.pdf</t>
  </si>
  <si>
    <t>Фрагмент книги Святослава Куликова «Тестирование программного обеспечения. Базовый курс» представляет собой введение в теорию и практику тестирования ПО. В содержании выделены ключевые разделы: определение тестирования и роли тестировщика, процессы разработки и жизненный цикл тестирования, работа с требованиями, подробная классификация видов тестирования, а также создание чек-листов и тест-кейсов. Материал ориентирован на новичков, желающих освоить профессию тестировщика, и содержит разбор типичных ошибок и мифов.</t>
  </si>
  <si>
    <t>Тестирование веб-API</t>
  </si>
  <si>
    <t>Марк Винтерингем</t>
  </si>
  <si>
    <t>Тестирование_веб-API.pdf</t>
  </si>
  <si>
    <t>Книга Марка Винтерингема «Тестирование веб-API» представляет собой практическое руководство по всем этапам тестирования веб-интерфейсов: от проектирования набора тестов до внедрения автоматизации. В ней рассматриваются ключевые концепции, включая исследовательское тестирование, автоматизацию, тестирование контрактов, производительности, безопасности и тестирование в продакшене. Издание предназначено как для новичков, желающих построить стратегию тестирования API с нуля, так и для специалистов, стремящихся улучшить существующие подходы.</t>
  </si>
  <si>
    <t>Фулстек-тестирование</t>
  </si>
  <si>
    <t>Гаятри Мохан</t>
  </si>
  <si>
    <t>Фулстек тестирование.pdf</t>
  </si>
  <si>
    <t>Книга Гаятри Мохан «Фулстек-тестирование» представляет собой всеобъемлющее руководство по тестированию программного обеспечения, охватывающее десять различных категорий, включая ручное исследовательское, автоматизированное функциональное тестирование, тестирование данных, безопасности, производительности, доступности и мобильных приложений. Автор предлагает практические стратегии и примеры использования более 40 инструментов, применимых как при разработке, так и при тестировании веб- и мобильных приложений. Издание предназначено как для профессиональных разработчиков и инженеров по качеству, так и для новичков, желающих освоить навыки обеспечения качества в процессе разработки.</t>
  </si>
  <si>
    <t>Что такое тестирование. Курс молодого бойца</t>
  </si>
  <si>
    <t>Назина О. Е.</t>
  </si>
  <si>
    <t>Что такое тестирование.pdf</t>
  </si>
  <si>
    <t>Книга Ольги Назиной представляет собой практическое руководство по тестированию программного обеспечения, охватывающее полный спектр знаний — от базовых понятий до сложных методик. В ней рассматриваются такие ключевые разделы, как исследование продукта, проектирование тест-кейсов и чек-листов, а также способы поиска и оформления ошибок. Издание предназначено для начинающих тестировщиков, желающих освоить профессию с нуля и собрать портфолио для трудоустройства.</t>
  </si>
  <si>
    <t>Effective Software Testing: A Developer's Guide</t>
  </si>
  <si>
    <t>Эффективное тестирование ПО.pdf</t>
  </si>
  <si>
    <t>Книга Маурисио Аниче «Эффективное тестирование программного обеспечения» представляет собой практическое руководство по систематическому тестированию кода, охватывающее как теорию, так и автоматизацию процесса. Ключевые разделы включают тестирование на основе спецификаций и свойств, структурное тестирование, проектирование по контрактам, использование дублеров и имитаций, а также разработку через тестирование (TDD) и работу с большими тестами. Издание адресовано разработчикам разного уровня: новички изучат основы на конкретных примерах, а опытные специалисты смогут отточить навыки и освоить новые приемы.</t>
  </si>
  <si>
    <t>ITIL® Service Strategy</t>
  </si>
  <si>
    <t>Best Management Practice</t>
  </si>
  <si>
    <t>TSO</t>
  </si>
  <si>
    <t>Техническая поддержка и сервис/ITSM-ITIL</t>
  </si>
  <si>
    <t>Техническая поддержка и сервис</t>
  </si>
  <si>
    <t>ITSM-ITIL</t>
  </si>
  <si>
    <t>01 - ITIL V3 2011 Service Strategy SS.pdf</t>
  </si>
  <si>
    <t>C:\Users\alexa\YandexDisk\Книги\Техническая поддержка и сервис\ITSM-ITIL</t>
  </si>
  <si>
    <t>Этот фрагмент представляет собой официальное издание ITIL® Service Strategy 2011 года, входящее в серию Best Management Practice. Книга посвящена стратегии управления ИТ-услугами и описывает ключевые концепции жизненного цикла услуги, включая такие разделы, как управление портфелем услуг, финансовый менеджмент, управление спросом и управление взаимоотношениями с бизнесом. Издание предназначено для специалистов в области ИТ-сервис-менеджмента, стремящихся к углублённому пониманию стратегического подхода к ИТ, и требует базового знакомства с практиками ITIL.</t>
  </si>
  <si>
    <t>ITIL Service Design 2011</t>
  </si>
  <si>
    <t>TSO (The Stationery Office)</t>
  </si>
  <si>
    <t>02 - ITIL V3 2011 Service Design SD.pdf</t>
  </si>
  <si>
    <t>Данный фрагмент представляет собой официальное издание ITIL® Service Design 2011 года, входящее в серию Best Management Practice и посвящённое этапу проектирования услуг в рамках жизненного цикла ITIL. Ключевые разделы книги охватывают принципы сбалансированного дизайна услуг, основные процессы (управление каталогом, уровнем услуг, доступностью, мощностями, непрерывностью, безопасностью и поставщиками), а также организационные и технологические аспекты внедрения. Издание предназначено для специалистов в области управления ИТ-услугами, стремящихся к углублённому пониманию методологии ITIL на продвинутом уровне.</t>
  </si>
  <si>
    <t>ITIL® Service Transition</t>
  </si>
  <si>
    <t>03 - ITIL V3 2011 Service Transition ST.pdf</t>
  </si>
  <si>
    <t>Данный фрагмент представляет собой официальное издание ITIL® Service Transition 2011 года, входящее в серию Best Management Practice. Книга посвящена этапу «Переход услуги» в рамках жизненного цикла ITIL и описывает процессы, принципы и методы эффективного управления изменениями, релизами, конфигурациями и знаниями при внедрении новых или изменённых ИТ-услуг. Ключевые разделы включают планирование и поддержку перехода, управление изменениями, управление активами и конфигурациями, а также валидацию и тестирование услуг. Издание предназначено для ИТ-специалистов, менеджеров услуг и практиков, уже знакомых с основами ITIL, и содержит подробные рекомендации по организации процессов и управлению изменениями в организации.</t>
  </si>
  <si>
    <t>ITIL Service Operation</t>
  </si>
  <si>
    <t>04 - ITIL V3 2011 Service Operation SO.pdf</t>
  </si>
  <si>
    <t>Это фрагмент официального руководства ITIL® Service Operation 2011 года, входящего в библиотеку лучших практик управления ИТ-услугами. Книга посвящена этапу «Эксплуатация услуг» в рамках жизненного цикла ITIL и подробно описывает ключевые процессы (управление инцидентами, проблемами, событиями, доступом и выполнением запросов), а также функции (сервисный деск, технический и операционный менеджмент) и повседневные операции. Издание предназначено для ИТ-специалистов и менеджеров среднего и высокого уровня, уже знакомых с основами ITIL, и содержит практические рекомендации по организации стабильной и эффективной работы ИТ-служб.</t>
  </si>
  <si>
    <t>Continual service improvement 2011 PDF</t>
  </si>
  <si>
    <t>05 - ITIL V3 2011 Continual Service Improvement CSI.pdf</t>
  </si>
  <si>
    <t>Данный фрагмент представляет собой официальное издание ITIL 2011 года, посвящённое процессу постоянного улучшения услуг (CSI). Ключевые концепции книги включают семишаговый процесс улучшения, использование цикла Деминга, методы оценки и бенчмаркинга, а также интеграцию CSI с другими процессами управления услугами. Издание предназначено для ИТ-специалистов и менеджеров, уже знакомых с основами ITIL, и содержит практические рекомендации по внедрению и организации непрерывного улучшения сервисов.</t>
  </si>
  <si>
    <t>2015 Свободный ITIL</t>
  </si>
  <si>
    <t>Елхимов Сергей Владимирович</t>
  </si>
  <si>
    <t>YeSSoft</t>
  </si>
  <si>
    <t>2015_Free_ITIL.pdf</t>
  </si>
  <si>
    <t>Эта книга представляет собой свободное изложение методологии ITIL v3, посвященное управлению ИТ-услугами на всех этапах их жизненного цикла. В ней подробно разбираются ключевые концепции, такие как стратегия, проектирование, преобразование и эксплуатация услуг, а также процессы управления портфелем, финансами, инцидентами и изменениями. Материал ориентирован на специалистов, начинающих изучение ITIL, и практикующих ИТ-менеджеров, желающих систематизировать знания по управлению сервисами.</t>
  </si>
  <si>
    <t>Введение в ITSM</t>
  </si>
  <si>
    <t>Введение в ITSM.doc</t>
  </si>
  <si>
    <t>Книга представляет собой введение в ITSM (управление ИТ-услугами) и методологию ITIL, описывая основные принципы и процессы для повышения качества ИТ-поддержки. Ключевые концепции включают жизненный цикл услуги, управление инцидентами, проблемами, изменениями и конфигурациями. Материал ориентирован на новичков и начинающих специалистов, желающих понять базовые подходы к организации ИТ-сервисов.</t>
  </si>
  <si>
    <t>17901</t>
  </si>
  <si>
    <t>Введение в ITSM.pdf</t>
  </si>
  <si>
    <t>Книга представляет собой введение в ИТ Сервис-менеджмент (ITSM) и методологию ITIL, описывая структурированный подход к организации работы ИТ-департамента как бизнес-подразделения, ориентированного на потребности пользователей. Ключевые разделы включают управление проблемами, изменениями, уровнем услуг, доступностью и мощностями, а также виды деятельности, такие как прием, регистрация и классификация запросов. Издание предназначено для руководителей и специалистов, стремящихся повысить эффективность ИТ-службы, и будет полезно как новичкам, так и опытным практикам, внедряющим принципы ITSM в компаниях любого масштаба.</t>
  </si>
  <si>
    <t>Поддержка Информационных Сервисов</t>
  </si>
  <si>
    <t>maxim</t>
  </si>
  <si>
    <t>Поддержка информационных сервисов.pdf</t>
  </si>
  <si>
    <t>Фрагмент книги представляет собой введение к руководству по управлению ИТ-услугами на основе библиотеки ITIL. В тексте описывается растущая зависимость бизнеса от качественных ИТ-услуг и предлагается набор лучших практик для их предоставления и поддержки. Ключевые концепции включают процессы управления ИТ-услугами, распределение ролей и связь со стандартами качества ISO9000. Книга предназначена для специалистов в области ИТ и управления услугами, как для новичков, так и для опытных практиков, стремящихся повысить эффективность ИТ-поддержки.</t>
  </si>
  <si>
    <t>Zabbix 5 IT Infrastructure Monitoring Cookbook</t>
  </si>
  <si>
    <t>Nathan Liefting; Brian van Baekel</t>
  </si>
  <si>
    <t>Техническая поддержка и сервис/Системы мониторинга</t>
  </si>
  <si>
    <t>Системы мониторинга</t>
  </si>
  <si>
    <t>Zabbix 5 IT Infrastructure Monitoring Cookbook.pdf</t>
  </si>
  <si>
    <t>C:\Users\alexa\YandexDisk\Книги\Техническая поддержка и сервис\Системы мониторинга</t>
  </si>
  <si>
    <t>Книга «Zabbix 5 IT Infrastructure Monitoring Cookbook» посвящена проектированию, построению и поддержке систем мониторинга IT-инфраструктуры с использованием Zabbix 5. В ней рассматриваются новые функции платформы, практические рецепты настройки и управления Zabbix, а также компоненты для крупных корпоративных сред. Издание предназначено для IT-специалистов и администраторов, уже имеющих базовый опыт работы с Zabbix, и помогает углубить навыки в построении профессиональных решений мониторинга.</t>
  </si>
  <si>
    <t>Zabbix 7: мониторинг ИТ-инфраструктуры</t>
  </si>
  <si>
    <t>Натан Лифтинг; Брайан ван Бэкел</t>
  </si>
  <si>
    <t>Zabbix 7 мониторинг ИТ-инфраструктуры.pdf</t>
  </si>
  <si>
    <t>Книга «Zabbix 7: мониторинг ИТ-инфраструктуры» представляет собой практическое руководство по настройке и использованию системы мониторинга Zabbix. Она охватывает установку, работу с веб-интерфейсом, настройку пользователей, создание триггеров и оповещений, разработку шаблонов, визуализацию данных, а также продвинутые темы, такие как интеграция с внешними сервисами, использование API и мониторинг облачной инфраструктуры. Издание предназначено для ИТ-специалистов и администраторов, желающих освоить Zabbix с нуля или углубить свои знания для построения масштабируемых и надежных систем мониторинга.</t>
  </si>
  <si>
    <t>Далле_Вакке_А_Zabbix_Практическое_руководство_Издательство_ДМК_Пресс.pdf</t>
  </si>
  <si>
    <t>Книга Андреа Далле Вакке «Zabbix. Практическое руководство» представляет собой исчерпывающее руководство по организации мониторинга крупных IT-инфраструктур с помощью системы Zabbix. В ней подробно рассматриваются ключевые концепции, такие как архитектура системы, развертывание сервера и агентов, настройка базы данных, распределенный мониторинг через прокси-серверы, а также планирование мощностей и очистка истории. Издание предназначено для системных администраторов и архитекторов, желающих интегрировать Zabbix в свое окружение, и требует от читателя уверенных навыков администрирования, то есть ориентировано на специалистов среднего и продвинутого уровня.</t>
  </si>
  <si>
    <t>Как создать продукт, который полюбят</t>
  </si>
  <si>
    <t>Скотт Хёрф</t>
  </si>
  <si>
    <t>Управление продуктами</t>
  </si>
  <si>
    <t>kak-sozdat-produkt-kotoryj-polyubyat.epub</t>
  </si>
  <si>
    <t>C:\Users\alexa\YandexDisk\Книги\Управление продуктами</t>
  </si>
  <si>
    <t>Книга Скотта Хёрфа посвящена созданию продуктов, которые действительно нужны и продаются, через глубокое понимание пользователей. Автор обобщает опыт более 30 ведущих дизайнеров, описывая процессы поиска идей, проверки гипотез, разработки прототипов и тестирования, а также дополняет теорию интервью с практиками. Издание будет полезно как новичкам в продуктовом дизайне и менеджменте, так и опытным специалистам, желающим систематизировать знания и узнать о внутренней кухне глобальных технологических компаний.</t>
  </si>
  <si>
    <t>Designing Products People Love</t>
  </si>
  <si>
    <t>Scott Hurff</t>
  </si>
  <si>
    <t>kak-sozdat-produkt-kotoryj-polyubyat.pdf</t>
  </si>
  <si>
    <t>Книга Скотта Хёрфа посвящена созданию продуктов, которые вызывают у пользователей искреннюю любовь и становятся успешными на рынке. Автор на основе интервью с более чем 30 ведущими дизайнерами и менеджерами выявил общую стратегию успеха, включающую поиск идей, проверку гипотез, разработку прототипов и тестирование. Ключевые разделы охватывают историю продуктового дизайна, процесс работы профессионалов и практические приёмы создания востребованных продуктов. Книга предназначена для широкого круга читателей — от предпринимателей и сотрудников стартапов до работников крупных корпораций, независимо от сферы деятельности.</t>
  </si>
  <si>
    <t>Управление проектами на основе стандарта PMI PMBOK®. Изложение методологии и опыт применения</t>
  </si>
  <si>
    <t>А. Н. Павлов</t>
  </si>
  <si>
    <t>Управление проектами</t>
  </si>
  <si>
    <t>A.Pavlov_Upravlenie_proektami_na_osnove_standarta_PMI_PMBOK.pdf</t>
  </si>
  <si>
    <t>C:\Users\alexa\YandexDisk\Книги\Управление проектами</t>
  </si>
  <si>
    <t>Книга А. Н. Павлова представляет собой подробное изложение методологии управления проектами на основе четвертой редакции американского стандарта PMI PMBOK®, дополненное авторскими комментариями и практическими рекомендациями. В ней рассматриваются ключевые концепции проектной деятельности, включая инновации, риски и эффективность, а также сравниваются основные международные стандарты (PMBOK, ICB, Prince 2). Издание содержит русско-английский глоссарий и предназначено для руководителей проектов, топ-менеджеров, а также студентов и преподавателей экономико-управленческих специальностей, то есть как для специалистов, так и для новичков в области проектного менеджмента.</t>
  </si>
  <si>
    <t>Jira 8 Essentials</t>
  </si>
  <si>
    <t>Patrick Li</t>
  </si>
  <si>
    <t>Jira 8 Essentials Effective project.pdf</t>
  </si>
  <si>
    <t>Книга Патрика Ли «Jira 8 Essentials» посвящена эффективному управлению проектами и задачами с помощью Jira 8.21 и Data Center. В ней рассматриваются ключевые концепции, такие как установка и настройка Jira, работа с бизнес- и Agile-проектами (Scrum и Kanban), управление задачами, полями и типами задач. Издание предназначено для специалистов разного уровня, от новичков до опытных администраторов, желающих освоить или углубить знания по настройке и использованию платформы Jira.</t>
  </si>
  <si>
    <t>Профессиональное управление проектом</t>
  </si>
  <si>
    <t>К. Хелдман</t>
  </si>
  <si>
    <t>K.Heldman_Professionalnoe_upravlenie_proektami.pdf</t>
  </si>
  <si>
    <t>Книга К. Хелдман «Профессиональное управление проектом» представляет собой учебное пособие для подготовки к экзамену на сертификат PMP, охватывающее основные области знаний и процессы управления проектами. Ключевые разделы включают определение проекта и его отличия от операционной деятельности, типы организационных структур, жизненные циклы проекта и группы процессов управления. Издание предназначено как для специалистов, стремящихся получить сертификацию, так и для руководителей и студентов, желающих повысить квалификацию в области проектного менеджмента.</t>
  </si>
  <si>
    <t>Leadership Paradigms for Remote Agile Development: How To Lead Your Team Remotely</t>
  </si>
  <si>
    <t>Benjamin Jakobus; Pedro Henrique Lobato Sena; Claudio Souza</t>
  </si>
  <si>
    <t>Leadership Paradigms for Remote Agile Development.pdf</t>
  </si>
  <si>
    <t>Книга «Leadership Paradigms for Remote Agile Development» посвящена вопросам руководства удаленными Agile-командами и охватывает такие ключевые темы, как лидерство, управление, найм, качество, обратная связь, управление ожиданиями, бюрократия, этика и специфика удаленной работы. Авторы предлагают практические парадигмы и подходы для эффективного управления распределенными командами в условиях Agile-разработки. Издание предназначено для специалистов среднего и продвинутого уровня, включая тимлидов, менеджеров проектов и старших разработчиков, стремящихся улучшить свои навыки удаленного руководства.</t>
  </si>
  <si>
    <t>Making Work Visible: Exposing Time Theft to Optimize Work &amp; Flow</t>
  </si>
  <si>
    <t>Dominica DeGrandis</t>
  </si>
  <si>
    <t>Making Work Visible Exposing Time Theft to Optimize Work.pdf</t>
  </si>
  <si>
    <t>Книга «Making Work Visible» Доминики ДеГрандис посвящена проблеме «кражи времени» в интеллектуальном труде и методам оптимизации рабочего процесса. Автор выделяет пять основных «воров времени»: избыток незавершённой работы, скрытые зависимости, внеплановая работа, конфликтующие приоритеты и запущенные задачи. Для борьбы с ними предлагаются практические упражнения, такие как визуализация работы, картирование потоков и анализ зависимостей. Книга ориентирована на широкий круг специалистов — от новичков до опытных руководителей и IT-менеджеров, желающих повысить продуктивность и прозрачность процессов.</t>
  </si>
  <si>
    <t>Managing Machine Learning Projects MEAP V04</t>
  </si>
  <si>
    <t>Simon Thompson</t>
  </si>
  <si>
    <t>Managing Machine Learning Projects MEAP4.pdf</t>
  </si>
  <si>
    <t>Книга Симона Томпсона «Managing Machine Learning Projects» посвящена управлению проектами машинного обучения (ML) от идеи до развертывания и последующего сопровождения. Автор описывает полный жизненный цикл ML-проекта, включая этапы идентификации, понимания задачи, работы с данными, построения и оценки моделей, создания интерфейсов и вывода в продакшн, а также постпроектное управление моделью. Ключевой акцент сделан на снижении рисков, повышении воспроизводимости и решении этических проблем, характерных для ML. Издание предназначено для руководителей проектов, специалистов по данным и менеджеров, которые уже имеют базовый опыт в управлении проектами или Data Science и хотят системно подойти к реализации сложных ML-инициатив.</t>
  </si>
  <si>
    <t>Scrumban Revolution: Agile Project Management</t>
  </si>
  <si>
    <t>Scrumban Revolution</t>
  </si>
  <si>
    <t>Scrumban-revolution-I.pdf</t>
  </si>
  <si>
    <t>Эта книга представляет собой практическое руководство по гибридному фреймворку Scrumban, который объединяет элементы Scrum и Kanban для управления проектами в сфере интеллектуального труда. Ключевые концепции включают системное мышление, ограничение незавершенной работы (WIP), управление потоком, визуализацию процессов и использование метрик, таких как диаграмма накопительного потока и время выполнения. Издание охватывает как основы внедрения методологии, так и продвинутые темы, включая лидерство, управление рисками и созревание практик. Книга предназначена для практикующих специалистов, менеджеров и agile-коучей, уже знакомых с основами Scrum или Kanban, которые хотят повысить эффективность своих команд.</t>
  </si>
  <si>
    <t>Основы управления проектами</t>
  </si>
  <si>
    <t>Грашина М. Н.; Дункан В. Р.</t>
  </si>
  <si>
    <t>V.Dunkan_M.Grashina_Osnovy_upravleniya_proektami.pdf</t>
  </si>
  <si>
    <t>Книга «Основы управления проектами» Грашиной и Дункана представляет собой базовое руководство по проектному менеджменту, охватывающее ключевые концепции, такие как жизненный цикл проекта, тройное ограничение, группы процессов и управление содержанием, затратами, временем и рисками. Издание предназначено для широкой аудитории: от начинающих руководителей проектов и студентов до топ-менеджеров и преподавателей, желающих освоить фундаментальные принципы управления проектами, программами и портфелями.</t>
  </si>
  <si>
    <t>Проектное управление в сфере информационных технологий</t>
  </si>
  <si>
    <t>В. И. Грекул; Н. В. Коровкина; Ю. В. Куприянов</t>
  </si>
  <si>
    <t>V.Grekul_N.Korovkina_Yu.Coopriianov_Proektnoe_upravlenie_v_sfere_IT.pdf</t>
  </si>
  <si>
    <t>Книга посвящена особенностям применения стандартов и методик проектного управления в сфере информационных технологий. В ней рассматриваются референтные модели (COBIT), методологии внедрения ИТ-решений, жизненный цикл продукта, а также этапы определения, планирования и управления исполнением ИТ-проекта. Издание предназначено для специалистов в области управления проектами, стремящихся адаптировать универсальные методики к специфике ИТ-сферы.</t>
  </si>
  <si>
    <t>Гибкое управление проектами и продуктами</t>
  </si>
  <si>
    <t>Гибкое_управление_проектами_и_продуктами.pdf</t>
  </si>
  <si>
    <t>Книга Бориса Вольфсона представляет собой практическое руководство по гибким методологиям управления проектами и разработки продуктов, сочетающее теорию и практику. Ключевые разделы охватывают Scrum и Kanban, бизнес-моделирование, управление требованиями, оценку сроков, риски, инженерные практики и масштабирование Scrum. Издание предназначено для широкого круга IT-специалистов — от разработчиков и тестировщиков до руководителей проектов и отделов, как новичков, так и опытных практиков.</t>
  </si>
  <si>
    <t>Глоссарий OKR</t>
  </si>
  <si>
    <t>OKR Russia</t>
  </si>
  <si>
    <t>Глоссарий OKR.pdf</t>
  </si>
  <si>
    <t>Этот фрагмент представляет собой глоссарий по фреймворку OKR (Objectives and Key Results), описывающий его ключевые элементы, роли и процессы. Основные концепции включают определение OKR-команды, Владельца OKR, Заинтересованных лиц и OKR-мастера, а также артефакты (Цели, Ключевые результаты, Бэклог) и временные циклы (годовые и квартальные OKR). Материал предназначен для специалистов, уже знакомых с основами управления проектами, и будет полезен практикам, внедряющим или развивающим OKR в своей компании.</t>
  </si>
  <si>
    <t>Модели качества информационных систем. Тема 4.1</t>
  </si>
  <si>
    <t>RePack by Diakov</t>
  </si>
  <si>
    <t>Качество ПС - тема 4.1.pdf</t>
  </si>
  <si>
    <t>Фрагмент посвящен моделям качества информационных систем. В нем рассматриваются определение качества ИС, дефектологические свойства (дефектогенность, дефектабельность, дефектоскопичность), а также стандарты ISO 9126 с их метриками и иерархическая модель критериев качества, включающая функциональные и конструктивные критерии. Материал ориентирован на специалистов в области управления проектами и разработки программного обеспечения, знакомых с базовыми понятиями.</t>
  </si>
  <si>
    <t>Проектирование и производство сложных заказных программных продуктов</t>
  </si>
  <si>
    <t>Липаев В.В.</t>
  </si>
  <si>
    <t>СИНТЕГ</t>
  </si>
  <si>
    <t>Липаев проекирование ПС.pdf</t>
  </si>
  <si>
    <t>Монография В.В. Липаева посвящена методам и процессам проектирования и производства сложных заказных программных продуктов для систем реального времени. Ключевые разделы включают системное проектирование, управление требованиями, оценку качества и рисков, а также верификацию, тестирование и сертификацию с опорой на международные стандарты. Книга предназначена для руководителей предприятий и проектов, а также для специалистов, ответственных за создание высококачественного программного обеспечения, и может использоваться как учебное пособие по программной инженерии.</t>
  </si>
  <si>
    <t>Сертификация программных средств</t>
  </si>
  <si>
    <t>Липаев Сертификация ПС.pdf</t>
  </si>
  <si>
    <t>Учебник В.В. Липаева посвящен принципам, методам и средствам обеспечения качества и сертификации сложных программных средств (ПС) на всех этапах их жизненного цикла. Ключевые концепции книги включают два основных подхода к подтверждению качества: сертификацию процессов производства (на основе стандартов ISO 9000, CMMI и ISO 12207) и сертификацию готовых программных продуктов. Издание состоит из трех частей, охватывающих методические основы сертификации, сертификацию производственных процессов и сертификацию готовых продуктов. Книга предназначена для студентов старших курсов и аспирантов по направлению «Программная инженерия», а также для заказчиков, менеджеров и ведущих специалистов, работающих со сложными ПС.</t>
  </si>
  <si>
    <t>Липаев Сертификация ПС2.pdf</t>
  </si>
  <si>
    <t>Учебник В.В. Липаева посвящен принципам, методам и средствам обеспечения качества и сертификации сложных программных средств (ПС) на всех этапах их жизненного цикла. Ключевые концепции включают два основных подхода к сертификации: сертификацию процессов производства (технологий и систем менеджмента качества) и сертификацию готовых программных продуктов. Книга состоит из трех частей, охватывающих методические основы, сертификацию процессов производства и сертификацию готовых продуктов, с опорой на международные стандарты (ISO 9000, CMMI, ISO 12207). Издание предназначено для студентов старших курсов и аспирантов по программной инженерии, а также для заказчиков, менеджеров и ведущих специалистов, работающих со сложными ПС.</t>
  </si>
  <si>
    <t>Сопровождение и управление конфигурацией сложных программных средств</t>
  </si>
  <si>
    <t>Липаев управление конфигурацией ПС.pdf</t>
  </si>
  <si>
    <t>Книга В.В. Липаева посвящена методам и процессам сопровождения и управления конфигурацией сложных программных средств на протяжении их жизненного цикла. В ней подробно рассматриваются классификация дефектов и модификаций, этапы сопровождения, процедуры переноса программ на иные платформы, а также методы верификации и тестирования изменений. Значительное внимание уделяется стандартизации, документированию, архивированию и организации работы специалистов в этой области. Издание предназначено для заказчиков, менеджеров, разработчиков и системных аналитиков, работающих с проектами, предъявляющими высокие требования к качеству программных продуктов, и будет полезна студентам и аспирантам соответствующих специальностей.</t>
  </si>
  <si>
    <t>Мифический человеко-месяц, или Как создаются программные системы</t>
  </si>
  <si>
    <t>Фредерик Брукс</t>
  </si>
  <si>
    <t>Мифический человеко-месяц.pdf</t>
  </si>
  <si>
    <t>Фрагмент представляет собой вступительную часть книги Фредерика Брукса «Мифический человеко-месяц», которая посвящена управлению проектами по разработке программного обеспечения. Ключевая концепция книги, отражённая в названии, заключается в том, что добавление новых сотрудников в опаздывающий проект только замедляет его, а также рассматриваются такие темы, как «хирургическая бригада», эффект второй системы и причины провала проектов. Книга предназначена для руководителей проектов и опытных специалистов в области разработки ПО.</t>
  </si>
  <si>
    <t>Путь аналитика. Практическое руководство IT-специалиста</t>
  </si>
  <si>
    <t>В. Иванова; А. Перерва</t>
  </si>
  <si>
    <t>путь аналитика.pdf</t>
  </si>
  <si>
    <t>Книга «Путь аналитика» представляет собой практическое руководство для IT-специалистов, посвященное системному и бизнес-анализу, а также разработке программного обеспечения. В ней рассматриваются ключевые концепции, такие как информатизация бизнеса, архитектура, работа с требованиями и методологии разработки, а также подробно описывается профиль и квалификация аналитиков разных уровней. Издание структурирует теоретический материал по этапам профессиональной карьеры, начиная с младшего аналитика, и содержит практические кейсы, шаблоны документов и советы по лидерству. Книга предназначена для широкого круга читателей: от начинающих системных аналитиков и программистов до опытных менеджеров проектов и руководителей отделов разработки.</t>
  </si>
  <si>
    <t>Разработка_требований_к_программному_обеспечению.pdf</t>
  </si>
  <si>
    <t>Эта книга представляет собой подробное руководство по разработке качественных требований к программному обеспечению, охватывающее проверенные на практике приемы их выявления, формулирования, проверки и тестирования. Ключевые концепции включают определение уровней и типов требований, а также различие между разработкой и управлением требованиями, причем третье издание дополнено методами для гибкой (agile) разработки. Издание предназначено для широкого круга специалистов: от бизнес-аналитиков, разработчиков и тестировщиков до менеджеров проектов и маркетологов, стремящихся понять и удовлетворить потребности клиентов.</t>
  </si>
  <si>
    <t>The Engineering Executive's Primer</t>
  </si>
  <si>
    <t>Will Larson</t>
  </si>
  <si>
    <t>Технический директор. Эффективное техническое лидерство.pdf</t>
  </si>
  <si>
    <t>Эта книга — практическое руководство для специалистов, переходящих на позицию технического директора (CTO) или уже работающих на высших руководящих должностях в инженерных командах. Она фокусируется на ключевых задачах: выстраивании стратегии и эффективном управлении командами разработки, не давая универсальных ответов, но предлагая проверенные подходы к решению сложных проблем. Среди ключевых разделов — получение должности, первые 90 дней на новой позиции, а также советы по собеседованию и переговорам. Книга предназначена для руководителей инженерного направления и технических директоров, которые уже столкнулись или только начинают сталкиваться с вызовами управления.</t>
  </si>
  <si>
    <t>Управление проектами с нуля</t>
  </si>
  <si>
    <t>Грег Хорин</t>
  </si>
  <si>
    <t>Управление проектами с нуля.pdf</t>
  </si>
  <si>
    <t>Книга Грега Хорина «Управление проектами с нуля» представляет собой практическое руководство по современному проектному менеджменту, охватывающее полный цикл управления: от планирования, бюджетирования и разработки структуры работ до контроля, управления рисками и завершения проекта. Ключевые разделы включают быстрый старт, планирование, контроль выполнения, руководство командой и подготовку к сертификации PMP. Издание предназначено для начинающих специалистов, желающих освоить навыки управления проектами с помощью простых инструкций и чек-листов.</t>
  </si>
  <si>
    <t>Управление высокотехнологичными программами и проектами</t>
  </si>
  <si>
    <t>Рассел Д. Арчибальд</t>
  </si>
  <si>
    <t>Управление_высокотехнологичными_программами_и_проектами.pdf</t>
  </si>
  <si>
    <t>Книга Рассела Д. Арчибальда представляет собой всеобъемлющее руководство по управлению высокотехнологичными программами и проектами, охватывающее организационные концепции, методы планирования и контроля, а также вопросы межличностных отношений. Ключевые разделы включают стратегическое управление портфелями проектов, управление жизненным циклом проекта и создание проектных офисов. Издание предназначено для руководителей высшего звена, менеджеров проектов, руководителей функциональных подразделений и членов проектных команд, то есть для специалистов и практиков в этой области.</t>
  </si>
  <si>
    <t>Государь</t>
  </si>
  <si>
    <t>Николо Макиавелли</t>
  </si>
  <si>
    <t>Художественная литература/Makiavielli, Nikolo</t>
  </si>
  <si>
    <t>Художественная литература</t>
  </si>
  <si>
    <t>Makiavielli, Nikolo</t>
  </si>
  <si>
    <t>Gosudar' - Nikolo Makiavielli.epub</t>
  </si>
  <si>
    <t>C:\Users\alexa\YandexDisk\Книги\Художественная литература\Makiavielli, Nikolo</t>
  </si>
  <si>
    <t>Этот фрагмент из трактата Никколо Макиавелли «Государь» посвящен природе политической власти и способам её удержания. Автор начинает с посвящения Лоренцо Медичи, объясняя, что его труд основан на изучении истории и практическом опыте, и переходит к классификации государств (наследственные и новые) и анализу того, почему наследным правителям легче сохранять власть, чем новым. Ключевая концепция первых глав — идея о том, что любая перемена власти создает почву для дальнейших потрясений, а новый правитель часто оказывается хуже старого из-за неизбежных трудностей управления. Книга предназначена как для новичков, интересующихся политической философией, так и для специалистов, изучающих историю и теорию власти.</t>
  </si>
  <si>
    <t>Gosudar' - Nikolo Makiavielli.pdf</t>
  </si>
  <si>
    <t>Этот фрагмент книги Никколо Макиавелли «Государь» представляет собой посвящение правителю и введение в трактат о природе политической власти. Автор, опираясь на исторический опыт и современные ему события, классифицирует государства (республики и единовластные, наследственные и новые) и анализирует способы их приобретения и удержания. Ключевые концепции включают различие между наследственным и смешанным правлением, а также трудности, с которыми сталкивается новый государь, завоевавший власть. Книга предназначена для широкого круга читателей, интересующихся политической философией и историей, от новичков до специалистов.</t>
  </si>
  <si>
    <t>Никколо Макиавелли</t>
  </si>
  <si>
    <t>Makiavelli_Gosudar.229344.fb2.mobi</t>
  </si>
  <si>
    <t>Данный фрагмент книги «Государь» Никколо Макиавелли посвящен анализу природы власти и способов её удержания, в частности — рассмотрению различных типов государств и методов управления ими. Ключевые концепции включают различие между наследственными и новыми монархиями, а также роль добродетели (virtù) и удачи (fortuna) в достижении политических целей. Книга предназначена для широкого круга читателей, интересующихся политической философией и историей, но будет особенно полезна специалистам в области политологии и управления.</t>
  </si>
  <si>
    <t>О военном искусстве</t>
  </si>
  <si>
    <t>Makiavelli_O-voennom-iskusstve.354729.fb2.mobi</t>
  </si>
  <si>
    <t>Книга Никколо Макиавелли «О военном искусстве» посвящена теории и практике военного дела, анализу тактики, стратегии и организации армии. Ключевые концепции включают критику наёмных войск, важность национального ополчения, дисциплину и роль пехоты в бою. Текст предназначен для специалистов в области истории, политологии и военного дела, а также для вдумчивых читателей, интересующихся классическими трактатами о власти и управлении.</t>
  </si>
  <si>
    <t>Dievushka, kotoraia ighrala s oghniem</t>
  </si>
  <si>
    <t>Stigh Larsson</t>
  </si>
  <si>
    <t>Эксмо, Домино</t>
  </si>
  <si>
    <t>Художественная литература/Stigh Larsson</t>
  </si>
  <si>
    <t>Dievushka, kotoraia ighrala s oghniem - Stigh Larsson.epub</t>
  </si>
  <si>
    <t>C:\Users\alexa\YandexDisk\Книги\Художественная литература\Stigh Larsson</t>
  </si>
  <si>
    <t>Книга Стига Ларссона «Девушка, которая играла с огнем» — это детективный триллер, в центре которого расследование убийства журналистов, изучавших торговлю секс-рабынями из Восточной Европы. Ключевые концепции включают противостояние главной героини Лисбет Саландер с мафией и властными структурами, а также её преследование по ложному обвинению в убийстве. Книга предназначена для широкого круга читателей, интересующихся остросюжетными детективами и социальными темами.</t>
  </si>
  <si>
    <t>Dievushka, kotoraia ighrala s oghniem - Stigh Larsson.mobi</t>
  </si>
  <si>
    <t>Фрагмент книги Стига Ларссона «Девушка, которая играла с огнём» представляет собой детективный триллер, в центре которого — расследование серии жестоких убийств, связанных с тёмным прошлым главной героини Лисбет Саландер. Ключевые концепции включают социальную несправедливость, коррупцию в правоохранительных органах и тему мести. Книга предназначена для широкой аудитории, интересующейся напряжёнными детективами с глубокими психологическими портретами персонажей.</t>
  </si>
  <si>
    <t>Armaghiedon</t>
  </si>
  <si>
    <t>Stivien Kingh</t>
  </si>
  <si>
    <t>Художественная литература/Stivien Kingh</t>
  </si>
  <si>
    <t>Armaghiedon - Stivien Kingh.mobi</t>
  </si>
  <si>
    <t>C:\Users\alexa\YandexDisk\Книги\Художественная литература\Stivien Kingh</t>
  </si>
  <si>
    <t>Greenmile</t>
  </si>
  <si>
    <t>Stivien Kiingh</t>
  </si>
  <si>
    <t>Greenmile - Stivien Kiingh.mobi</t>
  </si>
  <si>
    <t>Худеющий</t>
  </si>
  <si>
    <t>Стивен Кинг</t>
  </si>
  <si>
    <t>Стивен Кинг - Худеющий.doc</t>
  </si>
  <si>
    <t>Фрагмент книги Стивена Кинга «Худеющий» рассказывает о мужчине, которого прокляла цыганка, в результате чего он начинает стремительно терять вес, независимо от того, сколько ест. Ключевая концепция — это сверхъестественное проклятие, превращающее процесс похудения в смертельную угрозу, а также тема расплаты за жестокость и несправедливость. Книга предназначена для широкого круга читателей, любителей мистических триллеров и хоррора, включая новичков в жанре.</t>
  </si>
  <si>
    <t>Tormozz</t>
  </si>
  <si>
    <t>Д-р Джон Колеман</t>
  </si>
  <si>
    <t>ВИТЯЗЬ</t>
  </si>
  <si>
    <t>Художественная литература/Tormozz</t>
  </si>
  <si>
    <t>D-r Dzhon Kolieman - Tormozz.epub</t>
  </si>
  <si>
    <t>C:\Users\alexa\YandexDisk\Книги\Художественная литература\Tormozz</t>
  </si>
  <si>
    <t>Книга доктора Джона Колемана «Комитет 300» посвящена разоблачению деятельности тайного мирового правительства, которое через систему глобального управления и контроля стремится поработить человечество. Автор описывает организационную структуру «Комитета 300», механизмы манипуляции сознанием и тотальный контроль над всеми общественными институтами, включая финансы, образование и СМИ. Ключевые концепции включают «новый мировой порядок», постепенное и незаметное изменение генотипа и менталитета людей, а также вывод о полной подконтрольности западного общества единому центру. Книга предназначена для патриотически настроенных читателей, интересующихся теориями заговора и желающих системно взглянуть на современные события, однако переводчик отмечает, что автору не удалось выйти на истинно глобальный уровень анализа.</t>
  </si>
  <si>
    <t>D-r Dzhon Kolieman</t>
  </si>
  <si>
    <t>D-r Dzhon Kolieman - Tormozz.mobi</t>
  </si>
  <si>
    <t>Bibliia. Novyi russkii pierievo - Biblica</t>
  </si>
  <si>
    <t>Biblica</t>
  </si>
  <si>
    <t>Художественная литература/Библия</t>
  </si>
  <si>
    <t>Библия</t>
  </si>
  <si>
    <t>Bibliia. Novyi russkii pierievo - Biblica.epub</t>
  </si>
  <si>
    <t>C:\Users\alexa\YandexDisk\Книги\Художественная литература\Библия</t>
  </si>
  <si>
    <t>Это фрагмент книги «Библия. Новый русский перевод (Biblica)», который начинается с Книги Бытия и описывает сотворение мира за шесть дней: создание света, неба, суши, растений, светил, животных и, наконец, человека по образу Божьему, а также установление седьмого дня как дня отдыха. Ключевые концепции включают акт творения через слово Бога, разделение стихий, благословение живых существ и дарование человеку власти над природой. Книга предназначена для широкого круга читателей, включая как новичков, интересующихся религиозными текстами, так и специалистов, изучающих библеистику.</t>
  </si>
  <si>
    <t>Bibliia. Novyi russkii pierievo - Biblica.pdf</t>
  </si>
  <si>
    <t>Этот фрагмент представляет собой начало книги Бытие из Библии в новом русском переводе, где описывается сотворение мира Богом за шесть дней: создание света, неба, суши, растений, светил, животных и, наконец, человека по образу Божьему, а также установление седьмого дня как дня отдыха. Ключевые концепции включают сотворение мира из хаоса, разделение стихий, появление жизни и человека, а также заповедь о дереве познания добра и зла в Эдемском саду. Книга предназначена для широкого круга читателей, включая новичков, интересующихся религиозными текстами и основами библейского повествования.</t>
  </si>
  <si>
    <t>Библия. Новый русский перевод (НРТ, RSJ, Biblica)</t>
  </si>
  <si>
    <t>Bibliya_Bibliya-Novyy-russkiy-perevod-NRT-RSJ-Biblica-.337477.fb2.mobi</t>
  </si>
  <si>
    <t>Евангелие от Фомы</t>
  </si>
  <si>
    <t>Евангелие</t>
  </si>
  <si>
    <t>Ievanghieliie ot Fomy - Ievanghieliie.epub</t>
  </si>
  <si>
    <t>Этот фрагмент представляет собой предисловие к апокрифическому «Евангелию от Фомы» — сборнику тайных изречений Иисуса, обнаруженному в библиотеке Наг-Хаммади. Ключевая концепция текста заключается в том, что, несмотря на внешнее сходство с каноническими евангелиями, это произведение требует глубокого истолкования, так как его смысл раскрывается через интуитивное творчество и свободное использование образов (царствие, свет, тьма, покой), а не через строгую логическую систему. Автор предисловия рассматривает различные подходы к интерпретации памятника (через упоминания отцов церкви, анализ понятий или поиск параллелей), но приходит к выводу, что целостность документа важнее отдельных аналогий. Материал предназначен для специалистов и исследователей, занимающихся историей раннего христианства и гностицизма, а также для подготовленных читателей, готовых к сложному анализу неканонических текстов.</t>
  </si>
  <si>
    <t>Ievanghieliie ot Fomy - Ievanghieliie.pdf</t>
  </si>
  <si>
    <t>Этот фрагмент предисловия к апокрифическому «Евангелию от Фомы» посвящен сложностям интерпретации этого памятника раннехристианской и гностической литературы. Ключевая проблема, которую разбирает автор, — это парадоксальная природа текста: внешнее сходство с каноническими евангелиями обманчиво, а при глубоком анализе он оказывается одним из самых трудных для понимания из-за своей открытости, интуитивной логики и изменчивости значений ключевых понятий (царствие, свет, жизнь). В тексте рассматриваются различные методологические подходы к изучению (от поиска параллелей с другими учениями до анализа терминов) и подчеркивается, что целостность и внутренняя динамика поиска важнее формальной композиции. Книга предназначена для специалистов и исследователей, занимающихся историей раннего христианства, гностицизма и текстологией.</t>
  </si>
  <si>
    <t>Bellona</t>
  </si>
  <si>
    <t>Брусникин</t>
  </si>
  <si>
    <t>Художественная литература/Брусникин</t>
  </si>
  <si>
    <t>Brusnikin_Bellona_264790.mobi</t>
  </si>
  <si>
    <t>C:\Users\alexa\YandexDisk\Книги\Художественная литература\Брусникин</t>
  </si>
  <si>
    <t>Devyatnyiy Spas</t>
  </si>
  <si>
    <t>Brusnikin_Devyatnyiy_Spas_264978.mobi</t>
  </si>
  <si>
    <t>Книга Бориса Акунина (под псевдонимом Брусникин) «Девятный Спас» — это исторический детектив с элементами мистики, действие которого разворачивается в России XVII века. В центре сюжета — расследование загадочных убийств, связанных с древним артефактом, и противостояние между старыми верованиями и новой государственной идеологией. Ключевые концепции включают тему двойной веры (язычество и христианство), политические интриги эпохи царя Алексея Михайловича и приключенческий квест. Произведение предназначено для широкого круга читателей, интересующихся историческими романами и увлекательными сюжетами, и не требует специальной подготовки.</t>
  </si>
  <si>
    <t>Герой иного времени</t>
  </si>
  <si>
    <t>Brusnikin_Geroy_inogo_vremeni_188687.mobi</t>
  </si>
  <si>
    <t>Книга Бориса Акунина (под псевдонимом Брусникин) «Герой иного времени» представляет собой историко-приключенческий роман, действие которого разворачивается на Кавказе в XIX веке. В центре сюжета — расследование загадочных событий, связанных с появлением таинственного персонажа, напоминающего лермонтовского Печорина, но в ином, альтернативном историческом контексте. Ключевые концепции включают мистификацию, двойничество и переосмысление классического сюжета русской литературы. Книга предназначена для широкого круга читателей, интересующихся историческими детективами и литературными аллюзиями, и не требует специальной подготовки.</t>
  </si>
  <si>
    <t>Гражданин Поэт. 31 номер художественной самодеятельности</t>
  </si>
  <si>
    <t>Быков</t>
  </si>
  <si>
    <t>Художественная литература/Быков</t>
  </si>
  <si>
    <t>Byikov_Grazhdanin_Poet__31_nomer_hudozhestvennoy_samodeyatelnosti_266642.mobi</t>
  </si>
  <si>
    <t>C:\Users\alexa\YandexDisk\Книги\Художественная литература\Быков</t>
  </si>
  <si>
    <t>Фрагмент книги Дмитрия Быкова посвящен анализу феномена «гражданина-поэта» в русской культуре, рассматривая, как литература и политика переплетаются в творчестве ключевых фигур. Автор исследует эволюцию роли поэта от пророка и трибуна до участника художественной самодеятельности, акцентируя противоречие между высоким призванием и массовым потреблением. Книга предназначена для широкого круга читателей, интересующихся русской литературой и историей, но требует базового знакомства с творчеством упоминаемых авторов.</t>
  </si>
  <si>
    <t>Byikov_Kak_Putin_stal_prezidentom_SShA_novyie_russkie_skazki_218347</t>
  </si>
  <si>
    <t>Byikov_Kak_Putin_stal_prezidentom_SShA_novyie_russkie_skazki_218347.mobi</t>
  </si>
  <si>
    <t>Putin i muzhik</t>
  </si>
  <si>
    <t>Byikov_Putin_i_muzhik_265267.mobi</t>
  </si>
  <si>
    <t>Живые люди</t>
  </si>
  <si>
    <t>Яна Вагнер</t>
  </si>
  <si>
    <t>Художественная литература/ВонгОзеро</t>
  </si>
  <si>
    <t>ВонгОзеро</t>
  </si>
  <si>
    <t>Vagner_Vongozero_2_Zhivye-lyudi.347479.fb2.epub</t>
  </si>
  <si>
    <t>C:\Users\alexa\YandexDisk\Книги\Художественная литература\ВонгОзеро</t>
  </si>
  <si>
    <t>Фрагмент книги «Живые люди» Яны Вагнер описывает выживание группы людей в изолированном доме после катастрофы, где главные угрозы — голод и неизвестные люди на противоположном берегу озера. Ключевые концепции: дефицит ресурсов (сети с рыбой недоступны), необходимость рискованных действий (проверка сетей, ремонт крыши) и психологическое напряжение от ожидания нападения или помощи. Книга предназначена для широкого круга читателей, интересующихся постапокалиптической прозой и психологией выживания в замкнутом пространстве.</t>
  </si>
  <si>
    <t>Vongozero. Zhivye lyudi</t>
  </si>
  <si>
    <t>Vagner</t>
  </si>
  <si>
    <t>Vagner_Vongozero_2_Zhivye-lyudi.347479.fb2.mobi</t>
  </si>
  <si>
    <t>Фрагмент книги «Живые люди» (вторая часть дилогии «Вонгозеро») Яны Вагнер посвящён выживанию группы людей в условиях постапокалиптической реальности после смертельной эпидемии. Ключевые концепции включают психологию выживания, динамику внутри группы, моральные дилеммы и борьбу за ресурсы в изолированном мире. Книга предназначена для широкого круга читателей, интересующихся жанром постапокалипсиса и психологической прозой, включая как новичков, так и опытных любителей жанра.</t>
  </si>
  <si>
    <t>Мой лейтенант</t>
  </si>
  <si>
    <t>Даниил Александрович Гранин</t>
  </si>
  <si>
    <t>Художественная литература/Гранин</t>
  </si>
  <si>
    <t>Гранин</t>
  </si>
  <si>
    <t>Granin_Moy-leytenant.253730.fb2.epub</t>
  </si>
  <si>
    <t>C:\Users\alexa\YandexDisk\Книги\Художественная литература\Гранин</t>
  </si>
  <si>
    <t>Роман Даниила Гранина «Мой лейтенант» предлагает непарадный, исповедальный взгляд на Великую Отечественную войну с точки зрения простого лейтенанта, а не генералов. В центре повествования — контраст между наивной верой молодого офицера в идеалы и горьким опытом пожилого рассказчика, а также размышления о памяти, любви и цене войны. Автор описывает, как время стирает следы окопов, и противопоставляет подлинные страдания солдат современным попыткам реконструировать войну для кино. Книга предназначена для широкого круга читателей, интересующихся глубокой, психологической прозой о войне без пафосной глянцевости.</t>
  </si>
  <si>
    <t>Granin_Moy-leytenant.253730.fb2.mobi</t>
  </si>
  <si>
    <t>Фрагмент книги Даниила Гранина «Мой лейтенант» посвящён теме Великой Отечественной войны, показанной через личный, исповедальный опыт молодого лейтенанта. Ключевая концепция — противопоставление официальной героической истории войны и её повседневной, жестокой реальности, где главное — не подвиги, а выживание, страх и чувство долга. Книга предназначена для широкого круга читателей, интересующихся военной прозой и психологической глубиной человеческих переживаний на войне.</t>
  </si>
  <si>
    <t>Певучий туман</t>
  </si>
  <si>
    <t>Granin_Pevuchiy-tuman.358124.fb2.epub</t>
  </si>
  <si>
    <t>Фрагмент книги Даниила Гранина «Певучий туман» описывает тоскливый вечер командированного героя в провинциальном городке. Он бродит по безлюдным, окутанным влажным туманом улицам в поисках ресторана и встречает загадочную молодую женщину, которая соглашается проводить его до гостиницы. Ключевые концепции — одиночество в чужом городе, атмосфера безысходности и случайная встреча, способная изменить вечер. Текст предназначен для широкого круга читателей, интересующихся классической русской прозой и психологическими зарисовками.</t>
  </si>
  <si>
    <t>Pevuchiy-tuman</t>
  </si>
  <si>
    <t>Granin_Pevuchiy-tuman.358124.fb2.mobi</t>
  </si>
  <si>
    <t>На основе предоставленного фрагмента невозможно определить тему, содержание или целевую аудиторию книги, так как текст отсутствует. Не удалось определить содержимое.</t>
  </si>
  <si>
    <t>Все было не совсем так</t>
  </si>
  <si>
    <t>Даниил Гранин</t>
  </si>
  <si>
    <t>Granin_Vse-bylo-ne-sovsem-tak.193232.fb2.epub</t>
  </si>
  <si>
    <t>Фрагмент книги Даниила Гранина «Все было не совсем так» представляет собой автобиографическое повествование, в котором автор исследует природу детской памяти, лжи и творчества. Ключевой эпизод — история о том, как маленького Д. домработница Женька водила по дворам петь и танцевать за деньги, что вскрывает сложные отношения между правдой, вымыслом и искусством. Гранин размышляет о том, что ложь требует вдохновения и деталей, а правда часто примитивна, и противопоставляет это искреннему восприятию мира ребенком. Книга адресована широкому кругу читателей, интересующихся психологией творчества, мемуарной прозой и историей быта советского времени.</t>
  </si>
  <si>
    <t>Granin_Vse-bylo-ne-sovsem-tak.193232.fb2.mobi</t>
  </si>
  <si>
    <t>Книга Даниила Гранина «Всё было не совсем так» представляет собой сборник мемуарных очерков и размышлений, в которых автор пересматривает и уточняет известные исторические и литературные события, свидетелем или участником которых он был. Ключевая тема — несовпадение официальных версий и реального опыта, а также сложность человеческой памяти. В основе книги лежат личные встречи с выдающимися современниками (писателями, учеными, военными) и анализ их поступков в контексте советской эпохи. Издание адресовано широкому кругу читателей, интересующихся историей России XX века и литературой, но будет особенно ценно для тех, кто уже знаком с творчеством Гранина и хочет глубже понять подоплеку его произведений.</t>
  </si>
  <si>
    <t>Цвет боли: белый</t>
  </si>
  <si>
    <t>Эва Хансен</t>
  </si>
  <si>
    <t>Художественная литература/Детектив</t>
  </si>
  <si>
    <t>Детектив</t>
  </si>
  <si>
    <t>Hansen_Cvet-boli-belyy.348806.fb2.epub</t>
  </si>
  <si>
    <t>C:\Users\alexa\YandexDisk\Книги\Художественная литература\Детектив</t>
  </si>
  <si>
    <t>Это фрагмент шведского эротического детектива, в центре которого — расследование убийства медсестры Эммы Грюттен, чья смерть оказывается связана с трагической гибелью её сына и поисками виновного врача. Ключевые концепции включают психологию серийного убийцы, мотивы мести и тайны из мира БДСМ, а сюжет строится на пересечении любви, боли и преступления. Книга предназначена для широкой аудитории, интересующейся чувственными и захватывающими детективами с элементами психологической драмы.</t>
  </si>
  <si>
    <t>Точка обмана</t>
  </si>
  <si>
    <t>Дэн Браун</t>
  </si>
  <si>
    <t>Дэн_Браун_-_Точка_обмана.doc</t>
  </si>
  <si>
    <t>Фрагмент книги Дэна Брауна «Точка обмана» представляет собой технотриллер, в центре которого — политический заговор и научное открытие, способное изменить мир. Ключевые концепции включают обнаружение инопланетного микроорганизма в арктических льдах, что ставит под угрозу интересы правительства и крупных корпораций, а также расследование, ведущееся параллельно в NASA и Белом доме. Книга предназначена для широкого круга читателей, интересующихся остросюжетными романами с элементами науки и конспирологии, и подходит как для новичков, так и для любителей жанра.</t>
  </si>
  <si>
    <t>Поваренная книга Ниро Вульфа</t>
  </si>
  <si>
    <t>Рэкс Стаут</t>
  </si>
  <si>
    <t>Рэкс_Стаут_-_Поваренная_книга_Ниро_Вульфа.doc</t>
  </si>
  <si>
    <t>Книга представляет собой необычный гибрид детективного романа и кулинарной энциклопедии, где расследования Ниро Вульфа тесно переплетаются с рецептами и описанием блюд, которые он готовит. Ключевые разделы включают рецепты закусок, супов, основных блюд и десертов, а также комментарии о гастрономических пристрастиях героев. Издание предназначено как для поклонников творчества Рекса Стаута, так и для любителей кулинарии, интересующихся атмосферой классических детективов.</t>
  </si>
  <si>
    <t>Orden_kurtuaznyih_maneristov_Sbornik__113493</t>
  </si>
  <si>
    <t>Добрынин</t>
  </si>
  <si>
    <t>Художественная литература/Добрынин</t>
  </si>
  <si>
    <t>Dobryinin_Orden_kurtuaznyih_maneristov_Sbornik__113493.mobi</t>
  </si>
  <si>
    <t>C:\Users\alexa\YandexDisk\Книги\Художественная литература\Добрынин</t>
  </si>
  <si>
    <t>Том 6. Идиот</t>
  </si>
  <si>
    <t>Федор Михайлович Достоевский</t>
  </si>
  <si>
    <t>1869</t>
  </si>
  <si>
    <t>Художественная литература/Достоевский</t>
  </si>
  <si>
    <t>Достоевский</t>
  </si>
  <si>
    <t>Dostoevskiy_F-M-Dostoevskiy-Sobranie-sochineniy-v-pyatnadcati-tomah_6_Tom-6-Idiot.250230.fb2.epub</t>
  </si>
  <si>
    <t>C:\Users\alexa\YandexDisk\Книги\Художественная литература\Достоевский</t>
  </si>
  <si>
    <t>Представленный фрагмент не является связным текстом книги, а представляет собой подборку примечаний и комментариев к роману Ф. М. Достоевского «Идиот». В них разъясняются исторические, литературные и библейские аллюзии, встречающиеся в тексте романа, такие как отсылки к произведениям Гоголя, Пушкина, Гёте и Апулея, а также к судебным делам и историческим личностям XIX века. Данный материал предназначен для специалистов-литературоведов, студентов-филологов или вдумчивых читателей, желающих углубиться в контекст произведения, но не даёт представления о сюжете или ключевых концепциях самого романа.</t>
  </si>
  <si>
    <t>Idiot</t>
  </si>
  <si>
    <t>Fyodor Dostoevsky</t>
  </si>
  <si>
    <t>Dostoevskiy_F-M-Dostoevskiy-Sobranie-sochineniy-v-pyatnadcati-tomah_6_Tom-6-Idiot.250230.fb2.mobi</t>
  </si>
  <si>
    <t>Фрагмент книги Ф. М. Достоевского «Идиот» посвящен теме столкновения идеального, нравственно чистого человека с порочным и корыстным обществом. Ключевой концепцией является образ князя Мышкина, который, обладая христианским смирением и состраданием, оказывается неспособным изменить мир вокруг себя и становится жертвой людских страстей. Книга предназначена для широкого круга читателей, интересующихся классической русской литературой и глубокими психологическими и философскими вопросами.</t>
  </si>
  <si>
    <t>Том 7. Бесы</t>
  </si>
  <si>
    <t>Dostoevskiy_F-M-Dostoevskiy-Sobranie-sochineniy-v-pyatnadcati-tomah_7_Tom-7-Besy.250231.fb2.epub</t>
  </si>
  <si>
    <t>Фрагмент представляет собой часть романа Ф.М. Достоевского «Бесы», где показана ночная встреча Николая Ставрогина с беглым каторжником Федькой. Ключевые концепции включают тему нигилизма, революционного брожения и нравственного падения героев, а также отсылки к реальному «нечаевскому делу». Книга предназначена для подготовленного читателя, интересующегося русской классической литературой и философскими проблемами XIX века.</t>
  </si>
  <si>
    <t>Dostoevskiy F-M-Dostoevskiy-Sobranie-sochineniy-v-pyatnadcati-tomah_7_Tom-7-Besy.250231.fb2.mobi</t>
  </si>
  <si>
    <t>Достоевский, Фёдор Михайлович</t>
  </si>
  <si>
    <t>Dostoevskiy_F-M-Dostoevskiy-Sobranie-sochineniy-v-pyatnadcati-tomah_7_Tom-7-Besy.250231.fb2.mobi</t>
  </si>
  <si>
    <t>Фрагмент книги нечитаем, так как содержит только техническую информацию о файле (путь и расширение), а не художественный текст. Не удалось определить содержимое.</t>
  </si>
  <si>
    <t>Voyna i mir. Tom 1</t>
  </si>
  <si>
    <t>Lev Tolstoy</t>
  </si>
  <si>
    <t>Художественная литература/Классика</t>
  </si>
  <si>
    <t>Классика</t>
  </si>
  <si>
    <t>Tolstoy_Voyna-i-mir_1_Voyna-i-mir-Tom-1.175105.fb2.mobi</t>
  </si>
  <si>
    <t>C:\Users\alexa\YandexDisk\Книги\Художественная литература\Классика</t>
  </si>
  <si>
    <t>Фрагмент книги «Война и мир» Льва Толстого представляет собой эпическое повествование о жизни русского общества в эпоху наполеоновских войн, переплетающее судьбы дворянских семей с историческими событиями. Ключевые концепции включают противопоставление войны и мира, поиск смысла жизни героями (Пьер Безухов, Андрей Болконский) и философские размышления о роли личности в истории. Книга предназначена для широкого круга читателей, включая новичков, интересующихся классической литературой, и специалистов, изучающих русскую культуру и историю.</t>
  </si>
  <si>
    <t>Заблудившийся автобус</t>
  </si>
  <si>
    <t>Джон Стейнбек</t>
  </si>
  <si>
    <t>Джон Стейнбек_-_Заблудившийся_автобус.doc</t>
  </si>
  <si>
    <t>Введение в психоанализ. Лекции 1-35</t>
  </si>
  <si>
    <t>Зигмунд Фрейд</t>
  </si>
  <si>
    <t>Зигмунд_Фрэйд Введение в психоанализ. Лекции 1-35.doc</t>
  </si>
  <si>
    <t>Данный фрагмент книги Зигмунда Фрейда «Введение в психоанализ» представляет собой цикл лекций, посвящённых основам психоаналитической теории. Ключевыми концепциями являются бессознательное, вытеснение, сопротивление, толкование сновидений и роль сексуальных влечений в формировании неврозов. Книга предназначена для широкой аудитории, включая новичков, так как написана в доступной лекционной форме, но будет полезна и специалистам как классический труд.</t>
  </si>
  <si>
    <t>Мастер и Маргарита</t>
  </si>
  <si>
    <t>Михаил Булгаков</t>
  </si>
  <si>
    <t>Михаил_Булгаков_-_Мастер и Маргарита.rtf</t>
  </si>
  <si>
    <t>Чайка по имени Джонатан Ливингстон</t>
  </si>
  <si>
    <t>Ричард Бах</t>
  </si>
  <si>
    <t>Ричард_Бах_-_Чайка по имени Джонатан Ливингстон.rtf</t>
  </si>
  <si>
    <t>Город</t>
  </si>
  <si>
    <t>Уильям Фолкнер</t>
  </si>
  <si>
    <t>Уильям Фолкнер_-_Город.doc</t>
  </si>
  <si>
    <t>Фрагмент книги Уильяма Фолкнера «Город» посвящен жизни вымышленного южного городка Джефферсон и его обитателей, исследуя темы социального упадка, жадности и столкновения старой аристократии с новой коммерческой элитой. Ключевые концепции включают психологическую глубину персонажей, влияние прошлого на настоящее и разрушение традиционного уклада под натиском капитализма. Книга предназначена для подготовленного читателя, знакомого с модернистской прозой и стилем Фолкнера, а также интересующегося социальной историей американского Юга.</t>
  </si>
  <si>
    <t>Blagues_M.doc</t>
  </si>
  <si>
    <t>Художественная литература/Книги на французском</t>
  </si>
  <si>
    <t>Книги на французском</t>
  </si>
  <si>
    <t>C:\Users\alexa\YandexDisk\Книги\Художественная литература\Книги на французском</t>
  </si>
  <si>
    <t>Contes simples</t>
  </si>
  <si>
    <t>Contes simples_m.doc</t>
  </si>
  <si>
    <t>Le Petit Prince</t>
  </si>
  <si>
    <t>Antoine de Saint-Exupéry</t>
  </si>
  <si>
    <t>Le_Petit_Prince_m.doc</t>
  </si>
  <si>
    <t>Фрагмент книги «Маленький принц» Антуана де Сент-Экзюпери представляет собой философскую сказку-притчу о дружбе, любви, одиночестве и поиске истинных ценностей. Ключевые концепции включают противопоставление детского взгляда на мир взрослому, метафору «приручения» как установления связи и ответственности за тех, кого приручил, а также путешествие героя по разным планетам, символизирующим человеческие пороки. Книга предназначена как для детей (как увлекательная история), так и для взрослых (как глубокое философское размышление), то есть для самого широкого круга читателей-новичков.</t>
  </si>
  <si>
    <t>Mauger_Intensivny_kurs_frantsuzskogo_yazyka</t>
  </si>
  <si>
    <t>Mauger_Intensivny_kurs_frantsuzskogo_yazyka.pdf</t>
  </si>
  <si>
    <t>Данный фрагмент представляет собой учебное пособие по французскому языку, предназначенное для интенсивного изучения. Ключевые разделы включают грамматику, лексику и упражнения для практики. Книга ориентирована на начинающих или продолжающих изучать язык, желающих освоить базовые навыки в сжатые сроки.</t>
  </si>
  <si>
    <t>Contes</t>
  </si>
  <si>
    <t>Charles Perrault</t>
  </si>
  <si>
    <t>Perrault_Contes_M.doc</t>
  </si>
  <si>
    <t>Bonjour tristesse</t>
  </si>
  <si>
    <t>Françoise Sagan</t>
  </si>
  <si>
    <t>Sagan_Bonjour tristesse_M.doc</t>
  </si>
  <si>
    <t>Фрагмент нечитаем или пуст. Не удалось определить содержимое.</t>
  </si>
  <si>
    <t>La jeune morte</t>
  </si>
  <si>
    <t>Simenon</t>
  </si>
  <si>
    <t>Simenon_La_jeune_morte_M.doc</t>
  </si>
  <si>
    <t>Fal'shivyie zierkala</t>
  </si>
  <si>
    <t>Сергей Лукьяненко</t>
  </si>
  <si>
    <t>Художественная литература/Современная проза</t>
  </si>
  <si>
    <t>Современная проза</t>
  </si>
  <si>
    <t>Fal'shivyie zierkala - Sierghiei Luk'ianienko.mobi</t>
  </si>
  <si>
    <t>C:\Users\alexa\YandexDisk\Книги\Художественная литература\Современная проза</t>
  </si>
  <si>
    <t>Napolieon</t>
  </si>
  <si>
    <t>Edvard Radzinskii</t>
  </si>
  <si>
    <t>Napolieon - Edvard Radzinskii.mobi</t>
  </si>
  <si>
    <t>Книга Эдварда Радзинского «Наполеон» представляет собой художественно-публицистическое исследование жизни и личности французского императора, написанное в характерном для автора драматическом стиле. Ключевые разделы охватывают восхождение Наполеона к власти, его военные кампании, любовные связи (особенно с Жозефиной) и трагическое падение, при этом автор уделяет большое внимание психологическим мотивам и загадкам характера героя. Книга предназначена для широкого круга читателей-новичков, интересующихся историей, так как сочетает факты с увлекательным повествованием, доступным без специальной подготовки.</t>
  </si>
  <si>
    <t>Quick Start Guide</t>
  </si>
  <si>
    <t>John Schember</t>
  </si>
  <si>
    <t>Quick Start Guide - John Schember.epub</t>
  </si>
  <si>
    <t>Это руководство представляет собой введение в программу calibre — бесплатный инструмент с открытым исходным кодом для управления электронными книгами. Ключевые разделы книги охватывают установку, организацию библиотеки, конвертацию между различными форматами, редактирование книг, загрузку новостей и взаимодействие с устройствами для чтения (Kindle, Kobo, Nook и др.). Материал предназначен для новичков, которые хотят освоить базовые функции calibre для упорядочивания своей коллекции электронных книг.</t>
  </si>
  <si>
    <t>Глаз Бога</t>
  </si>
  <si>
    <t>Джеймс Роллинс</t>
  </si>
  <si>
    <t>Rollins_D._Otryadsigma9._Glaz_Boga.a4.pdf</t>
  </si>
  <si>
    <t>Книга Джеймса Роллинса «Глаз Бога» из серии «Отряд «Сигма»» сочетает научную фантастику и приключенческий триллер: к Земле приближается комета, несущая загадочную «темную энергию», а сошедший с орбиты спутник «Глаз Бога» транслирует пророчество о глобальной катастрофе. Ключевые концепции включают историческую загадку встречи папы Льва I с Аттилой, научные размышления о природе реальности и квантовой физике, а также поиск древних артефактов от Венгрии до Монголии, способных противостоять угрозе. Произведение предназначено для широкой аудитории, интересующейся динамичными детективно-приключенческими сюжетами с элементами науки и истории.</t>
  </si>
  <si>
    <t>Rollins_D._Otryadsigma9._Glaz_Boga.epub</t>
  </si>
  <si>
    <t>Книга Джеймса Роллинса «Глаз Бога» — это научно-фантастический триллер о приближающейся к Земле комете, несущей угрозу уничтожения всего живого, и о загадочном приборе «Глаз Бога», способном исследовать темную энергию и показывать будущее. Ключевые концепции включают историческую загадку встречи папы Льва I с Аттилой, изменившую ход цивилизации, и научные рассуждения о природе реальности как голограмме или иллюзии, восходящие к идеям Платона. Произведение предназначено для широкой аудитории, интересующейся динамичными приключениями с элементами физики, истории и эзотерики, и будет понятно как новичкам, так и любителям жанра.</t>
  </si>
  <si>
    <t>Соблазнение</t>
  </si>
  <si>
    <t>Сергей Горин; Сергей Огурцов</t>
  </si>
  <si>
    <t>Sierghiei Gorin, Sierghiei Oghurtsov - Edghar.epub</t>
  </si>
  <si>
    <t>Книга посвящена теме пикапа — знакомства и соблазнения девушек, введённой в русский язык авторами как альтернатива негативно окрашенному слову «снимать». Авторы обсуждают происхождение термина, его цели (от поиска идеальной девушки до постели) и представляют книгу в форме интервью с собирательным образом корреспондентки Татьяны. Ключевые разделы включают обоснование терминологии, посвящение жёнам и описание психотехнологий, основанных на работах Грегори Мэдисона и Росса Джеффриса, а также на собственном опыте авторов. Книга предназначена для новичков и практикующих, интересующихся эффективными техниками знакомства и соблазнения.</t>
  </si>
  <si>
    <t>Edghar</t>
  </si>
  <si>
    <t>Sierghiei Gorin; Sierghiei Oghurtsov</t>
  </si>
  <si>
    <t>Sierghiei Gorin, Sierghiei Oghurtsov - Edghar.mobi</t>
  </si>
  <si>
    <t>На основе предоставленного фрагмента текста не удалось определить содержимое.</t>
  </si>
  <si>
    <t>U. nforgettable S. tanford A. dventure</t>
  </si>
  <si>
    <t>MAKAZONE</t>
  </si>
  <si>
    <t>U. nforgettable S. tanford A. dventure - by MAKAZONE.epub</t>
  </si>
  <si>
    <t>Эта книга представляет собой фотоальбом, посвященный незабываемому двухмесячному летнему опыту автора в Стэнфорде (Калифорния) в 2012 году. Ключевая концепция — совмещение интенсивной научной работы, соблюдения жестких дедлайнов с получением ярких впечатлений, новыми знакомствами и личностным ростом. Издание предназначено для широкой аудитории, интересующейся личными историями о студенческой жизни и академических приключениях, а также для тех, кто хочет визуально погрузиться в атмосферу через фотографии.</t>
  </si>
  <si>
    <t>Сердце Пармы</t>
  </si>
  <si>
    <t>Алексей Иванов</t>
  </si>
  <si>
    <t>Алексей Иванов - Сердце Пармы.doc</t>
  </si>
  <si>
    <t>Книга Алексея Иванова «Сердце Пармы» посвящена истории освоения русскими Пермского края в XV веке, столкновению языческой и христианской культур, а также судьбе князя Михаила, пытающегося удержать власть в суровых землях. Ключевые концепции включают противостояние двух мировоззрений, мистическую связь человека с природой и трагическую цену цивилизационного выбора. Произведение предназначено для широкого круга читателей, интересующихся историческим романом с элементами мифологии и глубоким психологизмом.</t>
  </si>
  <si>
    <t>Мой дедушка - памятник</t>
  </si>
  <si>
    <t>Василий Аксенов</t>
  </si>
  <si>
    <t>Василий Аксенов - Мой дедушка - памятник.doc</t>
  </si>
  <si>
    <t>Книга Василия Аксенова «Мой дедушка — памятник» — это приключенческая повесть для подростков, рассказывающая о необычных событиях в жизни школьника Геннадия Стратофонтова. Ключевая концепция произведения — сочетание фантастики и реальности, где главный герой сталкивается с ожившим памятником своему деду-моряку и отправляется в путешествие, полное загадок и юмора. Книга предназначена для читателей-новичков, в первую очередь для детей среднего школьного возраста, интересующихся легкой, динамичной прозой с элементами абсурда и советской романтики.</t>
  </si>
  <si>
    <t>Аквариум</t>
  </si>
  <si>
    <t>Виктор Суворов</t>
  </si>
  <si>
    <t>Виктор Суворов_Аквариум.doc</t>
  </si>
  <si>
    <t>Книга Виктора Суворова «Аквариум» представляет собой автобиографическое повествование о работе автора в Главном разведывательном управлении (ГРУ) СССР. Ключевая тема — изнанка советской военной разведки, её структура, методы вербовки агентов и внутренние конфликты. Основные разделы описывают подготовку разведчиков, их быт, а также циничную бюрократию спецслужб. Книга предназначена для широкого круга читателей, интересующихся историей спецслужб и политическими мемуарами, и будет понятна как новичкам, так и специалистам.</t>
  </si>
  <si>
    <t>Без пути-следа</t>
  </si>
  <si>
    <t>Денис Гуцко</t>
  </si>
  <si>
    <t>Денис Гуцко - Без пути-следа.doc</t>
  </si>
  <si>
    <t>Кролик, беги</t>
  </si>
  <si>
    <t>Джон Апдайк</t>
  </si>
  <si>
    <t>Джон Апдайк_-_Кролик_беги.doc</t>
  </si>
  <si>
    <t>Фрагмент книги Джона Апдайка «Кролик, беги» посвящен внутреннему кризису главного героя Гарри «Кролика» Энгстрома, который пытается сбежать от рутины семейной жизни и социальных обязательств. Ключевая тема — экзистенциальный поиск смысла и свободы в условиях американского пригорода 1950-х годов, а также конфликт между индивидуальными желаниями и общественными нормами. Книга предназначена для широкого круга читателей, интересующихся психологической прозой и социальной критикой, и не требует специальной подготовки.</t>
  </si>
  <si>
    <t>Крутой маршрут</t>
  </si>
  <si>
    <t>Евгения Гинзбург</t>
  </si>
  <si>
    <t>Евгения_Гинзбург_-_Крутой_маршрут.doc</t>
  </si>
  <si>
    <t>Книга Евгении Гинзбург «Крутой маршрут» — это автобиографическое свидетельство о сталинских репрессиях, описывающее восемнадцать лет, проведённых автором в тюрьмах, лагерях и ссылке. Ключевые разделы хронологически охватывают арест, допросы, этапирование, выживание в колымских лагерях и последующую ссылку, с особым вниманием к психологии заключённых и лагерной иерархии. Книга предназначена для широкого круга читателей, интересующихся историей СССР, мемуарной литературой и темой человеческой стойкости в экстремальных условиях.</t>
  </si>
  <si>
    <t>Сказки дервишей</t>
  </si>
  <si>
    <t>Идрис Шах</t>
  </si>
  <si>
    <t>Идрис_Шах_-_Сказки_дервишей.doc</t>
  </si>
  <si>
    <t>Фрагмент книги Идриса Шаха «Сказки дервишей» представляет собой сборник притч и поучительных историй из суфийской традиции, направленных на передачу скрытых знаний и духовных истин. Ключевая концепция заключается в использовании иносказательных сюжетов для развития интуитивного понимания и преодоления стереотипов мышления. Книга предназначена для широкого круга читателей, включая новичков, интересующихся восточной мудростью, и специалистов, изучающих суфизм и психологию восприятия.</t>
  </si>
  <si>
    <t>Плацдарм</t>
  </si>
  <si>
    <t>Клиффорд Саймак</t>
  </si>
  <si>
    <t>Клиффорд_Саймак_-_Плацдарм.doc</t>
  </si>
  <si>
    <t>На основе предоставленного фрагмента невозможно определить содержимое книги, так как текст отсутствует.</t>
  </si>
  <si>
    <t>Туполевская шарага</t>
  </si>
  <si>
    <t>Леонид Кербер</t>
  </si>
  <si>
    <t>Леонид Кербер - Туполевская шарага.doc</t>
  </si>
  <si>
    <t>Книга Леонида Кербера «Туполевская шарага» посвящена истории создания и работы советских закрытых конструкторских бюро (шараг) для заключенных инженеров, в частности, знаменитого ЦКБ-29 НКВД, где под руководством А. Н. Туполева разрабатывались передовые самолеты. Ключевые разделы описывают быт, научный труд и моральный дух репрессированных авиаконструкторов, а также технические детали создания таких машин, как Ту-2. Книга предназначена для широкого круга читателей, интересующихся историей советской авиации и сталинских репрессий, и будет понятна как новичкам, так и специалистам.</t>
  </si>
  <si>
    <t>Творец и робот</t>
  </si>
  <si>
    <t>Норберт Винер</t>
  </si>
  <si>
    <t>Норберт_Винер_-_Творец_и_робот.doc</t>
  </si>
  <si>
    <t>Выбраковка</t>
  </si>
  <si>
    <t>Олег Дивов</t>
  </si>
  <si>
    <t>Олег Дивов - Выбраковка.doc</t>
  </si>
  <si>
    <t>Фрагмент книги Олега Дивова «Выбраковка» представляет собой научно-фантастический роман-антиутопию, посвящённый теме выживания в постапокалиптическом мире, где общество разделено на «чистых» людей и мутантов. Ключевая концепция — социальное расслоение и борьба за существование в условиях радиационного заражения и тотального контроля. Книга предназначена для широкого круга читателей, интересующихся жанром социальной фантастики и философскими вопросами о природе человека.</t>
  </si>
  <si>
    <t>O Alquimista</t>
  </si>
  <si>
    <t>Paulo Coelho</t>
  </si>
  <si>
    <t>Пауло Коэльо - Алхимик.rtf</t>
  </si>
  <si>
    <t>99 франков</t>
  </si>
  <si>
    <t>Фредерик Бегбедер</t>
  </si>
  <si>
    <t>Фредерик Бегбедер_-_99_франков.rtf</t>
  </si>
  <si>
    <t>О дивный новый мир</t>
  </si>
  <si>
    <t>Хаксли</t>
  </si>
  <si>
    <t>Хаксли_-_О дивный новый мир.doc</t>
  </si>
  <si>
    <t>Книга Олдоса Хаксли «О дивный новый мир» — это антиутопический роман, исследующий тему тоталитарного общества, построенного на технологическом контроле, генной инженерии и массовом потреблении. Ключевые концепции включают кастовую систему (от альф до эпсилонов), программирование людей с помощью «гипнопедии» и подавление индивидуальности через наркотик «сома». Произведение предназначено для широкого круга читателей, включая новичков, интересующихся философскими и социальными вопросами, а также для специалистов в области литературы и социологии.</t>
  </si>
  <si>
    <t>Банковская тайна</t>
  </si>
  <si>
    <t>Шен Бекасов</t>
  </si>
  <si>
    <t>Шен_Бекасов_-_Банковская_тайна.rtf</t>
  </si>
  <si>
    <t>Это фрагмент художественного произведения — романа «Банковская тайна» Шена Бекасова. В нём описывается утро банковского аналитика, который мучительно борется с недосыпом после бурного воскресенья и вынужден выслушивать лирические планы своего друга Матвея. Матвей, типичный «лихой финансовый инвестор», хвастается покупкой государственных облигаций под 80% годовых на занятые деньги, что вызывает у рассказчика приступ профессионального гнева и разоблачение финансовой наивности друга. Ключевая концепция фрагмента — контраст между поверхностным, рискованным подходом к инвестициям (покупка на чужие деньги, погоня за высокой доходностью без учёта рисков) и профессиональным взглядом банкира, который видит в этом катастрофу. Книга предназначена для широкого круга читателей, интересующихся финансовой тематикой в лёгкой, художественной форме, включая новичков, так как сложные концепции объясняются через диалог и бытовую ситуацию.</t>
  </si>
  <si>
    <t>Севастопольские рассказы</t>
  </si>
  <si>
    <t>Лев Николаевич Толстой</t>
  </si>
  <si>
    <t>Художественная литература/Толстой</t>
  </si>
  <si>
    <t>Толстой</t>
  </si>
  <si>
    <t>Tolstoy_Sevastopolskie-rasskazy.78452.fb2.epub</t>
  </si>
  <si>
    <t>C:\Users\alexa\YandexDisk\Книги\Художественная литература\Толстой</t>
  </si>
  <si>
    <t>«Севастопольские рассказы» Льва Толстого — это цикл художественных очерков, основанных на личном опыте автора, участника обороны Севастополя в 1855 году. Ключевая тема — война, показанная как бессмысленная и противоестественная кровавая бойня, противоречащая человеческой природе. В книге объединены документальность, репортаж и сюжетное повествование, а главным героем провозглашается правда. Произведение предназначено для широкого круга читателей, интересующихся историей, психологией войны и творчеством Толстого.</t>
  </si>
  <si>
    <t>Sevastopolskie-rasskazy</t>
  </si>
  <si>
    <t>Tolstoy_Sevastopolskie-rasskazy.78452.fb2.mobi</t>
  </si>
  <si>
    <t>Фрагмент книги представляет собой художественное описание событий Крымской войны, сосредоточенное на психологии и быте защитников Севастополя. Ключевая концепция — изображение войны не как парадного сражения, а как повседневного ужаса, страданий и скрытого героизма простых солдат и офицеров. Книга предназначена для широкого круга читателей, включая новичков, интересующихся русской классической литературой и историей.</t>
  </si>
  <si>
    <t>Соединение и перевод четырех Евангелий</t>
  </si>
  <si>
    <t>Tolstoy_Soedinenie-i-perevod-chetyreh-Evangeliy.78450.fb2.epub</t>
  </si>
  <si>
    <t>В этом фрагменте Лев Толстой анализирует евангельское понятие «хулы на Духа Святого», трактуя его как сознательное искажение истины и подмену добра злом, совершаемое религиозными учителями. Ключевая концепция — обличение фарисейства как вечного соблазна, при котором ложь выдается за божественное откровение, что, по мнению автора, непростительно, так как уничтожает саму способность различать добро и зло. Толстой проводит прямую параллель между евангельскими фарисеями и современными ему церковными иерархами, утверждая, что текст написан «прямо против» них. Книга предназначена для читателей, интересующихся религиозной философией и критическим анализом христианства, и требует определенного уровня подготовки для понимания полемического контекста.</t>
  </si>
  <si>
    <t>Soedinenie-i-perevod-chetyreh-Evangeliy</t>
  </si>
  <si>
    <t>Tolstoy_Soedinenie-i-perevod-chetyreh-Evangeliy.78450.fb2.mobi</t>
  </si>
  <si>
    <t>Фрагмент книги Льва Толстого представляет собой его собственный перевод и соединение четырех Евангелий в единый текст, где автор стремится очистить христианское учение от церковных догматов и мистики. Ключевая концепция — изложение учения Христа как практической этики, основанной на непротивлении злу, любви к ближнему и отказе от насилия. Книга предназначена для читателей, интересующихся философией, религиоведением и творчеством Толстого, и требует определенного уровня подготовки для понимания его критического подхода к традиционному богословию.</t>
  </si>
  <si>
    <t>Война и мир. Том 1</t>
  </si>
  <si>
    <t>Tolstoy_Voyna-i-mir_1_Voyna-i-mir-Tom-1.175105.fb2.epub</t>
  </si>
  <si>
    <t>Фрагмент романа-эпопеи Льва Толстого «Война и мир» описывает Аустерлицкое сражение глазами Николая Ростова, который в хаосе отступления ищет Кутузова и императора. Ключевая концепция — крушение иллюзий героя о войне, столкновение с ужасом смерти, паникой и ложными слухами (о ранении государя), а также внутренний конфликт между долгом и страхом. Книга предназначена для широкого круга читателей, интересующихся классической литературой и исторической психологией.</t>
  </si>
  <si>
    <t>Война и мир. Том 2</t>
  </si>
  <si>
    <t>Tolstoy_Voyna-i-mir_2_Voyna-i-mir-Tom-2.175143.fb2.epub</t>
  </si>
  <si>
    <t>Фрагмент второго тома «Войны и мира» Льва Толстого описывает возвращение князя Андрея Болконского в петербургское общество в 1809 году, где он оказывается в центре политических преобразований и знакомится с влиятельным реформатором Сперанским. Ключевые концепции включают внутренние изменения князя Андрея, его интерес к гражданским реформам и взаимодействие с различными кругами — от либералов до консерваторов. Книга предназначена для широкого круга читателей, включая новичков, интересующихся классической литературой и историей России.</t>
  </si>
  <si>
    <t>Voyna i mir. Tom 2</t>
  </si>
  <si>
    <t>Лев Толстой</t>
  </si>
  <si>
    <t>Tolstoy_Voyna-i-mir_2_Voyna-i-mir-Tom-2.175143.fb2.mobi</t>
  </si>
  <si>
    <t>Фрагмент книги представляет собой второй том романа-эпопеи Льва Толстого «Война и мир», посвящённый описанию мирной жизни русского дворянства в период между войнами с Наполеоном. Ключевые концепции включают духовные искания главных героев (Пьера Безухова, Андрея Болконского, Наташи Ростовой), их разочарования, любовные переживания и попытки найти смысл жизни, а также широкую панораму быта и нравов высшего света. Книга предназначена для широкого круга читателей, включая новичков, интересующихся классической русской литературой, историей и философскими размышлениями о судьбе человека.</t>
  </si>
  <si>
    <t>Война и мир. Том 3</t>
  </si>
  <si>
    <t>Tolstoy_Voyna-i-mir_3_Voyna-i-mir-Tom-3.175746.fb2.epub</t>
  </si>
  <si>
    <t>Фрагмент романа «Война и мир» Льва Толстого описывает душевное состояние княжны Марьи после смерти отца: она погружена в скорбь, чувство вины и отрешенность от внешнего мира. Ключевой конфликт возникает, когда гувернантка m-lle Bourienne сообщает ей об опасности приближения французов и предлагает обратиться к вражескому генералу за покровительством, что вызывает у княжны Марьи ужас и решимость немедленно уехать. Книга предназначена для широкого круга читателей, интересующихся классической русской литературой и психологической глубиной персонажей.</t>
  </si>
  <si>
    <t>Voyna i mir Tom 3</t>
  </si>
  <si>
    <t>Tolstoy_Voyna-i-mir_3_Voyna-i-mir-Tom-3.175746.fb2.mobi</t>
  </si>
  <si>
    <t>Этот фрагмент романа-эпопеи Льва Толстого «Война и мир» (том 3) посвящен ключевому историческому событию — Бородинскому сражению, его подготовке и восприятию главными героями. Ключевые концепции включают философские размышления о роли личности в истории, психологию солдат и полководцев перед лицом смерти, а также контраст между планами Наполеона и хаотичной реальностью войны. Книга предназначена для широкого круга читателей, включая новичков, интересующихся классической литературой, историей и глубокими психологическими портретами.</t>
  </si>
  <si>
    <t>Война и мир. Том 4</t>
  </si>
  <si>
    <t>Tolstoy_Voyna-i-mir_4_Voyna-i-mir-Tom-4.175747.fb2.epub</t>
  </si>
  <si>
    <t>В этом фрагменте четвертого тома «Войны и мира» Лев Толстой размышляет о природе исторического процесса после 1812 года, критикуя историков за субъективную оценку действий исторических личностей, в частности Александра I. Автор утверждает, что поступки императора, как и любые исторические события, нельзя однозначно назвать полезными или вредными, поскольку представления о благе меняются со временем и зависят от ограниченного понимания наблюдателя. Ключевая концепция — отрицание возможности объективного морального суда над историческими деятелями, чьи действия являются результатом множества непостижимых сил и условий. Книга предназначена для широкого круга читателей, включая новичков, интересующихся философией истории и классической литературой.</t>
  </si>
  <si>
    <t>Voyna-i-mir Tom 4</t>
  </si>
  <si>
    <t>Tolstoy_Voyna-i-mir_4_Voyna-i-mir-Tom-4.175747.fb2.mobi</t>
  </si>
  <si>
    <t>Фрагмент книги «Война и мир» Льва Толстого (том 4) посвящен финальному этапу Отечественной войны 1812 года, включая бегство французов из России, партизанскую войну и гибель Пети Ростова. Ключевые концепции — крушение наполеоновской армии, роль народа в истории и противопоставление истинного героизма показной храбрости. Произведение предназначено для широкого круга читателей, включая новичков, интересующихся русской классикой и исторической прозой.</t>
  </si>
  <si>
    <t>C:\Users\alexa\YandexDisk\Книги\Художественная литература\Фантастика</t>
  </si>
  <si>
    <t>Cvet-boli-belyy</t>
  </si>
  <si>
    <t>Хансен</t>
  </si>
  <si>
    <t>Художественная литература/Хансен</t>
  </si>
  <si>
    <t>Hansen_Cvet-boli-belyy.348806.fb2.mobi</t>
  </si>
  <si>
    <t>C:\Users\alexa\YandexDisk\Книги\Художественная литература\Хансен</t>
  </si>
  <si>
    <t>На основе предоставленного фрагмента не удалось определить содержимое.</t>
  </si>
  <si>
    <t>Цвет боли: черный</t>
  </si>
  <si>
    <t>Hansen_Cvet-boli-chernyy.334096.fb2.epub</t>
  </si>
  <si>
    <t>Фрагмент романа Эвы Хансен «Цвет боли: черный» представляет собой эротический детектив, в котором личные драмы и любовные переживания главной героини Линн переплетаются с расследованием преступлений. Ключевые концепции включают тему психологической травмы после пережитого нападения, сложные отношения с близкими (матерью, отцом, бабушкой) и контраст между шведской культурой скромности и богатством иностранца Ларса. Книга предназначена для широкой аудитории, интересующейся современными скандинавскими детективами с элементами психологической прозы и любовной линии.</t>
  </si>
  <si>
    <t>Cvet-boli-chernyy</t>
  </si>
  <si>
    <t>Hansen_Cvet-boli-chernyy.334096.fb2.mobi</t>
  </si>
  <si>
    <t>Цвет боли. Красный</t>
  </si>
  <si>
    <t>Hansen_Cvet-boli-Krasnyy.323665.fb2.epub</t>
  </si>
  <si>
    <t>Фрагмент книги «Цвет боли. Красный» Эвы Хансен представляет собой психологический триллер с элементами эротики и детектива. Главная героиня, журналистка, внедряется в закрытый мир БДСМ, чтобы расследовать серию убийств девушек, подозревая эксцентричного миллионера Ларса. Однако после покушения на её жизнь она оказывается в больнице, где выясняется, что убийца, возможно, не тот, кого она подозревала, а сама героиня оказывается втянутой в опасную игру, связанную с тайнами прошлого. Книга предназначена для широкой аудитории, интересующейся остросюжетными романами с психологической глубиной и романтической линией.</t>
  </si>
  <si>
    <t>Cvet-boli-Krasnyy</t>
  </si>
  <si>
    <t>Hansen_Cvet-boli-Krasnyy.323665.fb2.mobi</t>
  </si>
  <si>
    <t>Ciceron-orator</t>
  </si>
  <si>
    <t>Цицерон</t>
  </si>
  <si>
    <t>Художественная литература/Цицерон</t>
  </si>
  <si>
    <t>Ciceron-orator.doc</t>
  </si>
  <si>
    <t>C:\Users\alexa\YandexDisk\Книги\Художественная литература\Цицерон</t>
  </si>
  <si>
    <t>Фрагмент книги Цицерона «Оратор» посвящён искусству красноречия и определению идеального оратора. Ключевая концепция — синтез трёх стилей речи (простой, средний и возвышенный) и необходимость владения философией, правом и историей. Текст адресован как начинающим, так и опытным специалистам в области риторики и античной литературы.</t>
  </si>
  <si>
    <t>ciceronoboratore.doc</t>
  </si>
  <si>
    <t>Книга посвящена искусству ораторского мастерства и теории красноречия, рассматриваемым через призму взглядов Цицерона. Ключевые концепции включают анализ роли риторики в обществе, требования к идеальному оратору (владение философией, правом и историей) и структуру классической речи. Текст предназначен для специалистов в области филологии, истории и риторики, а также для продвинутых читателей, интересующихся античной культурой.</t>
  </si>
  <si>
    <t>ciceronoboratoreII.doc</t>
  </si>
  <si>
    <t>Книга представляет собой трактат Цицерона об ораторском искусстве, где он исследует природу красноречия, его роль в обществе и требования к идеальному оратору. Ключевые концепции включают три задачи оратора (убедить, усладить, взволновать), а также разделение речи на изобретение, расположение, стиль, память и произнесение. Произведение предназначено для специалистов в области риторики, филологов и всех, кто интересуется античной теорией публичных выступлений.</t>
  </si>
  <si>
    <t>Викиномика. Как массовое сотрудничество изменяет всё</t>
  </si>
  <si>
    <t>Дон Тапскотт; Энтони Д. Уильямc</t>
  </si>
  <si>
    <t>Экономика/Макроэкономика</t>
  </si>
  <si>
    <t>Экономика</t>
  </si>
  <si>
    <t>Макроэкономика</t>
  </si>
  <si>
    <t>Vikinomika. Kak massovoie sotru - Don Tapskott.pdf</t>
  </si>
  <si>
    <t>C:\Users\alexa\YandexDisk\Книги\Экономика\Макроэкономика</t>
  </si>
  <si>
    <t>Книга «Викиномика» Дона Тапскотта и Энтони Уильямса посвящена тому, как массовое сотрудничество и производство на равных (peer production), основанные на принципах Веб 2.0, меняют экономику и бизнес. Авторы описывают переход от традиционных закрытых моделей к открытому взаимодействию, когда компании привлекают идеи и таланты из глобальной сети, а ключевыми концепциями становятся коллаборативные инновации и снижение издержек сотрудничества. Книга предназначена для широкой аудитории — от новичков, интересующихся современными трендами, до специалистов и предпринимателей, стремящихся понять, как использовать принципы «викиномики» для решения бизнес-задач.</t>
  </si>
  <si>
    <t>The macroeconomic impact of artificial intelligence</t>
  </si>
  <si>
    <t>PwC</t>
  </si>
  <si>
    <t>_PWC_macroeconomic-impact-of-ai-technical-report-feb-18.pdf</t>
  </si>
  <si>
    <t>Этот технический отчёт PwC посвящён макроэкономическому влиянию искусственного интеллекта на мировую экономику. В работе исследуются не только эффекты автоматизации труда, но и влияние ИИ на рост производительности и потребительский спрос, а также представлены результаты эконометрического анализа и сценарного моделирования. Документ предназначен для специалистов в области экономики, аналитиков и руководителей бизнеса, интересующихся количественной оценкой экономического потенциала ИИ.</t>
  </si>
  <si>
    <t>Изобразительная статистика и венский метод</t>
  </si>
  <si>
    <t>Иваницкий, И. П.</t>
  </si>
  <si>
    <t>1932</t>
  </si>
  <si>
    <t>ОГИЗ — ИЗОГИЗ</t>
  </si>
  <si>
    <t>Изобразительная_статистика_и_венский_метод_1.pdf</t>
  </si>
  <si>
    <t>Книга И. П. Иваницкого «Изобразительная статистика и венский метод» посвящена методам графического представления статистических данных для массовой агитации и пропаганды в условиях социалистического строительства СССР. Автор анализирует преимущества «венского метода» количественного диаграммирования перед старыми формами статистических диаграмм, подчеркивая необходимость его критического переосмысления для создания классовой, партийной советской изо-статистики. Издание предназначено для специалистов в области статистики, художников и работников агитации, стремящихся сделать язык цифр доступным и убедительным для каждого рабочего и колхозника.</t>
  </si>
  <si>
    <t>"Капитал" Маркса в комиксах. Критика политической экономии</t>
  </si>
  <si>
    <t>Дэвид Смит; Фил Эванс</t>
  </si>
  <si>
    <t>Капитал_Маркса_в_комиксах_Критика_политической_экономии_ДэвидСмит.pdf</t>
  </si>
  <si>
    <t>Это фрагмент книги «Капитал» Маркса в комиксах. Критика политической экономии» Дэвида Смита и Фила Эванса, который в доступной и иллюстрированной форме знакомит читателя с биографией Карла Маркса, историей создания его главного труда и ключевыми понятиями его экономической теории, такими как товар, прибавочная стоимость, отчуждение труда, фетишизм и накопление капитала. Книга предназначена для новичков, желающих понять основы марксистской критики капитализма без необходимости изучать оригинальный многотомный текст.</t>
  </si>
  <si>
    <t>Принципы изменения мирового порядка. Почему одни нации побеждают, а другие терпят поражение</t>
  </si>
  <si>
    <t>Рэй Далио-Принципы изменения мирового порядка.pdf</t>
  </si>
  <si>
    <t>Книга Рэя Далио «Принципы изменения мирового порядка» посвящена исследованию закономерностей взлета и падения ведущих мировых держав на основе анализа исторических циклов. Ключевая концепция — «Большой цикл», который автор раскрывает через детерминанты: денежно-кредитную систему, внутренний и внешний порядок, а также через исторические примеры Голландской, Британской, Американской империй и современного Китая. Книга предназначена для широкого круга читателей, интересующихся макроэкономикой, геополитикой и долгосрочным инвестированием, от новичков до специалистов.</t>
  </si>
  <si>
    <t>Цифровая трансформация отраслей: стартовые условия и приоритеты</t>
  </si>
  <si>
    <t>Г.И. Абдрахманова; К.Б. Быховский; Н.Н. Веселитская; К.О. Вишневский; Л.М. Гохберг; А.Ю. Гребенюк; Ю.Я. Дранев; Т.С. Зинина; Д.Д. Максименко; А.А. Назаренко; Л.Н. Проскурякова; С.Г. Приворотская; П.Б. Рудник; А.Б. Суслов; Н.Н. Тарасова; Ю.В. Туровец; К.Е. Утятина; П.О. Шпарова</t>
  </si>
  <si>
    <t>Издательский дом Высшей школы экономики</t>
  </si>
  <si>
    <t>Цифровая трансформация - ВШЭ-Полный текст доклада.pdf</t>
  </si>
  <si>
    <t>Доклад НИУ ВШЭ посвящен анализу цифровой трансформации ключевых отраслей российской экономики и социальной сферы. В нем рассматриваются сущность изменений, методы их измерения и отраслевая специфика, а также выделены семь секторов: промышленность, ТЭК, сельское хозяйство, строительство, транспорт, финансы и здравоохранение. Для каждой отрасли определены ключевые тренды, технологические решения и необходимые меры государственной поддержки. Материал ориентирован на специалистов в области экономики, управления и государственной политики, а также на исследователей, интересующихся вопросами цифровизации.</t>
  </si>
  <si>
    <t>Умные решения. Как сделать правильный выбор: от семейных ужинов до серьезных сделок</t>
  </si>
  <si>
    <t>Дэн Ариели; Мэт Троуэр</t>
  </si>
  <si>
    <t>Экономика/Микроэкономика</t>
  </si>
  <si>
    <t>Микроэкономика</t>
  </si>
  <si>
    <t>umnye-resheniya-book.pdf</t>
  </si>
  <si>
    <t>C:\Users\alexa\YandexDisk\Книги\Экономика\Микроэкономика</t>
  </si>
  <si>
    <t>Книга Дэна Ариели и Мэтта Троуэра «Умные решения» в формате графического руководства исследует, почему люди принимают неверные решения в повседневной жизни — от выбора подарков до мотивации сотрудников, и как это исправить. Ключевая концепция строится на противопоставлении двух «миров»: рационального рыночного обмена (где всё измеряется деньгами) и сложного мира социальных норм (где важны отношения, благодарность и контекст). Автор на примерах показывает, что попытка перенести логику рынка в личные отношения (например, требовать плату за подвоз друга или дарить деньги вместо подарков) приводит к неловкости и конфликтам. Книга предназначена для широкого круга читателей-новичков, интересующихся поведенческой экономикой и психологией принятия решений.</t>
  </si>
  <si>
    <t>Финансовые рынки: Нейронные сети, хаос и нелинейная динамика</t>
  </si>
  <si>
    <t>Финансовые_рынки_Нейронные_сети,_хаос_и_нелинейная_динамика_PDFDrive.pdf</t>
  </si>
  <si>
    <t>Данный фрагмент книги посвящен применению методов нелинейной динамики, теории хаоса и нейронных сетей для анализа и прогнозирования финансовых рынков. Ключевые концепции включают использование нейросетевых моделей для выявления скрытых закономерностей в рыночных данных, а также рассмотрение хаотической природы ценовых движений, которая не поддается традиционному линейному анализу. Книга предназначена для специалистов в области количественных финансов, трейдеров и исследователей, имеющих базовую подготовку в машинном обучении и статистике, и требует понимания сложных математических моделей.</t>
  </si>
  <si>
    <t>Экономист под прикрытием</t>
  </si>
  <si>
    <t>Тим Харфорд</t>
  </si>
  <si>
    <t>Экономика/Общие вопросы</t>
  </si>
  <si>
    <t>Ekonomist pod prikrytiiem - Tim Kharford.epub</t>
  </si>
  <si>
    <t>C:\Users\alexa\YandexDisk\Книги\Экономика\Общие вопросы</t>
  </si>
  <si>
    <t>Книга Тима Харфорда «Экономист под прикрытием» представляет собой увлекательное введение в экономическую науку, объясняющее, как работают деньги и стимулы в повседневной жизни — от цены на чашку кофе до проблем здравоохранения и пробок. Автор раскрывает ключевые концепции, такие как рыночная эффективность, провалы рынка, аукционы и стимулы, показывая, что экономика — это наука о том, «кто что получает и почему». Книга предназначена для широкого круга читателей-новичков, желающих понять скрытые механизмы современного мира без специальной подготовки.</t>
  </si>
  <si>
    <t>Ekonomist pod prikrytiiem - Tim Kharford.pdf</t>
  </si>
  <si>
    <t>Книга Тима Харфорда «Экономист под прикрытием» знакомит читателя с тем, как экономисты видят повседневные явления — от покупки чашки кофе до уличных пробок — и объясняет скрытые механизмы рынка, стимулов и сложных систем, в которых никто не руководит процессом, но всё работает. Автор показывает, что за привычными вещами стоят глобальные цепочки сотрудничества, сигналы и переговоры, а также разбирает разницу между эффективностью книжного магазина и хаосом дорожного движения. Книга предназначена для новичков, желающих понять основы экономического мышления без специальной подготовки.</t>
  </si>
  <si>
    <t>Vikinomika. Kak massovoie sotru - Don Tapskott.epub</t>
  </si>
  <si>
    <t>Книга «Викиномика» Дона Тапскотта и Энтони Уильямса посвящена тому, как принципы массового сотрудничества и открытости, основанные на цифровых технологиях, трансформируют бизнес, науку и общество. В прочитанном фрагменте авторы проводят параллель между Александрийской библиотекой как символом объединения знаний и современной «цифровой Александрийской библиотекой», подчеркивая, что новая эра коллаборативной науки ускоряет открытия и меняет подходы к инновациям. Ключевые концепции включают оцифровку знаний, открытый доступ к информации, создание глобальных пиринговых сообществ и совместные доконкурентные исследования, выгодные даже для конкурирующих компаний. Книга предназначена для широкого круга деловых людей, предпринимателей и специалистов, интересующихся современными моделями сотрудничества и инноваций.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</si>
</sst>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Calibri"/>
      <family val="2"/>
      <charset val="204"/>
    </font>
    <font>
      <sz val="10"/>
      <name val="Calibri"/>
      <family val="2"/>
      <charset val="204"/>
    </font>
    <font>
      <u/>
      <sz val="10"/>
      <color rgb="FF1155CC"/>
      <name val="Calibri"/>
      <family val="2"/>
      <charset val="204"/>
    </font>
  </fonts>
  <fills count="5">
    <fill>
      <patternFill patternType="none"/>
    </fill>
    <fill>
      <patternFill patternType="gray125"/>
    </fill>
    <fill>
      <patternFill patternType="solid">
        <fgColor rgb="FF1F538D"/>
      </patternFill>
    </fill>
    <fill>
      <patternFill patternType="solid">
        <fgColor rgb="FFFFFFFF"/>
      </patternFill>
    </fill>
    <fill>
      <patternFill patternType="solid">
        <fgColor rgb="FFF7FBFF"/>
      </patternFill>
    </fill>
  </fills>
  <borders count="2">
    <border>
      <left/>
      <right/>
      <top/>
      <bottom/>
      <diagonal/>
    </border>
    <border>
      <left style="thin">
        <color rgb="FFC0C0C0"/>
      </left>
      <right style="thin">
        <color rgb="FFC0C0C0"/>
      </right>
      <top style="thin">
        <color rgb="FFC0C0C0"/>
      </top>
      <bottom style="thin">
        <color rgb="FFC0C0C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0" fontId="2" fillId="3" borderId="1" xfId="0" applyFont="1" applyFill="1" applyBorder="1" applyAlignment="1">
      <alignment vertical="top" wrapText="1"/>
    </xf>
    <xf numFmtId="0" fontId="2" fillId="4" borderId="1" xfId="0" applyFont="1" applyFill="1" applyBorder="1" applyAlignment="1">
      <alignment vertical="top"/>
    </xf>
    <xf numFmtId="0" fontId="2" fillId="4" borderId="1" xfId="0" applyFont="1" applyFill="1" applyBorder="1" applyAlignment="1">
      <alignment vertical="top" wrapText="1"/>
    </xf>
    <xf numFmtId="0" fontId="3" fillId="3" borderId="1" xfId="0" applyFont="1" applyFill="1" applyBorder="1" applyAlignment="1">
      <alignment vertical="top" wrapText="1"/>
    </xf>
    <xf numFmtId="0" fontId="3" fillId="4" borderId="1" xfId="0" applyFont="1" applyFill="1" applyBorder="1" applyAlignment="1">
      <alignment vertical="top" wrapText="1"/>
    </xf>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81"/>
  <sheetViews>
    <sheetView tabSelected="1" workbookViewId="0">
      <pane ySplit="1" topLeftCell="A2" activePane="bottomLeft" state="frozen"/>
      <selection pane="bottomLeft" activeCell="N72" sqref="N72"/>
    </sheetView>
  </sheetViews>
  <sheetFormatPr defaultRowHeight="14.4" x14ac:dyDescent="0.3"/>
  <cols>
    <col min="1" max="1" width="5" customWidth="1"/>
    <col min="2" max="2" width="23.88671875" style="8" customWidth="1"/>
    <col min="3" max="3" width="14.6640625" style="8" customWidth="1"/>
    <col min="4" max="4" width="6" style="8" customWidth="1"/>
    <col min="5" max="5" width="14.5546875" style="8" customWidth="1"/>
    <col min="6" max="6" width="17.21875" style="8" customWidth="1"/>
    <col min="7" max="7" width="15" style="8" customWidth="1"/>
    <col min="8" max="8" width="13.33203125" style="8" customWidth="1"/>
    <col min="9" max="9" width="8" style="8" customWidth="1"/>
    <col min="10" max="10" width="10" style="8" customWidth="1"/>
    <col min="11" max="11" width="8" style="8" customWidth="1"/>
    <col min="12" max="12" width="17.6640625" style="8" customWidth="1"/>
    <col min="13" max="13" width="21.44140625" style="8" customWidth="1"/>
    <col min="14" max="14" width="29.33203125" style="8" customWidth="1"/>
    <col min="15" max="15" width="50.33203125" customWidth="1"/>
  </cols>
  <sheetData>
    <row r="1" spans="1:15" ht="28.8"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07" x14ac:dyDescent="0.3">
      <c r="A2" s="2">
        <v>1</v>
      </c>
      <c r="B2" s="3" t="s">
        <v>15</v>
      </c>
      <c r="C2" s="3" t="s">
        <v>16</v>
      </c>
      <c r="D2" s="3" t="s">
        <v>17</v>
      </c>
      <c r="E2" s="3" t="s">
        <v>18</v>
      </c>
      <c r="F2" s="3" t="s">
        <v>19</v>
      </c>
      <c r="G2" s="3" t="s">
        <v>19</v>
      </c>
      <c r="H2" s="3"/>
      <c r="I2" s="3" t="s">
        <v>20</v>
      </c>
      <c r="J2" s="3">
        <v>7.12</v>
      </c>
      <c r="K2" s="3" t="s">
        <v>21</v>
      </c>
      <c r="L2" s="3" t="s">
        <v>22</v>
      </c>
      <c r="M2" s="3" t="s">
        <v>23</v>
      </c>
      <c r="N2" s="6" t="str">
        <f>HYPERLINK("C:\Users\alexa\YandexDisk\Книги\Computer Science\! Гид_по_Computer_Science,_расширенное_издание 2021.pdf","! Гид_по_Computer_Science,_расширенное_издание 2021.pdf")</f>
        <v>! Гид_по_Computer_Science,_расширенное_издание 2021.pdf</v>
      </c>
      <c r="O2" s="3" t="s">
        <v>24</v>
      </c>
    </row>
    <row r="3" spans="1:15" ht="193.2" x14ac:dyDescent="0.3">
      <c r="A3" s="4">
        <v>2</v>
      </c>
      <c r="B3" s="5" t="s">
        <v>25</v>
      </c>
      <c r="C3" s="5" t="s">
        <v>26</v>
      </c>
      <c r="D3" s="5" t="s">
        <v>27</v>
      </c>
      <c r="E3" s="5" t="s">
        <v>18</v>
      </c>
      <c r="F3" s="5" t="s">
        <v>19</v>
      </c>
      <c r="G3" s="5" t="s">
        <v>19</v>
      </c>
      <c r="H3" s="5"/>
      <c r="I3" s="5" t="s">
        <v>20</v>
      </c>
      <c r="J3" s="5">
        <v>3.13</v>
      </c>
      <c r="K3" s="5" t="s">
        <v>21</v>
      </c>
      <c r="L3" s="5" t="s">
        <v>28</v>
      </c>
      <c r="M3" s="5" t="s">
        <v>23</v>
      </c>
      <c r="N3" s="7" t="str">
        <f>HYPERLINK("C:\Users\alexa\YandexDisk\Книги\Computer Science\!!!Computer_Science_для_программиста_самоучки_Все,_что_нужно_знать.pdf","!!!Computer_Science_для_программиста_самоучки_Все,_что_нужно_знать.pdf")</f>
        <v>!!!Computer_Science_для_программиста_самоучки_Все,_что_нужно_знать.pdf</v>
      </c>
      <c r="O3" s="5" t="s">
        <v>29</v>
      </c>
    </row>
    <row r="4" spans="1:15" ht="165.6" x14ac:dyDescent="0.3">
      <c r="A4" s="2">
        <v>3</v>
      </c>
      <c r="B4" s="3" t="s">
        <v>30</v>
      </c>
      <c r="C4" s="3" t="s">
        <v>31</v>
      </c>
      <c r="D4" s="3" t="s">
        <v>32</v>
      </c>
      <c r="E4" s="3" t="s">
        <v>18</v>
      </c>
      <c r="F4" s="3" t="s">
        <v>19</v>
      </c>
      <c r="G4" s="3" t="s">
        <v>19</v>
      </c>
      <c r="H4" s="3"/>
      <c r="I4" s="3" t="s">
        <v>20</v>
      </c>
      <c r="J4" s="3">
        <v>75.95</v>
      </c>
      <c r="K4" s="3" t="s">
        <v>21</v>
      </c>
      <c r="L4" s="3" t="s">
        <v>33</v>
      </c>
      <c r="M4" s="3" t="s">
        <v>23</v>
      </c>
      <c r="N4" s="6" t="str">
        <f>HYPERLINK("C:\Users\alexa\YandexDisk\Книги\Computer Science\Computer Science  JAVA.pdf","Computer Science  JAVA.pdf")</f>
        <v>Computer Science  JAVA.pdf</v>
      </c>
      <c r="O4" s="3" t="s">
        <v>34</v>
      </c>
    </row>
    <row r="5" spans="1:15" ht="179.4" x14ac:dyDescent="0.3">
      <c r="A5" s="4">
        <v>4</v>
      </c>
      <c r="B5" s="5" t="s">
        <v>35</v>
      </c>
      <c r="C5" s="5" t="s">
        <v>36</v>
      </c>
      <c r="D5" s="5"/>
      <c r="E5" s="5" t="s">
        <v>37</v>
      </c>
      <c r="F5" s="5" t="s">
        <v>19</v>
      </c>
      <c r="G5" s="5" t="s">
        <v>19</v>
      </c>
      <c r="H5" s="5"/>
      <c r="I5" s="5" t="s">
        <v>20</v>
      </c>
      <c r="J5" s="5">
        <v>27.59</v>
      </c>
      <c r="K5" s="5" t="s">
        <v>21</v>
      </c>
      <c r="L5" s="5" t="s">
        <v>38</v>
      </c>
      <c r="M5" s="5" t="s">
        <v>23</v>
      </c>
      <c r="N5" s="7" t="str">
        <f>HYPERLINK("C:\Users\alexa\YandexDisk\Книги\Computer Science\Computer_Organization_and_Architecture_Global_Edition_11th_Editi.pdf","Computer_Organization_and_Architecture_Global_Edition_11th_Editi.pdf")</f>
        <v>Computer_Organization_and_Architecture_Global_Edition_11th_Editi.pdf</v>
      </c>
      <c r="O5" s="5" t="s">
        <v>39</v>
      </c>
    </row>
    <row r="6" spans="1:15" ht="179.4" x14ac:dyDescent="0.3">
      <c r="A6" s="2">
        <v>5</v>
      </c>
      <c r="B6" s="3" t="s">
        <v>25</v>
      </c>
      <c r="C6" s="3" t="s">
        <v>26</v>
      </c>
      <c r="D6" s="3" t="s">
        <v>27</v>
      </c>
      <c r="E6" s="3" t="s">
        <v>18</v>
      </c>
      <c r="F6" s="3" t="s">
        <v>19</v>
      </c>
      <c r="G6" s="3" t="s">
        <v>19</v>
      </c>
      <c r="H6" s="3"/>
      <c r="I6" s="3" t="s">
        <v>20</v>
      </c>
      <c r="J6" s="3">
        <v>3.14</v>
      </c>
      <c r="K6" s="3" t="s">
        <v>21</v>
      </c>
      <c r="L6" s="3" t="s">
        <v>40</v>
      </c>
      <c r="M6" s="3" t="s">
        <v>23</v>
      </c>
      <c r="N6" s="6" t="str">
        <f>HYPERLINK("C:\Users\alexa\YandexDisk\Книги\Computer Science\Computer_Science_для_программиста_самоучки_с примерами на  Python.pdf","Computer_Science_для_программиста_самоучки_с примерами на  Python.pdf")</f>
        <v>Computer_Science_для_программиста_самоучки_с примерами на  Python.pdf</v>
      </c>
      <c r="O6" s="3" t="s">
        <v>41</v>
      </c>
    </row>
    <row r="7" spans="1:15" ht="179.4" x14ac:dyDescent="0.3">
      <c r="A7" s="4">
        <v>6</v>
      </c>
      <c r="B7" s="5" t="s">
        <v>25</v>
      </c>
      <c r="C7" s="5" t="s">
        <v>26</v>
      </c>
      <c r="D7" s="5" t="s">
        <v>27</v>
      </c>
      <c r="E7" s="5" t="s">
        <v>18</v>
      </c>
      <c r="F7" s="5" t="s">
        <v>19</v>
      </c>
      <c r="G7" s="5" t="s">
        <v>19</v>
      </c>
      <c r="H7" s="5"/>
      <c r="I7" s="5" t="s">
        <v>20</v>
      </c>
      <c r="J7" s="5">
        <v>3.12</v>
      </c>
      <c r="K7" s="5" t="s">
        <v>21</v>
      </c>
      <c r="L7" s="5" t="s">
        <v>42</v>
      </c>
      <c r="M7" s="5" t="s">
        <v>23</v>
      </c>
      <c r="N7" s="7" t="str">
        <f>HYPERLINK("C:\Users\alexa\YandexDisk\Книги\Computer Science\CS для программиста-самоучки.pdf","CS для программиста-самоучки.pdf")</f>
        <v>CS для программиста-самоучки.pdf</v>
      </c>
      <c r="O7" s="5" t="s">
        <v>43</v>
      </c>
    </row>
    <row r="8" spans="1:15" ht="193.2" x14ac:dyDescent="0.3">
      <c r="A8" s="2">
        <v>7</v>
      </c>
      <c r="B8" s="3" t="s">
        <v>44</v>
      </c>
      <c r="C8" s="3" t="s">
        <v>45</v>
      </c>
      <c r="D8" s="3"/>
      <c r="E8" s="3"/>
      <c r="F8" s="3" t="s">
        <v>19</v>
      </c>
      <c r="G8" s="3" t="s">
        <v>19</v>
      </c>
      <c r="H8" s="3"/>
      <c r="I8" s="3" t="s">
        <v>20</v>
      </c>
      <c r="J8" s="3">
        <v>9.35</v>
      </c>
      <c r="K8" s="3" t="s">
        <v>21</v>
      </c>
      <c r="L8" s="3" t="s">
        <v>46</v>
      </c>
      <c r="M8" s="3" t="s">
        <v>23</v>
      </c>
      <c r="N8" s="6" t="str">
        <f>HYPERLINK("C:\Users\alexa\YandexDisk\Книги\Computer Science\Digital.Audio.Theory.A.Practical.Guide.pdf","Digital.Audio.Theory.A.Practical.Guide.pdf")</f>
        <v>Digital.Audio.Theory.A.Practical.Guide.pdf</v>
      </c>
      <c r="O8" s="3" t="s">
        <v>47</v>
      </c>
    </row>
    <row r="9" spans="1:15" ht="207" x14ac:dyDescent="0.3">
      <c r="A9" s="4">
        <v>8</v>
      </c>
      <c r="B9" s="5" t="s">
        <v>48</v>
      </c>
      <c r="C9" s="5" t="s">
        <v>49</v>
      </c>
      <c r="D9" s="5" t="s">
        <v>50</v>
      </c>
      <c r="E9" s="5" t="s">
        <v>51</v>
      </c>
      <c r="F9" s="5" t="s">
        <v>52</v>
      </c>
      <c r="G9" s="5" t="s">
        <v>53</v>
      </c>
      <c r="H9" s="5" t="s">
        <v>54</v>
      </c>
      <c r="I9" s="5" t="s">
        <v>20</v>
      </c>
      <c r="J9" s="5">
        <v>37.43</v>
      </c>
      <c r="K9" s="5" t="s">
        <v>21</v>
      </c>
      <c r="L9" s="5" t="s">
        <v>55</v>
      </c>
      <c r="M9" s="5" t="s">
        <v>23</v>
      </c>
      <c r="N9" s="7" t="str">
        <f>HYPERLINK("C:\Users\alexa\YandexDisk\Книги\Computer Science\Distributed Systems 3rd Maarten van Steen, Andrew S. Tanenbaum.pdf","Distributed Systems 3rd Maarten van Steen, Andrew S. Tanenbaum.pdf")</f>
        <v>Distributed Systems 3rd Maarten van Steen, Andrew S. Tanenbaum.pdf</v>
      </c>
      <c r="O9" s="5" t="s">
        <v>56</v>
      </c>
    </row>
    <row r="10" spans="1:15" ht="165.6" x14ac:dyDescent="0.3">
      <c r="A10" s="2">
        <v>9</v>
      </c>
      <c r="B10" s="3" t="s">
        <v>57</v>
      </c>
      <c r="C10" s="3" t="s">
        <v>58</v>
      </c>
      <c r="D10" s="3" t="s">
        <v>59</v>
      </c>
      <c r="E10" s="3" t="s">
        <v>60</v>
      </c>
      <c r="F10" s="3" t="s">
        <v>19</v>
      </c>
      <c r="G10" s="3" t="s">
        <v>19</v>
      </c>
      <c r="H10" s="3"/>
      <c r="I10" s="3" t="s">
        <v>20</v>
      </c>
      <c r="J10" s="3">
        <v>38.56</v>
      </c>
      <c r="K10" s="3" t="s">
        <v>21</v>
      </c>
      <c r="L10" s="3" t="s">
        <v>61</v>
      </c>
      <c r="M10" s="3" t="s">
        <v>23</v>
      </c>
      <c r="N10" s="6" t="str">
        <f>HYPERLINK("C:\Users\alexa\YandexDisk\Книги\Computer Science\Everything_You_Need_to_Ace_Computer_Science_and_Coding_in_One_Big.pdf","Everything_You_Need_to_Ace_Computer_Science_and_Coding_in_One_Big.pdf")</f>
        <v>Everything_You_Need_to_Ace_Computer_Science_and_Coding_in_One_Big.pdf</v>
      </c>
      <c r="O10" s="3" t="s">
        <v>62</v>
      </c>
    </row>
    <row r="11" spans="1:15" ht="138" x14ac:dyDescent="0.3">
      <c r="A11" s="4">
        <v>10</v>
      </c>
      <c r="B11" s="5" t="s">
        <v>63</v>
      </c>
      <c r="C11" s="5" t="s">
        <v>64</v>
      </c>
      <c r="D11" s="5" t="s">
        <v>65</v>
      </c>
      <c r="E11" s="5" t="s">
        <v>66</v>
      </c>
      <c r="F11" s="5" t="s">
        <v>19</v>
      </c>
      <c r="G11" s="5" t="s">
        <v>19</v>
      </c>
      <c r="H11" s="5"/>
      <c r="I11" s="5" t="s">
        <v>20</v>
      </c>
      <c r="J11" s="5">
        <v>23.89</v>
      </c>
      <c r="K11" s="5" t="s">
        <v>21</v>
      </c>
      <c r="L11" s="5" t="s">
        <v>67</v>
      </c>
      <c r="M11" s="5" t="s">
        <v>23</v>
      </c>
      <c r="N11" s="7" t="str">
        <f>HYPERLINK("C:\Users\alexa\YandexDisk\Книги\Computer Science\Introduction to the theory of computation 2012.pdf","Introduction to the theory of computation 2012.pdf")</f>
        <v>Introduction to the theory of computation 2012.pdf</v>
      </c>
      <c r="O11" s="5" t="s">
        <v>68</v>
      </c>
    </row>
    <row r="12" spans="1:15" ht="179.4" x14ac:dyDescent="0.3">
      <c r="A12" s="2">
        <v>11</v>
      </c>
      <c r="B12" s="3" t="s">
        <v>69</v>
      </c>
      <c r="C12" s="3" t="s">
        <v>70</v>
      </c>
      <c r="D12" s="3" t="s">
        <v>71</v>
      </c>
      <c r="E12" s="3" t="s">
        <v>72</v>
      </c>
      <c r="F12" s="3" t="s">
        <v>19</v>
      </c>
      <c r="G12" s="3" t="s">
        <v>19</v>
      </c>
      <c r="H12" s="3"/>
      <c r="I12" s="3" t="s">
        <v>20</v>
      </c>
      <c r="J12" s="3">
        <v>9.89</v>
      </c>
      <c r="K12" s="3" t="s">
        <v>21</v>
      </c>
      <c r="L12" s="3" t="s">
        <v>73</v>
      </c>
      <c r="M12" s="3" t="s">
        <v>23</v>
      </c>
      <c r="N12" s="6" t="str">
        <f>HYPERLINK("C:\Users\alexa\YandexDisk\Книги\Computer Science\Introduction_to_Computer_Organization.pdf","Introduction_to_Computer_Organization.pdf")</f>
        <v>Introduction_to_Computer_Organization.pdf</v>
      </c>
      <c r="O12" s="3" t="s">
        <v>74</v>
      </c>
    </row>
    <row r="13" spans="1:15" ht="179.4" x14ac:dyDescent="0.3">
      <c r="A13" s="4">
        <v>12</v>
      </c>
      <c r="B13" s="5" t="s">
        <v>75</v>
      </c>
      <c r="C13" s="5" t="s">
        <v>76</v>
      </c>
      <c r="D13" s="5" t="s">
        <v>77</v>
      </c>
      <c r="E13" s="5" t="s">
        <v>37</v>
      </c>
      <c r="F13" s="5" t="s">
        <v>19</v>
      </c>
      <c r="G13" s="5" t="s">
        <v>19</v>
      </c>
      <c r="H13" s="5"/>
      <c r="I13" s="5" t="s">
        <v>20</v>
      </c>
      <c r="J13" s="5">
        <v>115.35</v>
      </c>
      <c r="K13" s="5" t="s">
        <v>21</v>
      </c>
      <c r="L13" s="5" t="s">
        <v>78</v>
      </c>
      <c r="M13" s="5" t="s">
        <v>23</v>
      </c>
      <c r="N13" s="7" t="str">
        <f>HYPERLINK("C:\Users\alexa\YandexDisk\Книги\Computer Science\Kompyuternye_nauki_Bazovy_kurs_2019_Brukshir_Dzh_Glenn_Brilov_Dennis.pdf","Kompyuternye_nauki_Bazovy_kurs_2019_Brukshir_Dzh_Glenn_Brilov_Dennis.pdf")</f>
        <v>Kompyuternye_nauki_Bazovy_kurs_2019_Brukshir_Dzh_Glenn_Brilov_Dennis.pdf</v>
      </c>
      <c r="O13" s="5" t="s">
        <v>79</v>
      </c>
    </row>
    <row r="14" spans="1:15" ht="138" x14ac:dyDescent="0.3">
      <c r="A14" s="2">
        <v>13</v>
      </c>
      <c r="B14" s="3" t="s">
        <v>80</v>
      </c>
      <c r="C14" s="3" t="s">
        <v>81</v>
      </c>
      <c r="D14" s="3" t="s">
        <v>50</v>
      </c>
      <c r="E14" s="3"/>
      <c r="F14" s="3" t="s">
        <v>19</v>
      </c>
      <c r="G14" s="3" t="s">
        <v>19</v>
      </c>
      <c r="H14" s="3"/>
      <c r="I14" s="3" t="s">
        <v>20</v>
      </c>
      <c r="J14" s="3">
        <v>6.48</v>
      </c>
      <c r="K14" s="3" t="s">
        <v>21</v>
      </c>
      <c r="L14" s="3" t="s">
        <v>82</v>
      </c>
      <c r="M14" s="3" t="s">
        <v>23</v>
      </c>
      <c r="N14" s="6" t="str">
        <f>HYPERLINK("C:\Users\alexa\YandexDisk\Книги\Computer Science\Mathematics for Computer Science Eric Lehman.pdf","Mathematics for Computer Science Eric Lehman.pdf")</f>
        <v>Mathematics for Computer Science Eric Lehman.pdf</v>
      </c>
      <c r="O14" s="3" t="s">
        <v>83</v>
      </c>
    </row>
    <row r="15" spans="1:15" ht="193.2" x14ac:dyDescent="0.3">
      <c r="A15" s="4">
        <v>14</v>
      </c>
      <c r="B15" s="5" t="s">
        <v>84</v>
      </c>
      <c r="C15" s="5" t="s">
        <v>85</v>
      </c>
      <c r="D15" s="5" t="s">
        <v>27</v>
      </c>
      <c r="E15" s="5" t="s">
        <v>86</v>
      </c>
      <c r="F15" s="5" t="s">
        <v>19</v>
      </c>
      <c r="G15" s="5" t="s">
        <v>19</v>
      </c>
      <c r="H15" s="5"/>
      <c r="I15" s="5" t="s">
        <v>20</v>
      </c>
      <c r="J15" s="5">
        <v>2.4900000000000002</v>
      </c>
      <c r="K15" s="5" t="s">
        <v>21</v>
      </c>
      <c r="L15" s="5" t="s">
        <v>87</v>
      </c>
      <c r="M15" s="5" t="s">
        <v>23</v>
      </c>
      <c r="N15" s="7" t="str">
        <f>HYPERLINK("C:\Users\alexa\YandexDisk\Книги\Computer Science\Playing Software - Sicart, Miguel_.pdf","Playing Software - Sicart, Miguel_.pdf")</f>
        <v>Playing Software - Sicart, Miguel_.pdf</v>
      </c>
      <c r="O15" s="5" t="s">
        <v>88</v>
      </c>
    </row>
    <row r="16" spans="1:15" ht="207" x14ac:dyDescent="0.3">
      <c r="A16" s="2">
        <v>15</v>
      </c>
      <c r="B16" s="3" t="s">
        <v>89</v>
      </c>
      <c r="C16" s="3" t="s">
        <v>90</v>
      </c>
      <c r="D16" s="3" t="s">
        <v>91</v>
      </c>
      <c r="E16" s="3" t="s">
        <v>92</v>
      </c>
      <c r="F16" s="3" t="s">
        <v>19</v>
      </c>
      <c r="G16" s="3" t="s">
        <v>19</v>
      </c>
      <c r="H16" s="3"/>
      <c r="I16" s="3" t="s">
        <v>20</v>
      </c>
      <c r="J16" s="3">
        <v>6.68</v>
      </c>
      <c r="K16" s="3" t="s">
        <v>21</v>
      </c>
      <c r="L16" s="3" t="s">
        <v>93</v>
      </c>
      <c r="M16" s="3" t="s">
        <v>23</v>
      </c>
      <c r="N16" s="6" t="str">
        <f>HYPERLINK("C:\Users\alexa\YandexDisk\Книги\Computer Science\The_Art_of_Computer_Programming,_Vol_1_Fundamental_Algorithms,_3rd.pdf","The_Art_of_Computer_Programming,_Vol_1_Fundamental_Algorithms,_3rd.pdf")</f>
        <v>The_Art_of_Computer_Programming,_Vol_1_Fundamental_Algorithms,_3rd.pdf</v>
      </c>
      <c r="O16" s="3" t="s">
        <v>94</v>
      </c>
    </row>
    <row r="17" spans="1:15" ht="207" x14ac:dyDescent="0.3">
      <c r="A17" s="4">
        <v>16</v>
      </c>
      <c r="B17" s="5" t="s">
        <v>95</v>
      </c>
      <c r="C17" s="5" t="s">
        <v>96</v>
      </c>
      <c r="D17" s="5" t="s">
        <v>59</v>
      </c>
      <c r="E17" s="5" t="s">
        <v>97</v>
      </c>
      <c r="F17" s="5" t="s">
        <v>19</v>
      </c>
      <c r="G17" s="5" t="s">
        <v>19</v>
      </c>
      <c r="H17" s="5"/>
      <c r="I17" s="5" t="s">
        <v>20</v>
      </c>
      <c r="J17" s="5">
        <v>65.12</v>
      </c>
      <c r="K17" s="5" t="s">
        <v>21</v>
      </c>
      <c r="L17" s="5" t="s">
        <v>98</v>
      </c>
      <c r="M17" s="5" t="s">
        <v>23</v>
      </c>
      <c r="N17" s="7" t="str">
        <f>HYPERLINK("C:\Users\alexa\YandexDisk\Книги\Computer Science\Введение в информационный поиск.pdf","Введение в информационный поиск.pdf")</f>
        <v>Введение в информационный поиск.pdf</v>
      </c>
      <c r="O17" s="5" t="s">
        <v>99</v>
      </c>
    </row>
    <row r="18" spans="1:15" ht="193.2" x14ac:dyDescent="0.3">
      <c r="A18" s="2">
        <v>17</v>
      </c>
      <c r="B18" s="3" t="s">
        <v>100</v>
      </c>
      <c r="C18" s="3" t="s">
        <v>101</v>
      </c>
      <c r="D18" s="3"/>
      <c r="E18" s="3" t="s">
        <v>102</v>
      </c>
      <c r="F18" s="3" t="s">
        <v>19</v>
      </c>
      <c r="G18" s="3" t="s">
        <v>19</v>
      </c>
      <c r="H18" s="3"/>
      <c r="I18" s="3" t="s">
        <v>20</v>
      </c>
      <c r="J18" s="3">
        <v>16.25</v>
      </c>
      <c r="K18" s="3" t="s">
        <v>21</v>
      </c>
      <c r="L18" s="3" t="s">
        <v>103</v>
      </c>
      <c r="M18" s="3" t="s">
        <v>23</v>
      </c>
      <c r="N18" s="6" t="str">
        <f>HYPERLINK("C:\Users\alexa\YandexDisk\Книги\Computer Science\Введение_в_эволюционную_информатику.pdf","Введение_в_эволюционную_информатику.pdf")</f>
        <v>Введение_в_эволюционную_информатику.pdf</v>
      </c>
      <c r="O18" s="3" t="s">
        <v>104</v>
      </c>
    </row>
    <row r="19" spans="1:15" ht="165.6" x14ac:dyDescent="0.3">
      <c r="A19" s="4">
        <v>18</v>
      </c>
      <c r="B19" s="5" t="s">
        <v>15</v>
      </c>
      <c r="C19" s="5" t="s">
        <v>16</v>
      </c>
      <c r="D19" s="5" t="s">
        <v>17</v>
      </c>
      <c r="E19" s="5" t="s">
        <v>18</v>
      </c>
      <c r="F19" s="5" t="s">
        <v>19</v>
      </c>
      <c r="G19" s="5" t="s">
        <v>19</v>
      </c>
      <c r="H19" s="5"/>
      <c r="I19" s="5" t="s">
        <v>20</v>
      </c>
      <c r="J19" s="5">
        <v>7.12</v>
      </c>
      <c r="K19" s="5" t="s">
        <v>21</v>
      </c>
      <c r="L19" s="5" t="s">
        <v>105</v>
      </c>
      <c r="M19" s="5" t="s">
        <v>23</v>
      </c>
      <c r="N19" s="7" t="str">
        <f>HYPERLINK("C:\Users\alexa\YandexDisk\Книги\Computer Science\Гид_по_Computer_Science,_расширенное_издание 2021.pdf","Гид_по_Computer_Science,_расширенное_издание 2021.pdf")</f>
        <v>Гид_по_Computer_Science,_расширенное_издание 2021.pdf</v>
      </c>
      <c r="O19" s="5" t="s">
        <v>106</v>
      </c>
    </row>
    <row r="20" spans="1:15" ht="179.4" x14ac:dyDescent="0.3">
      <c r="A20" s="2">
        <v>19</v>
      </c>
      <c r="B20" s="3" t="s">
        <v>107</v>
      </c>
      <c r="C20" s="3" t="s">
        <v>108</v>
      </c>
      <c r="D20" s="3" t="s">
        <v>109</v>
      </c>
      <c r="E20" s="3" t="s">
        <v>86</v>
      </c>
      <c r="F20" s="3" t="s">
        <v>19</v>
      </c>
      <c r="G20" s="3" t="s">
        <v>19</v>
      </c>
      <c r="H20" s="3"/>
      <c r="I20" s="3" t="s">
        <v>20</v>
      </c>
      <c r="J20" s="3">
        <v>13.19</v>
      </c>
      <c r="K20" s="3" t="s">
        <v>21</v>
      </c>
      <c r="L20" s="3" t="s">
        <v>110</v>
      </c>
      <c r="M20" s="3" t="s">
        <v>23</v>
      </c>
      <c r="N20" s="6" t="str">
        <f>HYPERLINK("C:\Users\alexa\YandexDisk\Книги\Computer Science\Доказательство корректности программ.pdf","Доказательство корректности программ.pdf")</f>
        <v>Доказательство корректности программ.pdf</v>
      </c>
      <c r="O20" s="3" t="s">
        <v>111</v>
      </c>
    </row>
    <row r="21" spans="1:15" ht="234.6" x14ac:dyDescent="0.3">
      <c r="A21" s="4">
        <v>20</v>
      </c>
      <c r="B21" s="5" t="s">
        <v>112</v>
      </c>
      <c r="C21" s="5" t="s">
        <v>113</v>
      </c>
      <c r="D21" s="5" t="s">
        <v>114</v>
      </c>
      <c r="E21" s="5" t="s">
        <v>115</v>
      </c>
      <c r="F21" s="5" t="s">
        <v>19</v>
      </c>
      <c r="G21" s="5" t="s">
        <v>19</v>
      </c>
      <c r="H21" s="5"/>
      <c r="I21" s="5" t="s">
        <v>20</v>
      </c>
      <c r="J21" s="5">
        <v>11.49</v>
      </c>
      <c r="K21" s="5" t="s">
        <v>21</v>
      </c>
      <c r="L21" s="5" t="s">
        <v>116</v>
      </c>
      <c r="M21" s="5" t="s">
        <v>23</v>
      </c>
      <c r="N21" s="7" t="str">
        <f>HYPERLINK("C:\Users\alexa\YandexDisk\Книги\Computer Science\Игошин В.И. Теория алгоритмов [2016].pdf","Игошин В.И. Теория алгоритмов [2016].pdf")</f>
        <v>Игошин В.И. Теория алгоритмов [2016].pdf</v>
      </c>
      <c r="O21" s="5" t="s">
        <v>117</v>
      </c>
    </row>
    <row r="22" spans="1:15" ht="165.6" x14ac:dyDescent="0.3">
      <c r="A22" s="2">
        <v>21</v>
      </c>
      <c r="B22" s="3" t="s">
        <v>118</v>
      </c>
      <c r="C22" s="3" t="s">
        <v>119</v>
      </c>
      <c r="D22" s="3" t="s">
        <v>27</v>
      </c>
      <c r="E22" s="3" t="s">
        <v>86</v>
      </c>
      <c r="F22" s="3" t="s">
        <v>19</v>
      </c>
      <c r="G22" s="3" t="s">
        <v>19</v>
      </c>
      <c r="H22" s="3"/>
      <c r="I22" s="3" t="s">
        <v>20</v>
      </c>
      <c r="J22" s="3">
        <v>17.27</v>
      </c>
      <c r="K22" s="3" t="s">
        <v>21</v>
      </c>
      <c r="L22" s="3" t="s">
        <v>120</v>
      </c>
      <c r="M22" s="3" t="s">
        <v>23</v>
      </c>
      <c r="N22" s="6" t="str">
        <f>HYPERLINK("C:\Users\alexa\YandexDisk\Книги\Computer Science\Идеи,_определившие_облик_информатики_2023_Гарри_Рой_Льюис.pdf","Идеи,_определившие_облик_информатики_2023_Гарри_Рой_Льюис.pdf")</f>
        <v>Идеи,_определившие_облик_информатики_2023_Гарри_Рой_Льюис.pdf</v>
      </c>
      <c r="O22" s="3" t="s">
        <v>121</v>
      </c>
    </row>
    <row r="23" spans="1:15" ht="179.4" x14ac:dyDescent="0.3">
      <c r="A23" s="4">
        <v>22</v>
      </c>
      <c r="B23" s="5" t="s">
        <v>122</v>
      </c>
      <c r="C23" s="5" t="s">
        <v>123</v>
      </c>
      <c r="D23" s="5" t="s">
        <v>71</v>
      </c>
      <c r="E23" s="5" t="s">
        <v>72</v>
      </c>
      <c r="F23" s="5" t="s">
        <v>19</v>
      </c>
      <c r="G23" s="5" t="s">
        <v>19</v>
      </c>
      <c r="H23" s="5"/>
      <c r="I23" s="5" t="s">
        <v>20</v>
      </c>
      <c r="J23" s="5">
        <v>40.200000000000003</v>
      </c>
      <c r="K23" s="5" t="s">
        <v>21</v>
      </c>
      <c r="L23" s="5" t="s">
        <v>124</v>
      </c>
      <c r="M23" s="5" t="s">
        <v>23</v>
      </c>
      <c r="N23" s="7" t="str">
        <f>HYPERLINK("C:\Users\alexa\YandexDisk\Книги\Computer Science\Как_на_самом_деле_работают_компьютеры.pdf","Как_на_самом_деле_работают_компьютеры.pdf")</f>
        <v>Как_на_самом_деле_работают_компьютеры.pdf</v>
      </c>
      <c r="O23" s="5" t="s">
        <v>125</v>
      </c>
    </row>
    <row r="24" spans="1:15" ht="193.2" x14ac:dyDescent="0.3">
      <c r="A24" s="2">
        <v>23</v>
      </c>
      <c r="B24" s="3" t="s">
        <v>126</v>
      </c>
      <c r="C24" s="3" t="s">
        <v>127</v>
      </c>
      <c r="D24" s="3" t="s">
        <v>59</v>
      </c>
      <c r="E24" s="3" t="s">
        <v>18</v>
      </c>
      <c r="F24" s="3" t="s">
        <v>19</v>
      </c>
      <c r="G24" s="3" t="s">
        <v>19</v>
      </c>
      <c r="H24" s="3"/>
      <c r="I24" s="3" t="s">
        <v>20</v>
      </c>
      <c r="J24" s="3">
        <v>24.04</v>
      </c>
      <c r="K24" s="3" t="s">
        <v>21</v>
      </c>
      <c r="L24" s="3" t="s">
        <v>128</v>
      </c>
      <c r="M24" s="3" t="s">
        <v>23</v>
      </c>
      <c r="N24" s="6" t="str">
        <f>HYPERLINK("C:\Users\alexa\YandexDisk\Книги\Computer Science\Классические задачи - Computer_Science на языке Python_202.pdf","Классические задачи - Computer_Science на языке Python_202.pdf")</f>
        <v>Классические задачи - Computer_Science на языке Python_202.pdf</v>
      </c>
      <c r="O24" s="3" t="s">
        <v>129</v>
      </c>
    </row>
    <row r="25" spans="1:15" ht="151.80000000000001" x14ac:dyDescent="0.3">
      <c r="A25" s="4">
        <v>24</v>
      </c>
      <c r="B25" s="5" t="s">
        <v>75</v>
      </c>
      <c r="C25" s="5" t="s">
        <v>76</v>
      </c>
      <c r="D25" s="5" t="s">
        <v>77</v>
      </c>
      <c r="E25" s="5" t="s">
        <v>37</v>
      </c>
      <c r="F25" s="5" t="s">
        <v>19</v>
      </c>
      <c r="G25" s="5" t="s">
        <v>19</v>
      </c>
      <c r="H25" s="5"/>
      <c r="I25" s="5" t="s">
        <v>20</v>
      </c>
      <c r="J25" s="5">
        <v>104.52</v>
      </c>
      <c r="K25" s="5" t="s">
        <v>21</v>
      </c>
      <c r="L25" s="5" t="s">
        <v>130</v>
      </c>
      <c r="M25" s="5" t="s">
        <v>23</v>
      </c>
      <c r="N25" s="7" t="str">
        <f>HYPERLINK("C:\Users\alexa\YandexDisk\Книги\Computer Science\Компьютерные_науки_Базовый_курс_13_е_издание 2019.pdf","Компьютерные_науки_Базовый_курс_13_е_издание 2019.pdf")</f>
        <v>Компьютерные_науки_Базовый_курс_13_е_издание 2019.pdf</v>
      </c>
      <c r="O25" s="5" t="s">
        <v>131</v>
      </c>
    </row>
    <row r="26" spans="1:15" ht="207" x14ac:dyDescent="0.3">
      <c r="A26" s="2">
        <v>25</v>
      </c>
      <c r="B26" s="3" t="s">
        <v>132</v>
      </c>
      <c r="C26" s="3" t="s">
        <v>133</v>
      </c>
      <c r="D26" s="3" t="s">
        <v>71</v>
      </c>
      <c r="E26" s="3" t="s">
        <v>102</v>
      </c>
      <c r="F26" s="3" t="s">
        <v>19</v>
      </c>
      <c r="G26" s="3" t="s">
        <v>19</v>
      </c>
      <c r="H26" s="3"/>
      <c r="I26" s="3" t="s">
        <v>20</v>
      </c>
      <c r="J26" s="3">
        <v>17.13</v>
      </c>
      <c r="K26" s="3" t="s">
        <v>21</v>
      </c>
      <c r="L26" s="3" t="s">
        <v>134</v>
      </c>
      <c r="M26" s="3" t="s">
        <v>23</v>
      </c>
      <c r="N26" s="6" t="str">
        <f>HYPERLINK("C:\Users\alexa\YandexDisk\Книги\Computer Science\Компьютерные_системы_Архитектура_и_программирование.pdf","Компьютерные_системы_Архитектура_и_программирование.pdf")</f>
        <v>Компьютерные_системы_Архитектура_и_программирование.pdf</v>
      </c>
      <c r="O26" s="3" t="s">
        <v>135</v>
      </c>
    </row>
    <row r="27" spans="1:15" ht="179.4" x14ac:dyDescent="0.3">
      <c r="A27" s="4">
        <v>26</v>
      </c>
      <c r="B27" s="5" t="s">
        <v>136</v>
      </c>
      <c r="C27" s="5" t="s">
        <v>137</v>
      </c>
      <c r="D27" s="5" t="s">
        <v>59</v>
      </c>
      <c r="E27" s="5" t="s">
        <v>138</v>
      </c>
      <c r="F27" s="5" t="s">
        <v>19</v>
      </c>
      <c r="G27" s="5" t="s">
        <v>19</v>
      </c>
      <c r="H27" s="5"/>
      <c r="I27" s="5" t="s">
        <v>20</v>
      </c>
      <c r="J27" s="5">
        <v>11.91</v>
      </c>
      <c r="K27" s="5" t="s">
        <v>21</v>
      </c>
      <c r="L27" s="5" t="s">
        <v>139</v>
      </c>
      <c r="M27" s="5" t="s">
        <v>23</v>
      </c>
      <c r="N27" s="7" t="str">
        <f>HYPERLINK("C:\Users\alexa\YandexDisk\Книги\Computer Science\Масштабируемые_вычисления_для_гетерогенных_платформ.pdf","Масштабируемые_вычисления_для_гетерогенных_платформ.pdf")</f>
        <v>Масштабируемые_вычисления_для_гетерогенных_платформ.pdf</v>
      </c>
      <c r="O27" s="5" t="s">
        <v>140</v>
      </c>
    </row>
    <row r="28" spans="1:15" ht="179.4" x14ac:dyDescent="0.3">
      <c r="A28" s="2">
        <v>27</v>
      </c>
      <c r="B28" s="3" t="s">
        <v>141</v>
      </c>
      <c r="C28" s="3" t="s">
        <v>142</v>
      </c>
      <c r="D28" s="3" t="s">
        <v>17</v>
      </c>
      <c r="E28" s="3" t="s">
        <v>143</v>
      </c>
      <c r="F28" s="3" t="s">
        <v>19</v>
      </c>
      <c r="G28" s="3" t="s">
        <v>19</v>
      </c>
      <c r="H28" s="3"/>
      <c r="I28" s="3" t="s">
        <v>20</v>
      </c>
      <c r="J28" s="3">
        <v>0.99</v>
      </c>
      <c r="K28" s="3" t="s">
        <v>21</v>
      </c>
      <c r="L28" s="3" t="s">
        <v>144</v>
      </c>
      <c r="M28" s="3" t="s">
        <v>23</v>
      </c>
      <c r="N28" s="6" t="str">
        <f>HYPERLINK("C:\Users\alexa\YandexDisk\Книги\Computer Science\Метавычисления.pdf","Метавычисления.pdf")</f>
        <v>Метавычисления.pdf</v>
      </c>
      <c r="O28" s="3" t="s">
        <v>145</v>
      </c>
    </row>
    <row r="29" spans="1:15" ht="179.4" x14ac:dyDescent="0.3">
      <c r="A29" s="4">
        <v>28</v>
      </c>
      <c r="B29" s="5" t="s">
        <v>146</v>
      </c>
      <c r="C29" s="5" t="s">
        <v>147</v>
      </c>
      <c r="D29" s="5" t="s">
        <v>17</v>
      </c>
      <c r="E29" s="5" t="s">
        <v>148</v>
      </c>
      <c r="F29" s="5" t="s">
        <v>19</v>
      </c>
      <c r="G29" s="5" t="s">
        <v>19</v>
      </c>
      <c r="H29" s="5"/>
      <c r="I29" s="5" t="s">
        <v>20</v>
      </c>
      <c r="J29" s="5">
        <v>1.79</v>
      </c>
      <c r="K29" s="5" t="s">
        <v>21</v>
      </c>
      <c r="L29" s="5" t="s">
        <v>149</v>
      </c>
      <c r="M29" s="5" t="s">
        <v>23</v>
      </c>
      <c r="N29" s="7" t="str">
        <f>HYPERLINK("C:\Users\alexa\YandexDisk\Книги\Computer Science\Методы_научных_исследований в программной инженерии 2021.pdf","Методы_научных_исследований в программной инженерии 2021.pdf")</f>
        <v>Методы_научных_исследований в программной инженерии 2021.pdf</v>
      </c>
      <c r="O29" s="5" t="s">
        <v>150</v>
      </c>
    </row>
    <row r="30" spans="1:15" ht="179.4" x14ac:dyDescent="0.3">
      <c r="A30" s="2">
        <v>29</v>
      </c>
      <c r="B30" s="3" t="s">
        <v>151</v>
      </c>
      <c r="C30" s="3" t="s">
        <v>152</v>
      </c>
      <c r="D30" s="3" t="s">
        <v>59</v>
      </c>
      <c r="E30" s="3" t="s">
        <v>102</v>
      </c>
      <c r="F30" s="3" t="s">
        <v>19</v>
      </c>
      <c r="G30" s="3" t="s">
        <v>19</v>
      </c>
      <c r="H30" s="3"/>
      <c r="I30" s="3" t="s">
        <v>20</v>
      </c>
      <c r="J30" s="3">
        <v>2.23</v>
      </c>
      <c r="K30" s="3" t="s">
        <v>21</v>
      </c>
      <c r="L30" s="3" t="s">
        <v>153</v>
      </c>
      <c r="M30" s="3" t="s">
        <v>23</v>
      </c>
      <c r="N30" s="6" t="str">
        <f>HYPERLINK("C:\Users\alexa\YandexDisk\Книги\Computer Science\Распределенные системы реального времени.pdf","Распределенные системы реального времени.pdf")</f>
        <v>Распределенные системы реального времени.pdf</v>
      </c>
      <c r="O30" s="3" t="s">
        <v>154</v>
      </c>
    </row>
    <row r="31" spans="1:15" ht="179.4" x14ac:dyDescent="0.3">
      <c r="A31" s="4">
        <v>30</v>
      </c>
      <c r="B31" s="5" t="s">
        <v>155</v>
      </c>
      <c r="C31" s="5" t="s">
        <v>156</v>
      </c>
      <c r="D31" s="5" t="s">
        <v>17</v>
      </c>
      <c r="E31" s="5" t="s">
        <v>102</v>
      </c>
      <c r="F31" s="5" t="s">
        <v>52</v>
      </c>
      <c r="G31" s="5" t="s">
        <v>53</v>
      </c>
      <c r="H31" s="5" t="s">
        <v>54</v>
      </c>
      <c r="I31" s="5" t="s">
        <v>20</v>
      </c>
      <c r="J31" s="5">
        <v>12.58</v>
      </c>
      <c r="K31" s="5" t="s">
        <v>21</v>
      </c>
      <c r="L31" s="5" t="s">
        <v>157</v>
      </c>
      <c r="M31" s="5" t="s">
        <v>23</v>
      </c>
      <c r="N31" s="7" t="str">
        <f>HYPERLINK("C:\Users\alexa\YandexDisk\Книги\Computer Science\Распределенные_системы_2021_Эндрю_С_Таненбаум,_Мартен_ван_Стин.pdf","Распределенные_системы_2021_Эндрю_С_Таненбаум,_Мартен_ван_Стин.pdf")</f>
        <v>Распределенные_системы_2021_Эндрю_С_Таненбаум,_Мартен_ван_Стин.pdf</v>
      </c>
      <c r="O31" s="5" t="s">
        <v>158</v>
      </c>
    </row>
    <row r="32" spans="1:15" ht="207" x14ac:dyDescent="0.3">
      <c r="A32" s="2">
        <v>31</v>
      </c>
      <c r="B32" s="3" t="s">
        <v>159</v>
      </c>
      <c r="C32" s="3" t="s">
        <v>160</v>
      </c>
      <c r="D32" s="3" t="s">
        <v>161</v>
      </c>
      <c r="E32" s="3" t="s">
        <v>162</v>
      </c>
      <c r="F32" s="3" t="s">
        <v>19</v>
      </c>
      <c r="G32" s="3" t="s">
        <v>19</v>
      </c>
      <c r="H32" s="3"/>
      <c r="I32" s="3" t="s">
        <v>20</v>
      </c>
      <c r="J32" s="3">
        <v>7.56</v>
      </c>
      <c r="K32" s="3" t="s">
        <v>21</v>
      </c>
      <c r="L32" s="3" t="s">
        <v>163</v>
      </c>
      <c r="M32" s="3" t="s">
        <v>23</v>
      </c>
      <c r="N32" s="6" t="str">
        <f>HYPERLINK("C:\Users\alexa\YandexDisk\Книги\Computer Science\Сжатие_данных,_изображений_и_звука_.pdf","Сжатие_данных,_изображений_и_звука_.pdf")</f>
        <v>Сжатие_данных,_изображений_и_звука_.pdf</v>
      </c>
      <c r="O32" s="3" t="s">
        <v>164</v>
      </c>
    </row>
    <row r="33" spans="1:15" ht="193.2" x14ac:dyDescent="0.3">
      <c r="A33" s="4">
        <v>32</v>
      </c>
      <c r="B33" s="5" t="s">
        <v>165</v>
      </c>
      <c r="C33" s="5" t="s">
        <v>166</v>
      </c>
      <c r="D33" s="5" t="s">
        <v>114</v>
      </c>
      <c r="E33" s="5" t="s">
        <v>167</v>
      </c>
      <c r="F33" s="5" t="s">
        <v>19</v>
      </c>
      <c r="G33" s="5" t="s">
        <v>19</v>
      </c>
      <c r="H33" s="5"/>
      <c r="I33" s="5" t="s">
        <v>20</v>
      </c>
      <c r="J33" s="5">
        <v>3.58</v>
      </c>
      <c r="K33" s="5" t="s">
        <v>21</v>
      </c>
      <c r="L33" s="5" t="s">
        <v>168</v>
      </c>
      <c r="M33" s="5" t="s">
        <v>23</v>
      </c>
      <c r="N33" s="7" t="str">
        <f>HYPERLINK("C:\Users\alexa\YandexDisk\Книги\Computer Science\Стариченко_Б_Е_Теоретические_основы_информатики.pdf","Стариченко_Б_Е_Теоретические_основы_информатики.pdf")</f>
        <v>Стариченко_Б_Е_Теоретические_основы_информатики.pdf</v>
      </c>
      <c r="O33" s="5" t="s">
        <v>169</v>
      </c>
    </row>
    <row r="34" spans="1:15" ht="207" x14ac:dyDescent="0.3">
      <c r="A34" s="2">
        <v>33</v>
      </c>
      <c r="B34" s="3" t="s">
        <v>170</v>
      </c>
      <c r="C34" s="3" t="s">
        <v>171</v>
      </c>
      <c r="D34" s="3" t="s">
        <v>172</v>
      </c>
      <c r="E34" s="3" t="s">
        <v>173</v>
      </c>
      <c r="F34" s="3" t="s">
        <v>19</v>
      </c>
      <c r="G34" s="3" t="s">
        <v>19</v>
      </c>
      <c r="H34" s="3"/>
      <c r="I34" s="3" t="s">
        <v>20</v>
      </c>
      <c r="J34" s="3">
        <v>4.01</v>
      </c>
      <c r="K34" s="3" t="s">
        <v>21</v>
      </c>
      <c r="L34" s="3" t="s">
        <v>174</v>
      </c>
      <c r="M34" s="3" t="s">
        <v>23</v>
      </c>
      <c r="N34" s="6" t="str">
        <f>HYPERLINK("C:\Users\alexa\YandexDisk\Книги\Computer Science\Структура и иттерпритация компьютерных программ.pdf","Структура и иттерпритация компьютерных программ.pdf")</f>
        <v>Структура и иттерпритация компьютерных программ.pdf</v>
      </c>
      <c r="O34" s="3" t="s">
        <v>175</v>
      </c>
    </row>
    <row r="35" spans="1:15" ht="193.2" x14ac:dyDescent="0.3">
      <c r="A35" s="4">
        <v>34</v>
      </c>
      <c r="B35" s="5" t="s">
        <v>176</v>
      </c>
      <c r="C35" s="5" t="s">
        <v>177</v>
      </c>
      <c r="D35" s="5" t="s">
        <v>32</v>
      </c>
      <c r="E35" s="5" t="s">
        <v>18</v>
      </c>
      <c r="F35" s="5" t="s">
        <v>19</v>
      </c>
      <c r="G35" s="5" t="s">
        <v>19</v>
      </c>
      <c r="H35" s="5"/>
      <c r="I35" s="5" t="s">
        <v>20</v>
      </c>
      <c r="J35" s="5">
        <v>10.33</v>
      </c>
      <c r="K35" s="5" t="s">
        <v>21</v>
      </c>
      <c r="L35" s="5" t="s">
        <v>178</v>
      </c>
      <c r="M35" s="5" t="s">
        <v>23</v>
      </c>
      <c r="N35" s="7" t="str">
        <f>HYPERLINK("C:\Users\alexa\YandexDisk\Книги\Computer Science\Теоретический_минимум_по_CS-разработчику - 2018.pdf","Теоретический_минимум_по_CS-разработчику - 2018.pdf")</f>
        <v>Теоретический_минимум_по_CS-разработчику - 2018.pdf</v>
      </c>
      <c r="O35" s="5" t="s">
        <v>179</v>
      </c>
    </row>
    <row r="36" spans="1:15" ht="151.80000000000001" x14ac:dyDescent="0.3">
      <c r="A36" s="2">
        <v>35</v>
      </c>
      <c r="B36" s="3" t="s">
        <v>180</v>
      </c>
      <c r="C36" s="3" t="s">
        <v>181</v>
      </c>
      <c r="D36" s="3" t="s">
        <v>71</v>
      </c>
      <c r="E36" s="3" t="s">
        <v>18</v>
      </c>
      <c r="F36" s="3" t="s">
        <v>19</v>
      </c>
      <c r="G36" s="3" t="s">
        <v>19</v>
      </c>
      <c r="H36" s="3"/>
      <c r="I36" s="3" t="s">
        <v>20</v>
      </c>
      <c r="J36" s="3">
        <v>12.36</v>
      </c>
      <c r="K36" s="3" t="s">
        <v>21</v>
      </c>
      <c r="L36" s="3" t="s">
        <v>182</v>
      </c>
      <c r="M36" s="3" t="s">
        <v>23</v>
      </c>
      <c r="N36" s="6" t="str">
        <f>HYPERLINK("C:\Users\alexa\YandexDisk\Книги\Computer Science\Теоретический_минимум_по_CS-сети-криптография - 2022.pdf","Теоретический_минимум_по_CS-сети-криптография - 2022.pdf")</f>
        <v>Теоретический_минимум_по_CS-сети-криптография - 2022.pdf</v>
      </c>
      <c r="O36" s="3" t="s">
        <v>183</v>
      </c>
    </row>
    <row r="37" spans="1:15" ht="179.4" x14ac:dyDescent="0.3">
      <c r="A37" s="4">
        <v>36</v>
      </c>
      <c r="B37" s="5" t="s">
        <v>184</v>
      </c>
      <c r="C37" s="5" t="s">
        <v>185</v>
      </c>
      <c r="D37" s="5" t="s">
        <v>186</v>
      </c>
      <c r="E37" s="5" t="s">
        <v>187</v>
      </c>
      <c r="F37" s="5" t="s">
        <v>19</v>
      </c>
      <c r="G37" s="5" t="s">
        <v>19</v>
      </c>
      <c r="H37" s="5"/>
      <c r="I37" s="5" t="s">
        <v>20</v>
      </c>
      <c r="J37" s="5">
        <v>15.56</v>
      </c>
      <c r="K37" s="5" t="s">
        <v>21</v>
      </c>
      <c r="L37" s="5" t="s">
        <v>188</v>
      </c>
      <c r="M37" s="5" t="s">
        <v>23</v>
      </c>
      <c r="N37" s="7" t="str">
        <f>HYPERLINK("C:\Users\alexa\YandexDisk\Книги\Computer Science\Теория_вычислений_для_программистов.pdf","Теория_вычислений_для_программистов.pdf")</f>
        <v>Теория_вычислений_для_программистов.pdf</v>
      </c>
      <c r="O37" s="5" t="s">
        <v>189</v>
      </c>
    </row>
    <row r="38" spans="1:15" ht="234.6" x14ac:dyDescent="0.3">
      <c r="A38" s="2">
        <v>37</v>
      </c>
      <c r="B38" s="3" t="s">
        <v>190</v>
      </c>
      <c r="C38" s="3" t="s">
        <v>191</v>
      </c>
      <c r="D38" s="3" t="s">
        <v>17</v>
      </c>
      <c r="E38" s="3" t="s">
        <v>192</v>
      </c>
      <c r="F38" s="3" t="s">
        <v>19</v>
      </c>
      <c r="G38" s="3" t="s">
        <v>19</v>
      </c>
      <c r="H38" s="3"/>
      <c r="I38" s="3" t="s">
        <v>20</v>
      </c>
      <c r="J38" s="3">
        <v>30.27</v>
      </c>
      <c r="K38" s="3" t="s">
        <v>21</v>
      </c>
      <c r="L38" s="3" t="s">
        <v>193</v>
      </c>
      <c r="M38" s="3" t="s">
        <v>23</v>
      </c>
      <c r="N38" s="6" t="str">
        <f>HYPERLINK("C:\Users\alexa\YandexDisk\Книги\Computer Science\Цифровая_схемотехника_и_архитектура.pdf","Цифровая_схемотехника_и_архитектура.pdf")</f>
        <v>Цифровая_схемотехника_и_архитектура.pdf</v>
      </c>
      <c r="O38" s="3" t="s">
        <v>194</v>
      </c>
    </row>
    <row r="39" spans="1:15" ht="151.80000000000001" x14ac:dyDescent="0.3">
      <c r="A39" s="4">
        <v>38</v>
      </c>
      <c r="B39" s="5" t="s">
        <v>195</v>
      </c>
      <c r="C39" s="5" t="s">
        <v>196</v>
      </c>
      <c r="D39" s="5" t="s">
        <v>59</v>
      </c>
      <c r="E39" s="5" t="s">
        <v>102</v>
      </c>
      <c r="F39" s="5" t="s">
        <v>197</v>
      </c>
      <c r="G39" s="5" t="s">
        <v>198</v>
      </c>
      <c r="H39" s="5" t="s">
        <v>199</v>
      </c>
      <c r="I39" s="5" t="s">
        <v>20</v>
      </c>
      <c r="J39" s="5">
        <v>3.16</v>
      </c>
      <c r="K39" s="5" t="s">
        <v>21</v>
      </c>
      <c r="L39" s="5" t="s">
        <v>200</v>
      </c>
      <c r="M39" s="5" t="s">
        <v>201</v>
      </c>
      <c r="N39" s="7" t="str">
        <f>HYPERLINK("C:\Users\alexa\YandexDisk\Книги\DevOps\CI-CD\!  Мирко_Херинг_DevOps_для_современного_предприятия_ДМК_Пресс_2020.pdf","!  Мирко_Херинг_DevOps_для_современного_предприятия_ДМК_Пресс_2020.pdf")</f>
        <v>!  Мирко_Херинг_DevOps_для_современного_предприятия_ДМК_Пресс_2020.pdf</v>
      </c>
      <c r="O39" s="5" t="s">
        <v>202</v>
      </c>
    </row>
    <row r="40" spans="1:15" ht="151.80000000000001" x14ac:dyDescent="0.3">
      <c r="A40" s="2">
        <v>39</v>
      </c>
      <c r="B40" s="3" t="s">
        <v>203</v>
      </c>
      <c r="C40" s="3" t="s">
        <v>204</v>
      </c>
      <c r="D40" s="3" t="s">
        <v>71</v>
      </c>
      <c r="E40" s="3" t="s">
        <v>205</v>
      </c>
      <c r="F40" s="3" t="s">
        <v>197</v>
      </c>
      <c r="G40" s="3" t="s">
        <v>198</v>
      </c>
      <c r="H40" s="3" t="s">
        <v>199</v>
      </c>
      <c r="I40" s="3" t="s">
        <v>20</v>
      </c>
      <c r="J40" s="3">
        <v>18.7</v>
      </c>
      <c r="K40" s="3" t="s">
        <v>21</v>
      </c>
      <c r="L40" s="3" t="s">
        <v>206</v>
      </c>
      <c r="M40" s="3" t="s">
        <v>201</v>
      </c>
      <c r="N40" s="6" t="str">
        <f>HYPERLINK("C:\Users\alexa\YandexDisk\Книги\DevOps\CI-CD\!!! Learning DevOps 2022.pdf","!!! Learning DevOps 2022.pdf")</f>
        <v>!!! Learning DevOps 2022.pdf</v>
      </c>
      <c r="O40" s="3" t="s">
        <v>207</v>
      </c>
    </row>
    <row r="41" spans="1:15" ht="179.4" x14ac:dyDescent="0.3">
      <c r="A41" s="4">
        <v>40</v>
      </c>
      <c r="B41" s="5" t="s">
        <v>208</v>
      </c>
      <c r="C41" s="5" t="s">
        <v>209</v>
      </c>
      <c r="D41" s="5" t="s">
        <v>59</v>
      </c>
      <c r="E41" s="5" t="s">
        <v>102</v>
      </c>
      <c r="F41" s="5" t="s">
        <v>210</v>
      </c>
      <c r="G41" s="5" t="s">
        <v>198</v>
      </c>
      <c r="H41" s="5" t="s">
        <v>211</v>
      </c>
      <c r="I41" s="5" t="s">
        <v>20</v>
      </c>
      <c r="J41" s="5">
        <v>1.47</v>
      </c>
      <c r="K41" s="5" t="s">
        <v>21</v>
      </c>
      <c r="L41" s="5" t="s">
        <v>212</v>
      </c>
      <c r="M41" s="5" t="s">
        <v>201</v>
      </c>
      <c r="N41" s="7" t="str">
        <f>HYPERLINK("C:\Users\alexa\YandexDisk\Книги\DevOps\CI-CD\!!!Python_Непрерывная_интеграция_и_доставка_2020.pdf","!!!Python_Непрерывная_интеграция_и_доставка_2020.pdf")</f>
        <v>!!!Python_Непрерывная_интеграция_и_доставка_2020.pdf</v>
      </c>
      <c r="O41" s="5" t="s">
        <v>213</v>
      </c>
    </row>
    <row r="42" spans="1:15" ht="138" x14ac:dyDescent="0.3">
      <c r="A42" s="2">
        <v>41</v>
      </c>
      <c r="B42" s="3" t="s">
        <v>214</v>
      </c>
      <c r="C42" s="3" t="s">
        <v>209</v>
      </c>
      <c r="D42" s="3" t="s">
        <v>59</v>
      </c>
      <c r="E42" s="3" t="s">
        <v>102</v>
      </c>
      <c r="F42" s="3" t="s">
        <v>210</v>
      </c>
      <c r="G42" s="3" t="s">
        <v>198</v>
      </c>
      <c r="H42" s="3" t="s">
        <v>211</v>
      </c>
      <c r="I42" s="3" t="s">
        <v>20</v>
      </c>
      <c r="J42" s="3">
        <v>1.46</v>
      </c>
      <c r="K42" s="3" t="s">
        <v>21</v>
      </c>
      <c r="L42" s="3" t="s">
        <v>215</v>
      </c>
      <c r="M42" s="3" t="s">
        <v>201</v>
      </c>
      <c r="N42" s="6" t="str">
        <f>HYPERLINK("C:\Users\alexa\YandexDisk\Книги\DevOps\CI-CD\!Ленц_М_Python_Непрерывная_интеграция_и_доставка_2020.pdf","!Ленц_М_Python_Непрерывная_интеграция_и_доставка_2020.pdf")</f>
        <v>!Ленц_М_Python_Непрерывная_интеграция_и_доставка_2020.pdf</v>
      </c>
      <c r="O42" s="3" t="s">
        <v>216</v>
      </c>
    </row>
    <row r="43" spans="1:15" ht="138" x14ac:dyDescent="0.3">
      <c r="A43" s="4">
        <v>42</v>
      </c>
      <c r="B43" s="5" t="s">
        <v>217</v>
      </c>
      <c r="C43" s="5" t="s">
        <v>218</v>
      </c>
      <c r="D43" s="5" t="s">
        <v>17</v>
      </c>
      <c r="E43" s="5" t="s">
        <v>205</v>
      </c>
      <c r="F43" s="5" t="s">
        <v>210</v>
      </c>
      <c r="G43" s="5" t="s">
        <v>198</v>
      </c>
      <c r="H43" s="5" t="s">
        <v>211</v>
      </c>
      <c r="I43" s="5" t="s">
        <v>20</v>
      </c>
      <c r="J43" s="5">
        <v>26.28</v>
      </c>
      <c r="K43" s="5" t="s">
        <v>21</v>
      </c>
      <c r="L43" s="5" t="s">
        <v>219</v>
      </c>
      <c r="M43" s="5" t="s">
        <v>201</v>
      </c>
      <c r="N43" s="7" t="str">
        <f>HYPERLINK("C:\Users\alexa\YandexDisk\Книги\DevOps\CI-CD\Automating Workflows with GitHub.pdf","Automating Workflows with GitHub.pdf")</f>
        <v>Automating Workflows with GitHub.pdf</v>
      </c>
      <c r="O43" s="5" t="s">
        <v>220</v>
      </c>
    </row>
    <row r="44" spans="1:15" ht="151.80000000000001" x14ac:dyDescent="0.3">
      <c r="A44" s="2">
        <v>43</v>
      </c>
      <c r="B44" s="3" t="s">
        <v>221</v>
      </c>
      <c r="C44" s="3" t="s">
        <v>222</v>
      </c>
      <c r="D44" s="3" t="s">
        <v>77</v>
      </c>
      <c r="E44" s="3"/>
      <c r="F44" s="3" t="s">
        <v>210</v>
      </c>
      <c r="G44" s="3" t="s">
        <v>198</v>
      </c>
      <c r="H44" s="3" t="s">
        <v>211</v>
      </c>
      <c r="I44" s="3" t="s">
        <v>20</v>
      </c>
      <c r="J44" s="3">
        <v>12.01</v>
      </c>
      <c r="K44" s="3" t="s">
        <v>21</v>
      </c>
      <c r="L44" s="3" t="s">
        <v>223</v>
      </c>
      <c r="M44" s="3" t="s">
        <v>201</v>
      </c>
      <c r="N44" s="6" t="str">
        <f>HYPERLINK("C:\Users\alexa\YandexDisk\Книги\DevOps\CI-CD\A_Practical_Guide_to_Azure_DevOps_Learn_by_doing_Hewage,_Milindanath.pdf","A_Practical_Guide_to_Azure_DevOps_Learn_by_doing_Hewage,_Milindanath.pdf")</f>
        <v>A_Practical_Guide_to_Azure_DevOps_Learn_by_doing_Hewage,_Milindanath.pdf</v>
      </c>
      <c r="O44" s="3" t="s">
        <v>224</v>
      </c>
    </row>
    <row r="45" spans="1:15" ht="151.80000000000001" x14ac:dyDescent="0.3">
      <c r="A45" s="4">
        <v>44</v>
      </c>
      <c r="B45" s="5" t="s">
        <v>225</v>
      </c>
      <c r="C45" s="5" t="s">
        <v>226</v>
      </c>
      <c r="D45" s="5" t="s">
        <v>71</v>
      </c>
      <c r="E45" s="5" t="s">
        <v>227</v>
      </c>
      <c r="F45" s="5" t="s">
        <v>210</v>
      </c>
      <c r="G45" s="5" t="s">
        <v>198</v>
      </c>
      <c r="H45" s="5" t="s">
        <v>211</v>
      </c>
      <c r="I45" s="5" t="s">
        <v>20</v>
      </c>
      <c r="J45" s="5">
        <v>13.76</v>
      </c>
      <c r="K45" s="5" t="s">
        <v>21</v>
      </c>
      <c r="L45" s="5" t="s">
        <v>228</v>
      </c>
      <c r="M45" s="5" t="s">
        <v>201</v>
      </c>
      <c r="N45" s="7" t="str">
        <f>HYPERLINK("C:\Users\alexa\YandexDisk\Книги\DevOps\CI-CD\CICD_Pipeline_Using_Jenkins_Unleashed_Solutions_While_Setting_Up.pdf","CICD_Pipeline_Using_Jenkins_Unleashed_Solutions_While_Setting_Up.pdf")</f>
        <v>CICD_Pipeline_Using_Jenkins_Unleashed_Solutions_While_Setting_Up.pdf</v>
      </c>
      <c r="O45" s="5" t="s">
        <v>229</v>
      </c>
    </row>
    <row r="46" spans="1:15" ht="276" x14ac:dyDescent="0.3">
      <c r="A46" s="2">
        <v>45</v>
      </c>
      <c r="B46" s="3" t="s">
        <v>230</v>
      </c>
      <c r="C46" s="3" t="s">
        <v>231</v>
      </c>
      <c r="D46" s="3" t="s">
        <v>32</v>
      </c>
      <c r="E46" s="3" t="s">
        <v>232</v>
      </c>
      <c r="F46" s="3" t="s">
        <v>197</v>
      </c>
      <c r="G46" s="3" t="s">
        <v>198</v>
      </c>
      <c r="H46" s="3" t="s">
        <v>199</v>
      </c>
      <c r="I46" s="3" t="s">
        <v>20</v>
      </c>
      <c r="J46" s="3">
        <v>2.29</v>
      </c>
      <c r="K46" s="3" t="s">
        <v>21</v>
      </c>
      <c r="L46" s="3" t="s">
        <v>233</v>
      </c>
      <c r="M46" s="3" t="s">
        <v>201</v>
      </c>
      <c r="N46" s="6" t="str">
        <f>HYPERLINK("C:\Users\alexa\YandexDisk\Книги\DevOps\CI-CD\cleverics_devops_for_it_managers.pdf","cleverics_devops_for_it_managers.pdf")</f>
        <v>cleverics_devops_for_it_managers.pdf</v>
      </c>
      <c r="O46" s="3" t="s">
        <v>234</v>
      </c>
    </row>
    <row r="47" spans="1:15" ht="179.4" x14ac:dyDescent="0.3">
      <c r="A47" s="4">
        <v>46</v>
      </c>
      <c r="B47" s="5" t="s">
        <v>235</v>
      </c>
      <c r="C47" s="5" t="s">
        <v>236</v>
      </c>
      <c r="D47" s="5" t="s">
        <v>32</v>
      </c>
      <c r="E47" s="5" t="s">
        <v>18</v>
      </c>
      <c r="F47" s="5" t="s">
        <v>210</v>
      </c>
      <c r="G47" s="5" t="s">
        <v>198</v>
      </c>
      <c r="H47" s="5" t="s">
        <v>211</v>
      </c>
      <c r="I47" s="5" t="s">
        <v>20</v>
      </c>
      <c r="J47" s="5">
        <v>7.54</v>
      </c>
      <c r="K47" s="5" t="s">
        <v>21</v>
      </c>
      <c r="L47" s="5" t="s">
        <v>237</v>
      </c>
      <c r="M47" s="5" t="s">
        <v>201</v>
      </c>
      <c r="N47" s="7" t="str">
        <f>HYPERLINK("C:\Users\alexa\YandexDisk\Книги\DevOps\CI-CD\Continuous delivery.pdf","Continuous delivery.pdf")</f>
        <v>Continuous delivery.pdf</v>
      </c>
      <c r="O47" s="5" t="s">
        <v>238</v>
      </c>
    </row>
    <row r="48" spans="1:15" ht="165.6" x14ac:dyDescent="0.3">
      <c r="A48" s="2">
        <v>47</v>
      </c>
      <c r="B48" s="3" t="s">
        <v>239</v>
      </c>
      <c r="C48" s="3"/>
      <c r="D48" s="3"/>
      <c r="E48" s="3"/>
      <c r="F48" s="3" t="s">
        <v>197</v>
      </c>
      <c r="G48" s="3" t="s">
        <v>198</v>
      </c>
      <c r="H48" s="3" t="s">
        <v>199</v>
      </c>
      <c r="I48" s="3" t="s">
        <v>20</v>
      </c>
      <c r="J48" s="3">
        <v>16.190000000000001</v>
      </c>
      <c r="K48" s="3" t="s">
        <v>21</v>
      </c>
      <c r="L48" s="3" t="s">
        <v>240</v>
      </c>
      <c r="M48" s="3" t="s">
        <v>201</v>
      </c>
      <c r="N48" s="6" t="str">
        <f>HYPERLINK("C:\Users\alexa\YandexDisk\Книги\DevOps\CI-CD\DevOps for Data Science.pdf","DevOps for Data Science.pdf")</f>
        <v>DevOps for Data Science.pdf</v>
      </c>
      <c r="O48" s="3" t="s">
        <v>241</v>
      </c>
    </row>
    <row r="49" spans="1:15" ht="207" x14ac:dyDescent="0.3">
      <c r="A49" s="4">
        <v>48</v>
      </c>
      <c r="B49" s="5" t="s">
        <v>242</v>
      </c>
      <c r="C49" s="5" t="s">
        <v>231</v>
      </c>
      <c r="D49" s="5" t="s">
        <v>77</v>
      </c>
      <c r="E49" s="5" t="s">
        <v>102</v>
      </c>
      <c r="F49" s="5" t="s">
        <v>197</v>
      </c>
      <c r="G49" s="5" t="s">
        <v>198</v>
      </c>
      <c r="H49" s="5" t="s">
        <v>199</v>
      </c>
      <c r="I49" s="5" t="s">
        <v>20</v>
      </c>
      <c r="J49" s="5">
        <v>2.5099999999999998</v>
      </c>
      <c r="K49" s="5" t="s">
        <v>21</v>
      </c>
      <c r="L49" s="5" t="s">
        <v>243</v>
      </c>
      <c r="M49" s="5" t="s">
        <v>201</v>
      </c>
      <c r="N49" s="7" t="str">
        <f>HYPERLINK("C:\Users\alexa\YandexDisk\Книги\DevOps\CI-CD\DevOps для ИТ 2019.pdf","DevOps для ИТ 2019.pdf")</f>
        <v>DevOps для ИТ 2019.pdf</v>
      </c>
      <c r="O49" s="5" t="s">
        <v>244</v>
      </c>
    </row>
    <row r="50" spans="1:15" ht="179.4" x14ac:dyDescent="0.3">
      <c r="A50" s="2">
        <v>49</v>
      </c>
      <c r="B50" s="3" t="s">
        <v>245</v>
      </c>
      <c r="C50" s="3" t="s">
        <v>246</v>
      </c>
      <c r="D50" s="3" t="s">
        <v>109</v>
      </c>
      <c r="E50" s="3" t="s">
        <v>148</v>
      </c>
      <c r="F50" s="3" t="s">
        <v>197</v>
      </c>
      <c r="G50" s="3" t="s">
        <v>198</v>
      </c>
      <c r="H50" s="3" t="s">
        <v>199</v>
      </c>
      <c r="I50" s="3" t="s">
        <v>20</v>
      </c>
      <c r="J50" s="3">
        <v>5.16</v>
      </c>
      <c r="K50" s="3" t="s">
        <v>21</v>
      </c>
      <c r="L50" s="3" t="s">
        <v>247</v>
      </c>
      <c r="M50" s="3" t="s">
        <v>201</v>
      </c>
      <c r="N50" s="6" t="str">
        <f>HYPERLINK("C:\Users\alexa\YandexDisk\Книги\DevOps\CI-CD\DevOps интеграция и автоматизация.pdf","DevOps интеграция и автоматизация.pdf")</f>
        <v>DevOps интеграция и автоматизация.pdf</v>
      </c>
      <c r="O50" s="3" t="s">
        <v>248</v>
      </c>
    </row>
    <row r="51" spans="1:15" ht="179.4" x14ac:dyDescent="0.3">
      <c r="A51" s="4">
        <v>50</v>
      </c>
      <c r="B51" s="5" t="s">
        <v>249</v>
      </c>
      <c r="C51" s="5" t="s">
        <v>250</v>
      </c>
      <c r="D51" s="5" t="s">
        <v>71</v>
      </c>
      <c r="E51" s="5" t="s">
        <v>227</v>
      </c>
      <c r="F51" s="5" t="s">
        <v>210</v>
      </c>
      <c r="G51" s="5" t="s">
        <v>198</v>
      </c>
      <c r="H51" s="5" t="s">
        <v>211</v>
      </c>
      <c r="I51" s="5" t="s">
        <v>20</v>
      </c>
      <c r="J51" s="5">
        <v>3.65</v>
      </c>
      <c r="K51" s="5" t="s">
        <v>21</v>
      </c>
      <c r="L51" s="5" t="s">
        <v>251</v>
      </c>
      <c r="M51" s="5" t="s">
        <v>201</v>
      </c>
      <c r="N51" s="7" t="str">
        <f>HYPERLINK("C:\Users\alexa\YandexDisk\Книги\DevOps\CI-CD\DevOps.in.Python.Infrastructure.as.Python.pdf","DevOps.in.Python.Infrastructure.as.Python.pdf")</f>
        <v>DevOps.in.Python.Infrastructure.as.Python.pdf</v>
      </c>
      <c r="O51" s="5" t="s">
        <v>252</v>
      </c>
    </row>
    <row r="52" spans="1:15" ht="207" x14ac:dyDescent="0.3">
      <c r="A52" s="2">
        <v>51</v>
      </c>
      <c r="B52" s="3" t="s">
        <v>195</v>
      </c>
      <c r="C52" s="3" t="s">
        <v>196</v>
      </c>
      <c r="D52" s="3"/>
      <c r="E52" s="3" t="s">
        <v>102</v>
      </c>
      <c r="F52" s="3" t="s">
        <v>197</v>
      </c>
      <c r="G52" s="3" t="s">
        <v>198</v>
      </c>
      <c r="H52" s="3" t="s">
        <v>199</v>
      </c>
      <c r="I52" s="3" t="s">
        <v>20</v>
      </c>
      <c r="J52" s="3">
        <v>3.46</v>
      </c>
      <c r="K52" s="3" t="s">
        <v>21</v>
      </c>
      <c r="L52" s="3" t="s">
        <v>253</v>
      </c>
      <c r="M52" s="3" t="s">
        <v>201</v>
      </c>
      <c r="N52" s="6" t="str">
        <f>HYPERLINK("C:\Users\alexa\YandexDisk\Книги\DevOps\CI-CD\DevOps_для_современного_предприятия.pdf","DevOps_для_современного_предприятия.pdf")</f>
        <v>DevOps_для_современного_предприятия.pdf</v>
      </c>
      <c r="O52" s="3" t="s">
        <v>254</v>
      </c>
    </row>
    <row r="53" spans="1:15" ht="124.2" x14ac:dyDescent="0.3">
      <c r="A53" s="4">
        <v>52</v>
      </c>
      <c r="B53" s="5" t="s">
        <v>255</v>
      </c>
      <c r="C53" s="5"/>
      <c r="D53" s="5"/>
      <c r="E53" s="5"/>
      <c r="F53" s="5" t="s">
        <v>210</v>
      </c>
      <c r="G53" s="5" t="s">
        <v>198</v>
      </c>
      <c r="H53" s="5" t="s">
        <v>211</v>
      </c>
      <c r="I53" s="5" t="s">
        <v>20</v>
      </c>
      <c r="J53" s="5">
        <v>1.99</v>
      </c>
      <c r="K53" s="5" t="s">
        <v>21</v>
      </c>
      <c r="L53" s="5" t="s">
        <v>256</v>
      </c>
      <c r="M53" s="5" t="s">
        <v>201</v>
      </c>
      <c r="N53" s="7" t="str">
        <f>HYPERLINK("C:\Users\alexa\YandexDisk\Книги\DevOps\CI-CD\DevOps_программа обучения.pdf","DevOps_программа обучения.pdf")</f>
        <v>DevOps_программа обучения.pdf</v>
      </c>
      <c r="O53" s="5" t="s">
        <v>257</v>
      </c>
    </row>
    <row r="54" spans="1:15" ht="179.4" x14ac:dyDescent="0.3">
      <c r="A54" s="2">
        <v>53</v>
      </c>
      <c r="B54" s="3" t="s">
        <v>258</v>
      </c>
      <c r="C54" s="3" t="s">
        <v>259</v>
      </c>
      <c r="D54" s="3" t="s">
        <v>114</v>
      </c>
      <c r="E54" s="3" t="s">
        <v>260</v>
      </c>
      <c r="F54" s="3" t="s">
        <v>197</v>
      </c>
      <c r="G54" s="3" t="s">
        <v>198</v>
      </c>
      <c r="H54" s="3" t="s">
        <v>199</v>
      </c>
      <c r="I54" s="3" t="s">
        <v>20</v>
      </c>
      <c r="J54" s="3">
        <v>6.08</v>
      </c>
      <c r="K54" s="3" t="s">
        <v>21</v>
      </c>
      <c r="L54" s="3" t="s">
        <v>261</v>
      </c>
      <c r="M54" s="3" t="s">
        <v>201</v>
      </c>
      <c r="N54" s="6" t="str">
        <f>HYPERLINK("C:\Users\alexa\YandexDisk\Книги\DevOps\CI-CD\Effective_DevOps_Building_a_Culture_of_Collaboration 2016.pdf","Effective_DevOps_Building_a_Culture_of_Collaboration 2016.pdf")</f>
        <v>Effective_DevOps_Building_a_Culture_of_Collaboration 2016.pdf</v>
      </c>
      <c r="O54" s="3" t="s">
        <v>262</v>
      </c>
    </row>
    <row r="55" spans="1:15" ht="138" x14ac:dyDescent="0.3">
      <c r="A55" s="4">
        <v>54</v>
      </c>
      <c r="B55" s="5" t="s">
        <v>263</v>
      </c>
      <c r="C55" s="5" t="s">
        <v>264</v>
      </c>
      <c r="D55" s="5" t="s">
        <v>71</v>
      </c>
      <c r="E55" s="5" t="s">
        <v>205</v>
      </c>
      <c r="F55" s="5" t="s">
        <v>210</v>
      </c>
      <c r="G55" s="5" t="s">
        <v>198</v>
      </c>
      <c r="H55" s="5" t="s">
        <v>211</v>
      </c>
      <c r="I55" s="5" t="s">
        <v>20</v>
      </c>
      <c r="J55" s="5">
        <v>9.7200000000000006</v>
      </c>
      <c r="K55" s="5" t="s">
        <v>21</v>
      </c>
      <c r="L55" s="5" t="s">
        <v>265</v>
      </c>
      <c r="M55" s="5" t="s">
        <v>201</v>
      </c>
      <c r="N55" s="7" t="str">
        <f>HYPERLINK("C:\Users\alexa\YandexDisk\Книги\DevOps\CI-CD\Go_for_DevOps_Learn_how_to_use_the_Go_language_to_automate_serve.pdf","Go_for_DevOps_Learn_how_to_use_the_Go_language_to_automate_serve.pdf")</f>
        <v>Go_for_DevOps_Learn_how_to_use_the_Go_language_to_automate_serve.pdf</v>
      </c>
      <c r="O55" s="5" t="s">
        <v>266</v>
      </c>
    </row>
    <row r="56" spans="1:15" ht="193.2" x14ac:dyDescent="0.3">
      <c r="A56" s="2">
        <v>55</v>
      </c>
      <c r="B56" s="3" t="s">
        <v>267</v>
      </c>
      <c r="C56" s="3" t="s">
        <v>268</v>
      </c>
      <c r="D56" s="3"/>
      <c r="E56" s="3" t="s">
        <v>269</v>
      </c>
      <c r="F56" s="3" t="s">
        <v>210</v>
      </c>
      <c r="G56" s="3" t="s">
        <v>198</v>
      </c>
      <c r="H56" s="3" t="s">
        <v>211</v>
      </c>
      <c r="I56" s="3" t="s">
        <v>20</v>
      </c>
      <c r="J56" s="3">
        <v>28.84</v>
      </c>
      <c r="K56" s="3" t="s">
        <v>21</v>
      </c>
      <c r="L56" s="3" t="s">
        <v>270</v>
      </c>
      <c r="M56" s="3" t="s">
        <v>201</v>
      </c>
      <c r="N56" s="6" t="str">
        <f>HYPERLINK("C:\Users\alexa\YandexDisk\Книги\DevOps\CI-CD\Grokking Continuous Delivery(конвейер непрер разраб).pdf","Grokking Continuous Delivery(конвейер непрер разраб).pdf")</f>
        <v>Grokking Continuous Delivery(конвейер непрер разраб).pdf</v>
      </c>
      <c r="O56" s="3" t="s">
        <v>271</v>
      </c>
    </row>
    <row r="57" spans="1:15" ht="220.8" x14ac:dyDescent="0.3">
      <c r="A57" s="4">
        <v>56</v>
      </c>
      <c r="B57" s="5" t="s">
        <v>272</v>
      </c>
      <c r="C57" s="5" t="s">
        <v>273</v>
      </c>
      <c r="D57" s="5" t="s">
        <v>274</v>
      </c>
      <c r="E57" s="5" t="s">
        <v>275</v>
      </c>
      <c r="F57" s="5" t="s">
        <v>210</v>
      </c>
      <c r="G57" s="5" t="s">
        <v>198</v>
      </c>
      <c r="H57" s="5" t="s">
        <v>211</v>
      </c>
      <c r="I57" s="5" t="s">
        <v>20</v>
      </c>
      <c r="J57" s="5">
        <v>13.78</v>
      </c>
      <c r="K57" s="5" t="s">
        <v>21</v>
      </c>
      <c r="L57" s="5" t="s">
        <v>276</v>
      </c>
      <c r="M57" s="5" t="s">
        <v>201</v>
      </c>
      <c r="N57" s="7" t="str">
        <f>HYPERLINK("C:\Users\alexa\YandexDisk\Книги\DevOps\CI-CD\humble_jez_farley_david_continuous_delivery_reliable_softwar.pdf","humble_jez_farley_david_continuous_delivery_reliable_softwar.pdf")</f>
        <v>humble_jez_farley_david_continuous_delivery_reliable_softwar.pdf</v>
      </c>
      <c r="O57" s="5" t="s">
        <v>277</v>
      </c>
    </row>
    <row r="58" spans="1:15" ht="151.80000000000001" x14ac:dyDescent="0.3">
      <c r="A58" s="2">
        <v>57</v>
      </c>
      <c r="B58" s="3" t="s">
        <v>278</v>
      </c>
      <c r="C58" s="3" t="s">
        <v>279</v>
      </c>
      <c r="D58" s="3"/>
      <c r="E58" s="3"/>
      <c r="F58" s="3" t="s">
        <v>210</v>
      </c>
      <c r="G58" s="3" t="s">
        <v>198</v>
      </c>
      <c r="H58" s="3" t="s">
        <v>211</v>
      </c>
      <c r="I58" s="3" t="s">
        <v>280</v>
      </c>
      <c r="J58" s="3">
        <v>3.62</v>
      </c>
      <c r="K58" s="3" t="s">
        <v>21</v>
      </c>
      <c r="L58" s="3" t="s">
        <v>281</v>
      </c>
      <c r="M58" s="3" t="s">
        <v>201</v>
      </c>
      <c r="N58" s="6" t="str">
        <f>HYPERLINK("C:\Users\alexa\YandexDisk\Книги\DevOps\CI-CD\Learning DevSecOps (Michelle Ribeiro) (z-lib.org).epub","Learning DevSecOps (Michelle Ribeiro) (z-lib.org).epub")</f>
        <v>Learning DevSecOps (Michelle Ribeiro) (z-lib.org).epub</v>
      </c>
      <c r="O58" s="3" t="s">
        <v>282</v>
      </c>
    </row>
    <row r="59" spans="1:15" ht="193.2" x14ac:dyDescent="0.3">
      <c r="A59" s="4">
        <v>58</v>
      </c>
      <c r="B59" s="5" t="s">
        <v>278</v>
      </c>
      <c r="C59" s="5" t="s">
        <v>283</v>
      </c>
      <c r="D59" s="5" t="s">
        <v>109</v>
      </c>
      <c r="E59" s="5" t="s">
        <v>260</v>
      </c>
      <c r="F59" s="5" t="s">
        <v>210</v>
      </c>
      <c r="G59" s="5" t="s">
        <v>198</v>
      </c>
      <c r="H59" s="5" t="s">
        <v>211</v>
      </c>
      <c r="I59" s="5" t="s">
        <v>20</v>
      </c>
      <c r="J59" s="5">
        <v>5.64</v>
      </c>
      <c r="K59" s="5" t="s">
        <v>21</v>
      </c>
      <c r="L59" s="5" t="s">
        <v>284</v>
      </c>
      <c r="M59" s="5" t="s">
        <v>201</v>
      </c>
      <c r="N59" s="7" t="str">
        <f>HYPERLINK("C:\Users\alexa\YandexDisk\Книги\DevOps\CI-CD\Learning Devsecops.pdf","Learning Devsecops.pdf")</f>
        <v>Learning Devsecops.pdf</v>
      </c>
      <c r="O59" s="5" t="s">
        <v>285</v>
      </c>
    </row>
    <row r="60" spans="1:15" ht="193.2" x14ac:dyDescent="0.3">
      <c r="A60" s="2">
        <v>59</v>
      </c>
      <c r="B60" s="3" t="s">
        <v>286</v>
      </c>
      <c r="C60" s="3" t="s">
        <v>287</v>
      </c>
      <c r="D60" s="3" t="s">
        <v>17</v>
      </c>
      <c r="E60" s="3" t="s">
        <v>205</v>
      </c>
      <c r="F60" s="3" t="s">
        <v>197</v>
      </c>
      <c r="G60" s="3" t="s">
        <v>198</v>
      </c>
      <c r="H60" s="3" t="s">
        <v>199</v>
      </c>
      <c r="I60" s="3" t="s">
        <v>20</v>
      </c>
      <c r="J60" s="3">
        <v>6.88</v>
      </c>
      <c r="K60" s="3" t="s">
        <v>21</v>
      </c>
      <c r="L60" s="3" t="s">
        <v>288</v>
      </c>
      <c r="M60" s="3" t="s">
        <v>201</v>
      </c>
      <c r="N60" s="6" t="str">
        <f>HYPERLINK("C:\Users\alexa\YandexDisk\Книги\DevOps\CI-CD\Modern_DevOps_Practices_Implement_and_secure_DevOps_in_the_public.pdf","Modern_DevOps_Practices_Implement_and_secure_DevOps_in_the_public.pdf")</f>
        <v>Modern_DevOps_Practices_Implement_and_secure_DevOps_in_the_public.pdf</v>
      </c>
      <c r="O60" s="3" t="s">
        <v>289</v>
      </c>
    </row>
    <row r="61" spans="1:15" ht="207" x14ac:dyDescent="0.3">
      <c r="A61" s="4">
        <v>60</v>
      </c>
      <c r="B61" s="5" t="s">
        <v>290</v>
      </c>
      <c r="C61" s="5" t="s">
        <v>291</v>
      </c>
      <c r="D61" s="5"/>
      <c r="E61" s="5" t="s">
        <v>269</v>
      </c>
      <c r="F61" s="5" t="s">
        <v>210</v>
      </c>
      <c r="G61" s="5" t="s">
        <v>198</v>
      </c>
      <c r="H61" s="5" t="s">
        <v>211</v>
      </c>
      <c r="I61" s="5" t="s">
        <v>20</v>
      </c>
      <c r="J61" s="5">
        <v>48.68</v>
      </c>
      <c r="K61" s="5" t="s">
        <v>21</v>
      </c>
      <c r="L61" s="5" t="s">
        <v>292</v>
      </c>
      <c r="M61" s="5" t="s">
        <v>201</v>
      </c>
      <c r="N61" s="7" t="str">
        <f>HYPERLINK("C:\Users\alexa\YandexDisk\Книги\DevOps\CI-CD\Pipeline_as_Code_Continuous_Delivery_with_Jenkins,_Kubernetes,_and.pdf","Pipeline_as_Code_Continuous_Delivery_with_Jenkins,_Kubernetes,_and.pdf")</f>
        <v>Pipeline_as_Code_Continuous_Delivery_with_Jenkins,_Kubernetes,_and.pdf</v>
      </c>
      <c r="O61" s="5" t="s">
        <v>293</v>
      </c>
    </row>
    <row r="62" spans="1:15" ht="179.4" x14ac:dyDescent="0.3">
      <c r="A62" s="2">
        <v>61</v>
      </c>
      <c r="B62" s="3" t="s">
        <v>294</v>
      </c>
      <c r="C62" s="3" t="s">
        <v>295</v>
      </c>
      <c r="D62" s="3" t="s">
        <v>71</v>
      </c>
      <c r="E62" s="3" t="s">
        <v>296</v>
      </c>
      <c r="F62" s="3" t="s">
        <v>210</v>
      </c>
      <c r="G62" s="3" t="s">
        <v>198</v>
      </c>
      <c r="H62" s="3" t="s">
        <v>211</v>
      </c>
      <c r="I62" s="3" t="s">
        <v>20</v>
      </c>
      <c r="J62" s="3">
        <v>12.17</v>
      </c>
      <c r="K62" s="3" t="s">
        <v>21</v>
      </c>
      <c r="L62" s="3" t="s">
        <v>297</v>
      </c>
      <c r="M62" s="3" t="s">
        <v>201</v>
      </c>
      <c r="N62" s="6" t="str">
        <f>HYPERLINK("C:\Users\alexa\YandexDisk\Книги\DevOps\CI-CD\PowerShell-modern-automation.pdf","PowerShell-modern-automation.pdf")</f>
        <v>PowerShell-modern-automation.pdf</v>
      </c>
      <c r="O62" s="3" t="s">
        <v>298</v>
      </c>
    </row>
    <row r="63" spans="1:15" ht="151.80000000000001" x14ac:dyDescent="0.3">
      <c r="A63" s="4">
        <v>62</v>
      </c>
      <c r="B63" s="5" t="s">
        <v>208</v>
      </c>
      <c r="C63" s="5" t="s">
        <v>209</v>
      </c>
      <c r="D63" s="5" t="s">
        <v>59</v>
      </c>
      <c r="E63" s="5" t="s">
        <v>102</v>
      </c>
      <c r="F63" s="5" t="s">
        <v>210</v>
      </c>
      <c r="G63" s="5" t="s">
        <v>198</v>
      </c>
      <c r="H63" s="5" t="s">
        <v>211</v>
      </c>
      <c r="I63" s="5" t="s">
        <v>20</v>
      </c>
      <c r="J63" s="5">
        <v>1.47</v>
      </c>
      <c r="K63" s="5" t="s">
        <v>21</v>
      </c>
      <c r="L63" s="5" t="s">
        <v>299</v>
      </c>
      <c r="M63" s="5" t="s">
        <v>201</v>
      </c>
      <c r="N63" s="7" t="str">
        <f>HYPERLINK("C:\Users\alexa\YandexDisk\Книги\DevOps\CI-CD\Python_Непрерывная_интеграция_и_доставка.pdf","Python_Непрерывная_интеграция_и_доставка.pdf")</f>
        <v>Python_Непрерывная_интеграция_и_доставка.pdf</v>
      </c>
      <c r="O63" s="5" t="s">
        <v>300</v>
      </c>
    </row>
    <row r="64" spans="1:15" ht="151.80000000000001" x14ac:dyDescent="0.3">
      <c r="A64" s="2">
        <v>63</v>
      </c>
      <c r="B64" s="3" t="s">
        <v>301</v>
      </c>
      <c r="C64" s="3" t="s">
        <v>302</v>
      </c>
      <c r="D64" s="3" t="s">
        <v>32</v>
      </c>
      <c r="E64" s="3" t="s">
        <v>303</v>
      </c>
      <c r="F64" s="3" t="s">
        <v>197</v>
      </c>
      <c r="G64" s="3" t="s">
        <v>198</v>
      </c>
      <c r="H64" s="3" t="s">
        <v>199</v>
      </c>
      <c r="I64" s="3" t="s">
        <v>20</v>
      </c>
      <c r="J64" s="3">
        <v>8.82</v>
      </c>
      <c r="K64" s="3" t="s">
        <v>21</v>
      </c>
      <c r="L64" s="3" t="s">
        <v>304</v>
      </c>
      <c r="M64" s="3" t="s">
        <v>201</v>
      </c>
      <c r="N64" s="6" t="str">
        <f>HYPERLINK("C:\Users\alexa\YandexDisk\Книги\DevOps\CI-CD\rukovodstvo-po-devops.pdf","rukovodstvo-po-devops.pdf")</f>
        <v>rukovodstvo-po-devops.pdf</v>
      </c>
      <c r="O64" s="3" t="s">
        <v>305</v>
      </c>
    </row>
    <row r="65" spans="1:15" ht="151.80000000000001" x14ac:dyDescent="0.3">
      <c r="A65" s="4">
        <v>64</v>
      </c>
      <c r="B65" s="5" t="s">
        <v>306</v>
      </c>
      <c r="C65" s="5" t="s">
        <v>307</v>
      </c>
      <c r="D65" s="5" t="s">
        <v>50</v>
      </c>
      <c r="E65" s="5" t="s">
        <v>308</v>
      </c>
      <c r="F65" s="5" t="s">
        <v>197</v>
      </c>
      <c r="G65" s="5" t="s">
        <v>198</v>
      </c>
      <c r="H65" s="5" t="s">
        <v>199</v>
      </c>
      <c r="I65" s="5" t="s">
        <v>20</v>
      </c>
      <c r="J65" s="5">
        <v>10.48</v>
      </c>
      <c r="K65" s="5" t="s">
        <v>21</v>
      </c>
      <c r="L65" s="5" t="s">
        <v>309</v>
      </c>
      <c r="M65" s="5" t="s">
        <v>201</v>
      </c>
      <c r="N65" s="7" t="str">
        <f>HYPERLINK("C:\Users\alexa\YandexDisk\Книги\DevOps\CI-CD\sharma_sanjeev_the_devops_adoption_playbook_a_guide_to_adopt.pdf","sharma_sanjeev_the_devops_adoption_playbook_a_guide_to_adopt.pdf")</f>
        <v>sharma_sanjeev_the_devops_adoption_playbook_a_guide_to_adopt.pdf</v>
      </c>
      <c r="O65" s="5" t="s">
        <v>310</v>
      </c>
    </row>
    <row r="66" spans="1:15" ht="179.4" x14ac:dyDescent="0.3">
      <c r="A66" s="2">
        <v>65</v>
      </c>
      <c r="B66" s="3" t="s">
        <v>311</v>
      </c>
      <c r="C66" s="3" t="s">
        <v>312</v>
      </c>
      <c r="D66" s="3" t="s">
        <v>71</v>
      </c>
      <c r="E66" s="3" t="s">
        <v>269</v>
      </c>
      <c r="F66" s="3" t="s">
        <v>313</v>
      </c>
      <c r="G66" s="3" t="s">
        <v>198</v>
      </c>
      <c r="H66" s="3" t="s">
        <v>314</v>
      </c>
      <c r="I66" s="3" t="s">
        <v>20</v>
      </c>
      <c r="J66" s="3">
        <v>21.27</v>
      </c>
      <c r="K66" s="3" t="s">
        <v>21</v>
      </c>
      <c r="L66" s="3" t="s">
        <v>315</v>
      </c>
      <c r="M66" s="3" t="s">
        <v>201</v>
      </c>
      <c r="N66" s="6" t="str">
        <f>HYPERLINK("C:\Users\alexa\YandexDisk\Книги\DevOps\CI-CD\Software Telemetry 2022.pdf","Software Telemetry 2022.pdf")</f>
        <v>Software Telemetry 2022.pdf</v>
      </c>
      <c r="O66" s="3" t="s">
        <v>316</v>
      </c>
    </row>
    <row r="67" spans="1:15" ht="262.2" x14ac:dyDescent="0.3">
      <c r="A67" s="4">
        <v>66</v>
      </c>
      <c r="B67" s="5" t="s">
        <v>317</v>
      </c>
      <c r="C67" s="5" t="s">
        <v>318</v>
      </c>
      <c r="D67" s="5" t="s">
        <v>77</v>
      </c>
      <c r="E67" s="5" t="s">
        <v>102</v>
      </c>
      <c r="F67" s="5" t="s">
        <v>210</v>
      </c>
      <c r="G67" s="5" t="s">
        <v>198</v>
      </c>
      <c r="H67" s="5" t="s">
        <v>211</v>
      </c>
      <c r="I67" s="5" t="s">
        <v>20</v>
      </c>
      <c r="J67" s="5">
        <v>45.32</v>
      </c>
      <c r="K67" s="5" t="s">
        <v>21</v>
      </c>
      <c r="L67" s="5" t="s">
        <v>319</v>
      </c>
      <c r="M67" s="5" t="s">
        <v>201</v>
      </c>
      <c r="N67" s="7" t="str">
        <f>HYPERLINK("C:\Users\alexa\YandexDisk\Книги\DevOps\CI-CD\____Ластер_Б_Jenkins2_Приступаем_к_работе_2019.pdf","____Ластер_Б_Jenkins2_Приступаем_к_работе_2019.pdf")</f>
        <v>____Ластер_Б_Jenkins2_Приступаем_к_работе_2019.pdf</v>
      </c>
      <c r="O67" s="5" t="s">
        <v>320</v>
      </c>
    </row>
    <row r="68" spans="1:15" ht="165.6" x14ac:dyDescent="0.3">
      <c r="A68" s="2">
        <v>67</v>
      </c>
      <c r="B68" s="3" t="s">
        <v>321</v>
      </c>
      <c r="C68" s="3" t="s">
        <v>322</v>
      </c>
      <c r="D68" s="3" t="s">
        <v>59</v>
      </c>
      <c r="E68" s="3" t="s">
        <v>18</v>
      </c>
      <c r="F68" s="3" t="s">
        <v>197</v>
      </c>
      <c r="G68" s="3" t="s">
        <v>198</v>
      </c>
      <c r="H68" s="3" t="s">
        <v>199</v>
      </c>
      <c r="I68" s="3" t="s">
        <v>20</v>
      </c>
      <c r="J68" s="3">
        <v>81.83</v>
      </c>
      <c r="K68" s="3" t="s">
        <v>21</v>
      </c>
      <c r="L68" s="3" t="s">
        <v>323</v>
      </c>
      <c r="M68" s="3" t="s">
        <v>201</v>
      </c>
      <c r="N68" s="6" t="str">
        <f>HYPERLINK("C:\Users\alexa\YandexDisk\Книги\DevOps\CI-CD\Безопасный DevOps..pdf","Безопасный DevOps..pdf")</f>
        <v>Безопасный DevOps..pdf</v>
      </c>
      <c r="O68" s="3" t="s">
        <v>324</v>
      </c>
    </row>
    <row r="69" spans="1:15" ht="179.4" x14ac:dyDescent="0.3">
      <c r="A69" s="4">
        <v>68</v>
      </c>
      <c r="B69" s="5" t="s">
        <v>317</v>
      </c>
      <c r="C69" s="5" t="s">
        <v>318</v>
      </c>
      <c r="D69" s="5" t="s">
        <v>77</v>
      </c>
      <c r="E69" s="5" t="s">
        <v>102</v>
      </c>
      <c r="F69" s="5" t="s">
        <v>325</v>
      </c>
      <c r="G69" s="5" t="s">
        <v>198</v>
      </c>
      <c r="H69" s="5" t="s">
        <v>326</v>
      </c>
      <c r="I69" s="5" t="s">
        <v>20</v>
      </c>
      <c r="J69" s="5">
        <v>44.09</v>
      </c>
      <c r="K69" s="5" t="s">
        <v>21</v>
      </c>
      <c r="L69" s="5" t="s">
        <v>327</v>
      </c>
      <c r="M69" s="5" t="s">
        <v>201</v>
      </c>
      <c r="N69" s="7" t="str">
        <f>HYPERLINK("C:\Users\alexa\YandexDisk\Книги\DevOps\CI-CD\Брент_Ластер_Jenkins_2_Приступаем_к_работе_ДМК_Пресс_2019.pdf","Брент_Ластер_Jenkins_2_Приступаем_к_работе_ДМК_Пресс_2019.pdf")</f>
        <v>Брент_Ластер_Jenkins_2_Приступаем_к_работе_ДМК_Пресс_2019.pdf</v>
      </c>
      <c r="O69" s="5" t="s">
        <v>328</v>
      </c>
    </row>
    <row r="70" spans="1:15" ht="165.6" x14ac:dyDescent="0.3">
      <c r="A70" s="2">
        <v>69</v>
      </c>
      <c r="B70" s="3" t="s">
        <v>321</v>
      </c>
      <c r="C70" s="3" t="s">
        <v>322</v>
      </c>
      <c r="D70" s="3" t="s">
        <v>59</v>
      </c>
      <c r="E70" s="3" t="s">
        <v>18</v>
      </c>
      <c r="F70" s="3" t="s">
        <v>197</v>
      </c>
      <c r="G70" s="3" t="s">
        <v>198</v>
      </c>
      <c r="H70" s="3" t="s">
        <v>199</v>
      </c>
      <c r="I70" s="3" t="s">
        <v>20</v>
      </c>
      <c r="J70" s="3">
        <v>81.400000000000006</v>
      </c>
      <c r="K70" s="3" t="s">
        <v>21</v>
      </c>
      <c r="L70" s="3" t="s">
        <v>329</v>
      </c>
      <c r="M70" s="3" t="s">
        <v>201</v>
      </c>
      <c r="N70" s="6" t="str">
        <f>HYPERLINK("C:\Users\alexa\YandexDisk\Книги\DevOps\CI-CD\Вехен Безопасеый DevOps.pdf","Вехен Безопасеый DevOps.pdf")</f>
        <v>Вехен Безопасеый DevOps.pdf</v>
      </c>
      <c r="O70" s="3" t="s">
        <v>330</v>
      </c>
    </row>
    <row r="71" spans="1:15" ht="220.8" x14ac:dyDescent="0.3">
      <c r="A71" s="4">
        <v>70</v>
      </c>
      <c r="B71" s="5" t="s">
        <v>331</v>
      </c>
      <c r="C71" s="5"/>
      <c r="D71" s="5"/>
      <c r="E71" s="5"/>
      <c r="F71" s="5" t="s">
        <v>197</v>
      </c>
      <c r="G71" s="5" t="s">
        <v>198</v>
      </c>
      <c r="H71" s="5" t="s">
        <v>199</v>
      </c>
      <c r="I71" s="5" t="s">
        <v>20</v>
      </c>
      <c r="J71" s="5">
        <v>0.26</v>
      </c>
      <c r="K71" s="5" t="s">
        <v>21</v>
      </c>
      <c r="L71" s="5" t="s">
        <v>331</v>
      </c>
      <c r="M71" s="5" t="s">
        <v>201</v>
      </c>
      <c r="N71" s="7" t="str">
        <f>HYPERLINK("C:\Users\alexa\YandexDisk\Книги\DevOps\CI-CD\Глава из книги - DevOps.pdf","Глава из книги - DevOps.pdf")</f>
        <v>Глава из книги - DevOps.pdf</v>
      </c>
      <c r="O71" s="5" t="s">
        <v>332</v>
      </c>
    </row>
    <row r="72" spans="1:15" ht="248.4" x14ac:dyDescent="0.3">
      <c r="A72" s="2">
        <v>71</v>
      </c>
      <c r="B72" s="3" t="s">
        <v>333</v>
      </c>
      <c r="C72" s="3" t="s">
        <v>334</v>
      </c>
      <c r="D72" s="3" t="s">
        <v>335</v>
      </c>
      <c r="E72" s="3" t="s">
        <v>336</v>
      </c>
      <c r="F72" s="3" t="s">
        <v>313</v>
      </c>
      <c r="G72" s="3" t="s">
        <v>198</v>
      </c>
      <c r="H72" s="3" t="s">
        <v>314</v>
      </c>
      <c r="I72" s="3" t="s">
        <v>20</v>
      </c>
      <c r="J72" s="3">
        <v>3.41</v>
      </c>
      <c r="K72" s="3" t="s">
        <v>21</v>
      </c>
      <c r="L72" s="3" t="s">
        <v>337</v>
      </c>
      <c r="M72" s="3" t="s">
        <v>201</v>
      </c>
      <c r="N72" s="6" t="str">
        <f>HYPERLINK("C:\Users\alexa\YandexDisk\Книги\DevOps\CI-CD\Изучаем OpenTelemetry.pdf","Изучаем OpenTelemetry.pdf")</f>
        <v>Изучаем OpenTelemetry.pdf</v>
      </c>
      <c r="O72" s="3" t="s">
        <v>338</v>
      </c>
    </row>
    <row r="73" spans="1:15" ht="289.8" x14ac:dyDescent="0.3">
      <c r="A73" s="4">
        <v>72</v>
      </c>
      <c r="B73" s="5" t="s">
        <v>301</v>
      </c>
      <c r="C73" s="5" t="s">
        <v>339</v>
      </c>
      <c r="D73" s="5" t="s">
        <v>32</v>
      </c>
      <c r="E73" s="5" t="s">
        <v>303</v>
      </c>
      <c r="F73" s="5" t="s">
        <v>197</v>
      </c>
      <c r="G73" s="5" t="s">
        <v>198</v>
      </c>
      <c r="H73" s="5" t="s">
        <v>199</v>
      </c>
      <c r="I73" s="5" t="s">
        <v>20</v>
      </c>
      <c r="J73" s="5">
        <v>9.01</v>
      </c>
      <c r="K73" s="5" t="s">
        <v>21</v>
      </c>
      <c r="L73" s="5" t="s">
        <v>340</v>
      </c>
      <c r="M73" s="5" t="s">
        <v>201</v>
      </c>
      <c r="N73" s="7" t="str">
        <f>HYPERLINK("C:\Users\alexa\YandexDisk\Книги\DevOps\CI-CD\Ким Руководство по devops.pdf","Ким Руководство по devops.pdf")</f>
        <v>Ким Руководство по devops.pdf</v>
      </c>
      <c r="O73" s="5" t="s">
        <v>341</v>
      </c>
    </row>
    <row r="74" spans="1:15" ht="151.80000000000001" x14ac:dyDescent="0.3">
      <c r="A74" s="2">
        <v>73</v>
      </c>
      <c r="B74" s="3" t="s">
        <v>290</v>
      </c>
      <c r="C74" s="3" t="s">
        <v>291</v>
      </c>
      <c r="D74" s="3" t="s">
        <v>71</v>
      </c>
      <c r="E74" s="3" t="s">
        <v>269</v>
      </c>
      <c r="F74" s="3" t="s">
        <v>210</v>
      </c>
      <c r="G74" s="3" t="s">
        <v>198</v>
      </c>
      <c r="H74" s="3" t="s">
        <v>211</v>
      </c>
      <c r="I74" s="3" t="s">
        <v>20</v>
      </c>
      <c r="J74" s="3">
        <v>47.91</v>
      </c>
      <c r="K74" s="3" t="s">
        <v>21</v>
      </c>
      <c r="L74" s="3" t="s">
        <v>342</v>
      </c>
      <c r="M74" s="3" t="s">
        <v>201</v>
      </c>
      <c r="N74" s="6" t="str">
        <f>HYPERLINK("C:\Users\alexa\YandexDisk\Книги\DevOps\CI-CD\Конвейер разработки-Pipeline_as_Code 2022.pdf","Конвейер разработки-Pipeline_as_Code 2022.pdf")</f>
        <v>Конвейер разработки-Pipeline_as_Code 2022.pdf</v>
      </c>
      <c r="O74" s="3" t="s">
        <v>343</v>
      </c>
    </row>
    <row r="75" spans="1:15" ht="151.80000000000001" x14ac:dyDescent="0.3">
      <c r="A75" s="4">
        <v>74</v>
      </c>
      <c r="B75" s="5" t="s">
        <v>344</v>
      </c>
      <c r="C75" s="5" t="s">
        <v>345</v>
      </c>
      <c r="D75" s="5" t="s">
        <v>59</v>
      </c>
      <c r="E75" s="5" t="s">
        <v>102</v>
      </c>
      <c r="F75" s="5" t="s">
        <v>210</v>
      </c>
      <c r="G75" s="5" t="s">
        <v>198</v>
      </c>
      <c r="H75" s="5" t="s">
        <v>211</v>
      </c>
      <c r="I75" s="5" t="s">
        <v>20</v>
      </c>
      <c r="J75" s="5">
        <v>1.47</v>
      </c>
      <c r="K75" s="5" t="s">
        <v>21</v>
      </c>
      <c r="L75" s="5" t="s">
        <v>346</v>
      </c>
      <c r="M75" s="5" t="s">
        <v>201</v>
      </c>
      <c r="N75" s="7" t="str">
        <f>HYPERLINK("C:\Users\alexa\YandexDisk\Книги\DevOps\CI-CD\Ленц_М_Python_Непрерывная_интеграция_и_доставка_2020.pdf","Ленц_М_Python_Непрерывная_интеграция_и_доставка_2020.pdf")</f>
        <v>Ленц_М_Python_Непрерывная_интеграция_и_доставка_2020.pdf</v>
      </c>
      <c r="O75" s="5" t="s">
        <v>347</v>
      </c>
    </row>
    <row r="76" spans="1:15" ht="207" x14ac:dyDescent="0.3">
      <c r="A76" s="2">
        <v>75</v>
      </c>
      <c r="B76" s="3" t="s">
        <v>348</v>
      </c>
      <c r="C76" s="3" t="s">
        <v>349</v>
      </c>
      <c r="D76" s="3" t="s">
        <v>335</v>
      </c>
      <c r="E76" s="3" t="s">
        <v>336</v>
      </c>
      <c r="F76" s="3" t="s">
        <v>210</v>
      </c>
      <c r="G76" s="3" t="s">
        <v>198</v>
      </c>
      <c r="H76" s="3" t="s">
        <v>211</v>
      </c>
      <c r="I76" s="3" t="s">
        <v>20</v>
      </c>
      <c r="J76" s="3">
        <v>4.1500000000000004</v>
      </c>
      <c r="K76" s="3" t="s">
        <v>21</v>
      </c>
      <c r="L76" s="3" t="s">
        <v>350</v>
      </c>
      <c r="M76" s="3" t="s">
        <v>201</v>
      </c>
      <c r="N76" s="6" t="str">
        <f>HYPERLINK("C:\Users\alexa\YandexDisk\Книги\DevOps\CI-CD\Настоящий SRE.pdf","Настоящий SRE.pdf")</f>
        <v>Настоящий SRE.pdf</v>
      </c>
      <c r="O76" s="3" t="s">
        <v>351</v>
      </c>
    </row>
    <row r="77" spans="1:15" ht="193.2" x14ac:dyDescent="0.3">
      <c r="A77" s="4">
        <v>76</v>
      </c>
      <c r="B77" s="5" t="s">
        <v>352</v>
      </c>
      <c r="C77" s="5" t="s">
        <v>353</v>
      </c>
      <c r="D77" s="5"/>
      <c r="E77" s="5"/>
      <c r="F77" s="5" t="s">
        <v>210</v>
      </c>
      <c r="G77" s="5" t="s">
        <v>198</v>
      </c>
      <c r="H77" s="5" t="s">
        <v>211</v>
      </c>
      <c r="I77" s="5" t="s">
        <v>20</v>
      </c>
      <c r="J77" s="5">
        <v>5.53</v>
      </c>
      <c r="K77" s="5" t="s">
        <v>21</v>
      </c>
      <c r="L77" s="5" t="s">
        <v>354</v>
      </c>
      <c r="M77" s="5" t="s">
        <v>201</v>
      </c>
      <c r="N77" s="7" t="str">
        <f>HYPERLINK("C:\Users\alexa\YandexDisk\Книги\DevOps\CI-CD\Руководство по DevOps_MIF.pdf","Руководство по DevOps_MIF.pdf")</f>
        <v>Руководство по DevOps_MIF.pdf</v>
      </c>
      <c r="O77" s="5" t="s">
        <v>355</v>
      </c>
    </row>
    <row r="78" spans="1:15" ht="193.2" x14ac:dyDescent="0.3">
      <c r="A78" s="2">
        <v>77</v>
      </c>
      <c r="B78" s="3" t="s">
        <v>352</v>
      </c>
      <c r="C78" s="3" t="s">
        <v>356</v>
      </c>
      <c r="D78" s="3" t="s">
        <v>32</v>
      </c>
      <c r="E78" s="3" t="s">
        <v>303</v>
      </c>
      <c r="F78" s="3" t="s">
        <v>210</v>
      </c>
      <c r="G78" s="3" t="s">
        <v>198</v>
      </c>
      <c r="H78" s="3" t="s">
        <v>211</v>
      </c>
      <c r="I78" s="3" t="s">
        <v>280</v>
      </c>
      <c r="J78" s="3">
        <v>4.0199999999999996</v>
      </c>
      <c r="K78" s="3" t="s">
        <v>21</v>
      </c>
      <c r="L78" s="3" t="s">
        <v>357</v>
      </c>
      <c r="M78" s="3" t="s">
        <v>201</v>
      </c>
      <c r="N78" s="6" t="str">
        <f>HYPERLINK("C:\Users\alexa\YandexDisk\Книги\DevOps\CI-CD\руководство по devops_джин ким, патрик дебуа, джон.epub","руководство по devops_джин ким, патрик дебуа, джон.epub")</f>
        <v>руководство по devops_джин ким, патрик дебуа, джон.epub</v>
      </c>
      <c r="O78" s="3" t="s">
        <v>358</v>
      </c>
    </row>
    <row r="79" spans="1:15" ht="193.2" x14ac:dyDescent="0.3">
      <c r="A79" s="4">
        <v>78</v>
      </c>
      <c r="B79" s="5" t="s">
        <v>359</v>
      </c>
      <c r="C79" s="5"/>
      <c r="D79" s="5"/>
      <c r="E79" s="5"/>
      <c r="F79" s="5" t="s">
        <v>210</v>
      </c>
      <c r="G79" s="5" t="s">
        <v>198</v>
      </c>
      <c r="H79" s="5" t="s">
        <v>211</v>
      </c>
      <c r="I79" s="5" t="s">
        <v>20</v>
      </c>
      <c r="J79" s="5">
        <v>9.74</v>
      </c>
      <c r="K79" s="5" t="s">
        <v>21</v>
      </c>
      <c r="L79" s="5" t="s">
        <v>360</v>
      </c>
      <c r="M79" s="5" t="s">
        <v>201</v>
      </c>
      <c r="N79" s="7" t="str">
        <f>HYPERLINK("C:\Users\alexa\YandexDisk\Книги\DevOps\CI-CD\Ускоряйся! Наука DevOps.pdf","Ускоряйся! Наука DevOps.pdf")</f>
        <v>Ускоряйся! Наука DevOps.pdf</v>
      </c>
      <c r="O79" s="5" t="s">
        <v>361</v>
      </c>
    </row>
    <row r="80" spans="1:15" ht="207" x14ac:dyDescent="0.3">
      <c r="A80" s="2">
        <v>79</v>
      </c>
      <c r="B80" s="3" t="s">
        <v>362</v>
      </c>
      <c r="C80" s="3" t="s">
        <v>363</v>
      </c>
      <c r="D80" s="3" t="s">
        <v>50</v>
      </c>
      <c r="E80" s="3"/>
      <c r="F80" s="3" t="s">
        <v>197</v>
      </c>
      <c r="G80" s="3" t="s">
        <v>198</v>
      </c>
      <c r="H80" s="3" t="s">
        <v>199</v>
      </c>
      <c r="I80" s="3" t="s">
        <v>20</v>
      </c>
      <c r="J80" s="3">
        <v>3.3</v>
      </c>
      <c r="K80" s="3" t="s">
        <v>21</v>
      </c>
      <c r="L80" s="3" t="s">
        <v>364</v>
      </c>
      <c r="M80" s="3" t="s">
        <v>201</v>
      </c>
      <c r="N80" s="6" t="str">
        <f>HYPERLINK("C:\Users\alexa\YandexDisk\Книги\DevOps\CI-CD\Философия DevOps 2017.pdf","Философия DevOps 2017.pdf")</f>
        <v>Философия DevOps 2017.pdf</v>
      </c>
      <c r="O80" s="3" t="s">
        <v>365</v>
      </c>
    </row>
    <row r="81" spans="1:15" ht="193.2" x14ac:dyDescent="0.3">
      <c r="A81" s="4">
        <v>80</v>
      </c>
      <c r="B81" s="5" t="s">
        <v>366</v>
      </c>
      <c r="C81" s="5" t="s">
        <v>367</v>
      </c>
      <c r="D81" s="5" t="s">
        <v>17</v>
      </c>
      <c r="E81" s="5" t="s">
        <v>102</v>
      </c>
      <c r="F81" s="5" t="s">
        <v>210</v>
      </c>
      <c r="G81" s="5" t="s">
        <v>198</v>
      </c>
      <c r="H81" s="5" t="s">
        <v>211</v>
      </c>
      <c r="I81" s="5" t="s">
        <v>20</v>
      </c>
      <c r="J81" s="5">
        <v>7.06</v>
      </c>
      <c r="K81" s="5" t="s">
        <v>21</v>
      </c>
      <c r="L81" s="5" t="s">
        <v>368</v>
      </c>
      <c r="M81" s="5" t="s">
        <v>201</v>
      </c>
      <c r="N81" s="7" t="str">
        <f>HYPERLINK("C:\Users\alexa\YandexDisk\Книги\DevOps\CI-CD\Хаос_инжиниринг_2021_Кейси_Розенталь,_Нора_Джонс.pdf","Хаос_инжиниринг_2021_Кейси_Розенталь,_Нора_Джонс.pdf")</f>
        <v>Хаос_инжиниринг_2021_Кейси_Розенталь,_Нора_Джонс.pdf</v>
      </c>
      <c r="O81" s="5" t="s">
        <v>369</v>
      </c>
    </row>
    <row r="82" spans="1:15" ht="165.6" x14ac:dyDescent="0.3">
      <c r="A82" s="2">
        <v>81</v>
      </c>
      <c r="B82" s="3" t="s">
        <v>370</v>
      </c>
      <c r="C82" s="3" t="s">
        <v>371</v>
      </c>
      <c r="D82" s="3" t="s">
        <v>71</v>
      </c>
      <c r="E82" s="3" t="s">
        <v>372</v>
      </c>
      <c r="F82" s="3" t="s">
        <v>373</v>
      </c>
      <c r="G82" s="3" t="s">
        <v>198</v>
      </c>
      <c r="H82" s="3" t="s">
        <v>374</v>
      </c>
      <c r="I82" s="3" t="s">
        <v>20</v>
      </c>
      <c r="J82" s="3">
        <v>11.88</v>
      </c>
      <c r="K82" s="3" t="s">
        <v>21</v>
      </c>
      <c r="L82" s="3" t="s">
        <v>375</v>
      </c>
      <c r="M82" s="3" t="s">
        <v>376</v>
      </c>
      <c r="N82" s="6" t="str">
        <f>HYPERLINK("C:\Users\alexa\YandexDisk\Книги\DevOps\Docker\!!!Implementing_DevSecOps_with_Docker_and_Kubernetes_José_Manuel_Ortega.pdf","!!!Implementing_DevSecOps_with_Docker_and_Kubernetes_José_Manuel_Ortega.pdf")</f>
        <v>!!!Implementing_DevSecOps_with_Docker_and_Kubernetes_José_Manuel_Ortega.pdf</v>
      </c>
      <c r="O82" s="3" t="s">
        <v>377</v>
      </c>
    </row>
    <row r="83" spans="1:15" ht="179.4" x14ac:dyDescent="0.3">
      <c r="A83" s="4">
        <v>82</v>
      </c>
      <c r="B83" s="5" t="s">
        <v>378</v>
      </c>
      <c r="C83" s="5" t="s">
        <v>379</v>
      </c>
      <c r="D83" s="5" t="s">
        <v>50</v>
      </c>
      <c r="E83" s="5" t="s">
        <v>102</v>
      </c>
      <c r="F83" s="5" t="s">
        <v>373</v>
      </c>
      <c r="G83" s="5" t="s">
        <v>198</v>
      </c>
      <c r="H83" s="5" t="s">
        <v>374</v>
      </c>
      <c r="I83" s="5" t="s">
        <v>20</v>
      </c>
      <c r="J83" s="5">
        <v>5.45</v>
      </c>
      <c r="K83" s="5" t="s">
        <v>21</v>
      </c>
      <c r="L83" s="5" t="s">
        <v>380</v>
      </c>
      <c r="M83" s="5" t="s">
        <v>376</v>
      </c>
      <c r="N83" s="7" t="str">
        <f>HYPERLINK("C:\Users\alexa\YandexDisk\Книги\DevOps\Docker\!Использование Docker.pdf","!Использование Docker.pdf")</f>
        <v>!Использование Docker.pdf</v>
      </c>
      <c r="O83" s="5" t="s">
        <v>381</v>
      </c>
    </row>
    <row r="84" spans="1:15" ht="207" x14ac:dyDescent="0.3">
      <c r="A84" s="2">
        <v>83</v>
      </c>
      <c r="B84" s="3" t="s">
        <v>382</v>
      </c>
      <c r="C84" s="3" t="s">
        <v>383</v>
      </c>
      <c r="D84" s="3"/>
      <c r="E84" s="3" t="s">
        <v>269</v>
      </c>
      <c r="F84" s="3" t="s">
        <v>373</v>
      </c>
      <c r="G84" s="3" t="s">
        <v>198</v>
      </c>
      <c r="H84" s="3" t="s">
        <v>374</v>
      </c>
      <c r="I84" s="3" t="s">
        <v>20</v>
      </c>
      <c r="J84" s="3">
        <v>13.38</v>
      </c>
      <c r="K84" s="3" t="s">
        <v>21</v>
      </c>
      <c r="L84" s="3" t="s">
        <v>384</v>
      </c>
      <c r="M84" s="3" t="s">
        <v>376</v>
      </c>
      <c r="N84" s="6" t="str">
        <f>HYPERLINK("C:\Users\alexa\YandexDisk\Книги\DevOps\Docker\Bootstrapping Microservce.pdf","Bootstrapping Microservce.pdf")</f>
        <v>Bootstrapping Microservce.pdf</v>
      </c>
      <c r="O84" s="3" t="s">
        <v>385</v>
      </c>
    </row>
    <row r="85" spans="1:15" ht="165.6" x14ac:dyDescent="0.3">
      <c r="A85" s="4">
        <v>84</v>
      </c>
      <c r="B85" s="5" t="s">
        <v>386</v>
      </c>
      <c r="C85" s="5" t="s">
        <v>387</v>
      </c>
      <c r="D85" s="5" t="s">
        <v>32</v>
      </c>
      <c r="E85" s="5"/>
      <c r="F85" s="5" t="s">
        <v>373</v>
      </c>
      <c r="G85" s="5" t="s">
        <v>198</v>
      </c>
      <c r="H85" s="5" t="s">
        <v>374</v>
      </c>
      <c r="I85" s="5" t="s">
        <v>20</v>
      </c>
      <c r="J85" s="5">
        <v>7.37</v>
      </c>
      <c r="K85" s="5" t="s">
        <v>21</v>
      </c>
      <c r="L85" s="5" t="s">
        <v>388</v>
      </c>
      <c r="M85" s="5" t="s">
        <v>376</v>
      </c>
      <c r="N85" s="7" t="str">
        <f>HYPERLINK("C:\Users\alexa\YandexDisk\Книги\DevOps\Docker\Chanwit Kaewkasi - Docker for Serverless Applications (2018).pdf","Chanwit Kaewkasi - Docker for Serverless Applications (2018).pdf")</f>
        <v>Chanwit Kaewkasi - Docker for Serverless Applications (2018).pdf</v>
      </c>
      <c r="O85" s="5" t="s">
        <v>389</v>
      </c>
    </row>
    <row r="86" spans="1:15" ht="179.4" x14ac:dyDescent="0.3">
      <c r="A86" s="2">
        <v>85</v>
      </c>
      <c r="B86" s="3" t="s">
        <v>390</v>
      </c>
      <c r="C86" s="3" t="s">
        <v>391</v>
      </c>
      <c r="D86" s="3" t="s">
        <v>59</v>
      </c>
      <c r="E86" s="3"/>
      <c r="F86" s="3" t="s">
        <v>373</v>
      </c>
      <c r="G86" s="3" t="s">
        <v>198</v>
      </c>
      <c r="H86" s="3" t="s">
        <v>374</v>
      </c>
      <c r="I86" s="3" t="s">
        <v>20</v>
      </c>
      <c r="J86" s="3">
        <v>8.7899999999999991</v>
      </c>
      <c r="K86" s="3" t="s">
        <v>21</v>
      </c>
      <c r="L86" s="3" t="s">
        <v>392</v>
      </c>
      <c r="M86" s="3" t="s">
        <v>376</v>
      </c>
      <c r="N86" s="6" t="str">
        <f>HYPERLINK("C:\Users\alexa\YandexDisk\Книги\DevOps\Docker\Docker Deep Dive Zero to Docker in a single book.pdf","Docker Deep Dive Zero to Docker in a single book.pdf")</f>
        <v>Docker Deep Dive Zero to Docker in a single book.pdf</v>
      </c>
      <c r="O86" s="3" t="s">
        <v>393</v>
      </c>
    </row>
    <row r="87" spans="1:15" ht="165.6" x14ac:dyDescent="0.3">
      <c r="A87" s="4">
        <v>86</v>
      </c>
      <c r="B87" s="5" t="s">
        <v>394</v>
      </c>
      <c r="C87" s="5" t="s">
        <v>395</v>
      </c>
      <c r="D87" s="5" t="s">
        <v>59</v>
      </c>
      <c r="E87" s="5" t="s">
        <v>205</v>
      </c>
      <c r="F87" s="5" t="s">
        <v>373</v>
      </c>
      <c r="G87" s="5" t="s">
        <v>198</v>
      </c>
      <c r="H87" s="5" t="s">
        <v>374</v>
      </c>
      <c r="I87" s="5" t="s">
        <v>20</v>
      </c>
      <c r="J87" s="5">
        <v>5.92</v>
      </c>
      <c r="K87" s="5" t="s">
        <v>21</v>
      </c>
      <c r="L87" s="5" t="s">
        <v>396</v>
      </c>
      <c r="M87" s="5" t="s">
        <v>376</v>
      </c>
      <c r="N87" s="7" t="str">
        <f>HYPERLINK("C:\Users\alexa\YandexDisk\Книги\DevOps\Docker\Docker for Developers 2020.pdf","Docker for Developers 2020.pdf")</f>
        <v>Docker for Developers 2020.pdf</v>
      </c>
      <c r="O87" s="5" t="s">
        <v>397</v>
      </c>
    </row>
    <row r="88" spans="1:15" ht="165.6" x14ac:dyDescent="0.3">
      <c r="A88" s="2">
        <v>87</v>
      </c>
      <c r="B88" s="3" t="s">
        <v>386</v>
      </c>
      <c r="C88" s="3" t="s">
        <v>387</v>
      </c>
      <c r="D88" s="3" t="s">
        <v>32</v>
      </c>
      <c r="E88" s="3"/>
      <c r="F88" s="3" t="s">
        <v>373</v>
      </c>
      <c r="G88" s="3" t="s">
        <v>198</v>
      </c>
      <c r="H88" s="3" t="s">
        <v>374</v>
      </c>
      <c r="I88" s="3" t="s">
        <v>20</v>
      </c>
      <c r="J88" s="3">
        <v>7.37</v>
      </c>
      <c r="K88" s="3" t="s">
        <v>21</v>
      </c>
      <c r="L88" s="3" t="s">
        <v>398</v>
      </c>
      <c r="M88" s="3" t="s">
        <v>376</v>
      </c>
      <c r="N88" s="6" t="str">
        <f>HYPERLINK("C:\Users\alexa\YandexDisk\Книги\DevOps\Docker\Docker for Serverless Applications (2018).pdf","Docker for Serverless Applications (2018).pdf")</f>
        <v>Docker for Serverless Applications (2018).pdf</v>
      </c>
      <c r="O88" s="3" t="s">
        <v>399</v>
      </c>
    </row>
    <row r="89" spans="1:15" ht="193.2" x14ac:dyDescent="0.3">
      <c r="A89" s="4">
        <v>88</v>
      </c>
      <c r="B89" s="5" t="s">
        <v>400</v>
      </c>
      <c r="C89" s="5" t="s">
        <v>401</v>
      </c>
      <c r="D89" s="5" t="s">
        <v>27</v>
      </c>
      <c r="E89" s="5" t="s">
        <v>402</v>
      </c>
      <c r="F89" s="5" t="s">
        <v>373</v>
      </c>
      <c r="G89" s="5" t="s">
        <v>198</v>
      </c>
      <c r="H89" s="5" t="s">
        <v>374</v>
      </c>
      <c r="I89" s="5" t="s">
        <v>20</v>
      </c>
      <c r="J89" s="5">
        <v>45.21</v>
      </c>
      <c r="K89" s="5" t="s">
        <v>21</v>
      </c>
      <c r="L89" s="5" t="s">
        <v>403</v>
      </c>
      <c r="M89" s="5" t="s">
        <v>376</v>
      </c>
      <c r="N89" s="7" t="str">
        <f>HYPERLINK("C:\Users\alexa\YandexDisk\Книги\DevOps\Docker\Docker без секретов.pdf","Docker без секретов.pdf")</f>
        <v>Docker без секретов.pdf</v>
      </c>
      <c r="O89" s="5" t="s">
        <v>404</v>
      </c>
    </row>
    <row r="90" spans="1:15" ht="193.2" x14ac:dyDescent="0.3">
      <c r="A90" s="2">
        <v>89</v>
      </c>
      <c r="B90" s="3" t="s">
        <v>405</v>
      </c>
      <c r="C90" s="3" t="s">
        <v>406</v>
      </c>
      <c r="D90" s="3" t="s">
        <v>109</v>
      </c>
      <c r="E90" s="3" t="s">
        <v>407</v>
      </c>
      <c r="F90" s="3" t="s">
        <v>373</v>
      </c>
      <c r="G90" s="3" t="s">
        <v>198</v>
      </c>
      <c r="H90" s="3" t="s">
        <v>374</v>
      </c>
      <c r="I90" s="3" t="s">
        <v>20</v>
      </c>
      <c r="J90" s="3">
        <v>22.48</v>
      </c>
      <c r="K90" s="3" t="s">
        <v>21</v>
      </c>
      <c r="L90" s="3" t="s">
        <v>408</v>
      </c>
      <c r="M90" s="3" t="s">
        <v>376</v>
      </c>
      <c r="N90" s="6" t="str">
        <f>HYPERLINK("C:\Users\alexa\YandexDisk\Книги\DevOps\Docker\Docker. Вводный курс.pdf","Docker. Вводный курс.pdf")</f>
        <v>Docker. Вводный курс.pdf</v>
      </c>
      <c r="O90" s="3" t="s">
        <v>409</v>
      </c>
    </row>
    <row r="91" spans="1:15" ht="165.6" x14ac:dyDescent="0.3">
      <c r="A91" s="4">
        <v>90</v>
      </c>
      <c r="B91" s="5" t="s">
        <v>410</v>
      </c>
      <c r="C91" s="5" t="s">
        <v>411</v>
      </c>
      <c r="D91" s="5" t="s">
        <v>27</v>
      </c>
      <c r="E91" s="5" t="s">
        <v>102</v>
      </c>
      <c r="F91" s="5" t="s">
        <v>373</v>
      </c>
      <c r="G91" s="5" t="s">
        <v>198</v>
      </c>
      <c r="H91" s="5" t="s">
        <v>374</v>
      </c>
      <c r="I91" s="5" t="s">
        <v>20</v>
      </c>
      <c r="J91" s="5">
        <v>10</v>
      </c>
      <c r="K91" s="5" t="s">
        <v>21</v>
      </c>
      <c r="L91" s="5" t="s">
        <v>412</v>
      </c>
      <c r="M91" s="5" t="s">
        <v>376</v>
      </c>
      <c r="N91" s="7" t="str">
        <f>HYPERLINK("C:\Users\alexa\YandexDisk\Книги\DevOps\Docker\Docker_Compose_для_разработчика_Упростите_разработку.pdf","Docker_Compose_для_разработчика_Упростите_разработку.pdf")</f>
        <v>Docker_Compose_для_разработчика_Упростите_разработку.pdf</v>
      </c>
      <c r="O91" s="5" t="s">
        <v>413</v>
      </c>
    </row>
    <row r="92" spans="1:15" ht="179.4" x14ac:dyDescent="0.3">
      <c r="A92" s="2">
        <v>91</v>
      </c>
      <c r="B92" s="3" t="s">
        <v>414</v>
      </c>
      <c r="C92" s="3" t="s">
        <v>415</v>
      </c>
      <c r="D92" s="3" t="s">
        <v>59</v>
      </c>
      <c r="E92" s="3" t="s">
        <v>102</v>
      </c>
      <c r="F92" s="3" t="s">
        <v>373</v>
      </c>
      <c r="G92" s="3" t="s">
        <v>198</v>
      </c>
      <c r="H92" s="3" t="s">
        <v>374</v>
      </c>
      <c r="I92" s="3" t="s">
        <v>20</v>
      </c>
      <c r="J92" s="3">
        <v>8.33</v>
      </c>
      <c r="K92" s="3" t="s">
        <v>21</v>
      </c>
      <c r="L92" s="3" t="s">
        <v>416</v>
      </c>
      <c r="M92" s="3" t="s">
        <v>376</v>
      </c>
      <c r="N92" s="6" t="str">
        <f>HYPERLINK("C:\Users\alexa\YandexDisk\Книги\DevOps\Docker\Docker_на_практике.pdf","Docker_на_практике.pdf")</f>
        <v>Docker_на_практике.pdf</v>
      </c>
      <c r="O92" s="3" t="s">
        <v>417</v>
      </c>
    </row>
    <row r="93" spans="1:15" ht="138" x14ac:dyDescent="0.3">
      <c r="A93" s="4">
        <v>92</v>
      </c>
      <c r="B93" s="5" t="s">
        <v>414</v>
      </c>
      <c r="C93" s="5" t="s">
        <v>415</v>
      </c>
      <c r="D93" s="5" t="s">
        <v>59</v>
      </c>
      <c r="E93" s="5" t="s">
        <v>102</v>
      </c>
      <c r="F93" s="5" t="s">
        <v>373</v>
      </c>
      <c r="G93" s="5" t="s">
        <v>198</v>
      </c>
      <c r="H93" s="5" t="s">
        <v>374</v>
      </c>
      <c r="I93" s="5" t="s">
        <v>20</v>
      </c>
      <c r="J93" s="5">
        <v>8.33</v>
      </c>
      <c r="K93" s="5" t="s">
        <v>21</v>
      </c>
      <c r="L93" s="5" t="s">
        <v>418</v>
      </c>
      <c r="M93" s="5" t="s">
        <v>376</v>
      </c>
      <c r="N93" s="7" t="str">
        <f>HYPERLINK("C:\Users\alexa\YandexDisk\Книги\DevOps\Docker\Docker_на_практике_2020.pdf","Docker_на_практике_2020.pdf")</f>
        <v>Docker_на_практике_2020.pdf</v>
      </c>
      <c r="O93" s="5" t="s">
        <v>419</v>
      </c>
    </row>
    <row r="94" spans="1:15" ht="193.2" x14ac:dyDescent="0.3">
      <c r="A94" s="2">
        <v>93</v>
      </c>
      <c r="B94" s="3" t="s">
        <v>420</v>
      </c>
      <c r="C94" s="3" t="s">
        <v>421</v>
      </c>
      <c r="D94" s="3" t="s">
        <v>59</v>
      </c>
      <c r="E94" s="3"/>
      <c r="F94" s="3" t="s">
        <v>373</v>
      </c>
      <c r="G94" s="3" t="s">
        <v>198</v>
      </c>
      <c r="H94" s="3" t="s">
        <v>374</v>
      </c>
      <c r="I94" s="3" t="s">
        <v>20</v>
      </c>
      <c r="J94" s="3">
        <v>6.62</v>
      </c>
      <c r="K94" s="3" t="s">
        <v>21</v>
      </c>
      <c r="L94" s="3" t="s">
        <v>422</v>
      </c>
      <c r="M94" s="3" t="s">
        <v>376</v>
      </c>
      <c r="N94" s="6" t="str">
        <f>HYPERLINK("C:\Users\alexa\YandexDisk\Книги\DevOps\Docker\Fraser Adams - Running GUI Applications in Docker (2020).pdf","Fraser Adams - Running GUI Applications in Docker (2020).pdf")</f>
        <v>Fraser Adams - Running GUI Applications in Docker (2020).pdf</v>
      </c>
      <c r="O94" s="3" t="s">
        <v>423</v>
      </c>
    </row>
    <row r="95" spans="1:15" ht="151.80000000000001" x14ac:dyDescent="0.3">
      <c r="A95" s="4">
        <v>94</v>
      </c>
      <c r="B95" s="5" t="s">
        <v>424</v>
      </c>
      <c r="C95" s="5" t="s">
        <v>425</v>
      </c>
      <c r="D95" s="5" t="s">
        <v>59</v>
      </c>
      <c r="E95" s="5"/>
      <c r="F95" s="5" t="s">
        <v>426</v>
      </c>
      <c r="G95" s="5" t="s">
        <v>198</v>
      </c>
      <c r="H95" s="5" t="s">
        <v>427</v>
      </c>
      <c r="I95" s="5" t="s">
        <v>280</v>
      </c>
      <c r="J95" s="5">
        <v>2.5099999999999998</v>
      </c>
      <c r="K95" s="5" t="s">
        <v>21</v>
      </c>
      <c r="L95" s="5" t="s">
        <v>428</v>
      </c>
      <c r="M95" s="5" t="s">
        <v>376</v>
      </c>
      <c r="N95" s="7" t="str">
        <f>HYPERLINK("C:\Users\alexa\YandexDisk\Книги\DevOps\Docker\Learn_Kubernetes_Docker_NET_Core_Java_Node_JS_PHP_or_Python_Arnaud.epub","Learn_Kubernetes_Docker_NET_Core_Java_Node_JS_PHP_or_Python_Arnaud.epub")</f>
        <v>Learn_Kubernetes_Docker_NET_Core_Java_Node_JS_PHP_or_Python_Arnaud.epub</v>
      </c>
      <c r="O95" s="5" t="s">
        <v>429</v>
      </c>
    </row>
    <row r="96" spans="1:15" ht="151.80000000000001" x14ac:dyDescent="0.3">
      <c r="A96" s="2">
        <v>95</v>
      </c>
      <c r="B96" s="3" t="s">
        <v>430</v>
      </c>
      <c r="C96" s="3" t="s">
        <v>431</v>
      </c>
      <c r="D96" s="3" t="s">
        <v>59</v>
      </c>
      <c r="E96" s="3" t="s">
        <v>205</v>
      </c>
      <c r="F96" s="3" t="s">
        <v>373</v>
      </c>
      <c r="G96" s="3" t="s">
        <v>198</v>
      </c>
      <c r="H96" s="3" t="s">
        <v>374</v>
      </c>
      <c r="I96" s="3" t="s">
        <v>20</v>
      </c>
      <c r="J96" s="3">
        <v>24.38</v>
      </c>
      <c r="K96" s="3" t="s">
        <v>21</v>
      </c>
      <c r="L96" s="3" t="s">
        <v>432</v>
      </c>
      <c r="M96" s="3" t="s">
        <v>376</v>
      </c>
      <c r="N96" s="6" t="str">
        <f>HYPERLINK("C:\Users\alexa\YandexDisk\Книги\DevOps\Docker\Mastering Docker  En... by Russ McKendrick.pdf","Mastering Docker  En... by Russ McKendrick.pdf")</f>
        <v>Mastering Docker  En... by Russ McKendrick.pdf</v>
      </c>
      <c r="O96" s="3" t="s">
        <v>433</v>
      </c>
    </row>
    <row r="97" spans="1:15" ht="179.4" x14ac:dyDescent="0.3">
      <c r="A97" s="4">
        <v>96</v>
      </c>
      <c r="B97" s="5" t="s">
        <v>430</v>
      </c>
      <c r="C97" s="5" t="s">
        <v>431</v>
      </c>
      <c r="D97" s="5" t="s">
        <v>59</v>
      </c>
      <c r="E97" s="5" t="s">
        <v>205</v>
      </c>
      <c r="F97" s="5" t="s">
        <v>373</v>
      </c>
      <c r="G97" s="5" t="s">
        <v>198</v>
      </c>
      <c r="H97" s="5" t="s">
        <v>374</v>
      </c>
      <c r="I97" s="5" t="s">
        <v>20</v>
      </c>
      <c r="J97" s="5">
        <v>24.38</v>
      </c>
      <c r="K97" s="5" t="s">
        <v>21</v>
      </c>
      <c r="L97" s="5" t="s">
        <v>434</v>
      </c>
      <c r="M97" s="5" t="s">
        <v>376</v>
      </c>
      <c r="N97" s="7" t="str">
        <f>HYPERLINK("C:\Users\alexa\YandexDisk\Книги\DevOps\Docker\Mastering_Docker_Enhance_your_containerization_and_DevOps_skills 2020.pdf","Mastering_Docker_Enhance_your_containerization_and_DevOps_skills 2020.pdf")</f>
        <v>Mastering_Docker_Enhance_your_containerization_and_DevOps_skills 2020.pdf</v>
      </c>
      <c r="O97" s="5" t="s">
        <v>435</v>
      </c>
    </row>
    <row r="98" spans="1:15" ht="193.2" x14ac:dyDescent="0.3">
      <c r="A98" s="2">
        <v>97</v>
      </c>
      <c r="B98" s="3" t="s">
        <v>436</v>
      </c>
      <c r="C98" s="3" t="s">
        <v>437</v>
      </c>
      <c r="D98" s="3" t="s">
        <v>71</v>
      </c>
      <c r="E98" s="3" t="s">
        <v>227</v>
      </c>
      <c r="F98" s="3" t="s">
        <v>197</v>
      </c>
      <c r="G98" s="3" t="s">
        <v>198</v>
      </c>
      <c r="H98" s="3" t="s">
        <v>199</v>
      </c>
      <c r="I98" s="3" t="s">
        <v>20</v>
      </c>
      <c r="J98" s="3">
        <v>5.43</v>
      </c>
      <c r="K98" s="3" t="s">
        <v>21</v>
      </c>
      <c r="L98" s="3" t="s">
        <v>438</v>
      </c>
      <c r="M98" s="3" t="s">
        <v>376</v>
      </c>
      <c r="N98" s="6" t="str">
        <f>HYPERLINK("C:\Users\alexa\YandexDisk\Книги\DevOps\Docker\Practical Linux DevOps.pdf","Practical Linux DevOps.pdf")</f>
        <v>Practical Linux DevOps.pdf</v>
      </c>
      <c r="O98" s="3" t="s">
        <v>439</v>
      </c>
    </row>
    <row r="99" spans="1:15" ht="234.6" x14ac:dyDescent="0.3">
      <c r="A99" s="4">
        <v>98</v>
      </c>
      <c r="B99" s="5" t="s">
        <v>440</v>
      </c>
      <c r="C99" s="5" t="s">
        <v>441</v>
      </c>
      <c r="D99" s="5" t="s">
        <v>27</v>
      </c>
      <c r="E99" s="5" t="s">
        <v>442</v>
      </c>
      <c r="F99" s="5" t="s">
        <v>373</v>
      </c>
      <c r="G99" s="5" t="s">
        <v>198</v>
      </c>
      <c r="H99" s="5" t="s">
        <v>374</v>
      </c>
      <c r="I99" s="5" t="s">
        <v>20</v>
      </c>
      <c r="J99" s="5">
        <v>2.2400000000000002</v>
      </c>
      <c r="K99" s="5" t="s">
        <v>21</v>
      </c>
      <c r="L99" s="5" t="s">
        <v>443</v>
      </c>
      <c r="M99" s="5" t="s">
        <v>376</v>
      </c>
      <c r="N99" s="7" t="str">
        <f>HYPERLINK("C:\Users\alexa\YandexDisk\Книги\DevOps\Docker\What Is Portainer.pdf","What Is Portainer.pdf")</f>
        <v>What Is Portainer.pdf</v>
      </c>
      <c r="O99" s="5" t="s">
        <v>444</v>
      </c>
    </row>
    <row r="100" spans="1:15" ht="165.6" x14ac:dyDescent="0.3">
      <c r="A100" s="2">
        <v>99</v>
      </c>
      <c r="B100" s="3" t="s">
        <v>445</v>
      </c>
      <c r="C100" s="3" t="s">
        <v>446</v>
      </c>
      <c r="D100" s="3" t="s">
        <v>59</v>
      </c>
      <c r="E100" s="3" t="s">
        <v>102</v>
      </c>
      <c r="F100" s="3" t="s">
        <v>373</v>
      </c>
      <c r="G100" s="3" t="s">
        <v>198</v>
      </c>
      <c r="H100" s="3" t="s">
        <v>374</v>
      </c>
      <c r="I100" s="3" t="s">
        <v>20</v>
      </c>
      <c r="J100" s="3">
        <v>8.33</v>
      </c>
      <c r="K100" s="3" t="s">
        <v>21</v>
      </c>
      <c r="L100" s="3" t="s">
        <v>447</v>
      </c>
      <c r="M100" s="3" t="s">
        <v>376</v>
      </c>
      <c r="N100" s="6" t="str">
        <f>HYPERLINK("C:\Users\alexa\YandexDisk\Книги\DevOps\Docker\Иан_Милл,_Эйдан_Хобсон_Сейерс_Docker_на_практике 2020.pdf","Иан_Милл,_Эйдан_Хобсон_Сейерс_Docker_на_практике 2020.pdf")</f>
        <v>Иан_Милл,_Эйдан_Хобсон_Сейерс_Docker_на_практике 2020.pdf</v>
      </c>
      <c r="O100" s="3" t="s">
        <v>448</v>
      </c>
    </row>
    <row r="101" spans="1:15" ht="179.4" x14ac:dyDescent="0.3">
      <c r="A101" s="4">
        <v>100</v>
      </c>
      <c r="B101" s="5" t="s">
        <v>449</v>
      </c>
      <c r="C101" s="5" t="s">
        <v>450</v>
      </c>
      <c r="D101" s="5" t="s">
        <v>59</v>
      </c>
      <c r="E101" s="5" t="s">
        <v>296</v>
      </c>
      <c r="F101" s="5" t="s">
        <v>373</v>
      </c>
      <c r="G101" s="5" t="s">
        <v>198</v>
      </c>
      <c r="H101" s="5" t="s">
        <v>374</v>
      </c>
      <c r="I101" s="5" t="s">
        <v>20</v>
      </c>
      <c r="J101" s="5">
        <v>1.0900000000000001</v>
      </c>
      <c r="K101" s="5" t="s">
        <v>21</v>
      </c>
      <c r="L101" s="5" t="s">
        <v>451</v>
      </c>
      <c r="M101" s="5" t="s">
        <v>376</v>
      </c>
      <c r="N101" s="7" t="str">
        <f>HYPERLINK("C:\Users\alexa\YandexDisk\Книги\DevOps\Docker\Программирование Cloud Native.pdf","Программирование Cloud Native.pdf")</f>
        <v>Программирование Cloud Native.pdf</v>
      </c>
      <c r="O101" s="5" t="s">
        <v>452</v>
      </c>
    </row>
    <row r="102" spans="1:15" ht="165.6" x14ac:dyDescent="0.3">
      <c r="A102" s="2">
        <v>101</v>
      </c>
      <c r="B102" s="3" t="s">
        <v>410</v>
      </c>
      <c r="C102" s="3" t="s">
        <v>411</v>
      </c>
      <c r="D102" s="3" t="s">
        <v>27</v>
      </c>
      <c r="E102" s="3" t="s">
        <v>102</v>
      </c>
      <c r="F102" s="3" t="s">
        <v>373</v>
      </c>
      <c r="G102" s="3" t="s">
        <v>198</v>
      </c>
      <c r="H102" s="3" t="s">
        <v>374</v>
      </c>
      <c r="I102" s="3" t="s">
        <v>20</v>
      </c>
      <c r="J102" s="3">
        <v>10</v>
      </c>
      <c r="K102" s="3" t="s">
        <v>21</v>
      </c>
      <c r="L102" s="3" t="s">
        <v>453</v>
      </c>
      <c r="M102" s="3" t="s">
        <v>376</v>
      </c>
      <c r="N102" s="6" t="str">
        <f>HYPERLINK("C:\Users\alexa\YandexDisk\Книги\DevOps\Docker\Эммануил_Гадзурас_Docker_Compose_для_разработчика.pdf","Эммануил_Гадзурас_Docker_Compose_для_разработчика.pdf")</f>
        <v>Эммануил_Гадзурас_Docker_Compose_для_разработчика.pdf</v>
      </c>
      <c r="O102" s="3" t="s">
        <v>454</v>
      </c>
    </row>
    <row r="103" spans="1:15" ht="207" x14ac:dyDescent="0.3">
      <c r="A103" s="4">
        <v>102</v>
      </c>
      <c r="B103" s="5" t="s">
        <v>455</v>
      </c>
      <c r="C103" s="5" t="s">
        <v>456</v>
      </c>
      <c r="D103" s="5" t="s">
        <v>17</v>
      </c>
      <c r="E103" s="5" t="s">
        <v>457</v>
      </c>
      <c r="F103" s="5" t="s">
        <v>458</v>
      </c>
      <c r="G103" s="5" t="s">
        <v>198</v>
      </c>
      <c r="H103" s="5" t="s">
        <v>459</v>
      </c>
      <c r="I103" s="5" t="s">
        <v>280</v>
      </c>
      <c r="J103" s="5">
        <v>7.48</v>
      </c>
      <c r="K103" s="5" t="s">
        <v>21</v>
      </c>
      <c r="L103" s="5" t="s">
        <v>460</v>
      </c>
      <c r="M103" s="5" t="s">
        <v>461</v>
      </c>
      <c r="N103" s="7" t="str">
        <f>HYPERLINK("C:\Users\alexa\YandexDisk\Книги\DevOps\Git\Advanced Git (2nd Edition) [2021] Jawwad Ahmad &amp; Chris Belanger.epub","Advanced Git (2nd Edition) [2021] Jawwad Ahmad &amp; Chris Belanger.epub")</f>
        <v>Advanced Git (2nd Edition) [2021] Jawwad Ahmad &amp; Chris Belanger.epub</v>
      </c>
      <c r="O103" s="5" t="s">
        <v>462</v>
      </c>
    </row>
    <row r="104" spans="1:15" ht="193.2" x14ac:dyDescent="0.3">
      <c r="A104" s="2">
        <v>103</v>
      </c>
      <c r="B104" s="3" t="s">
        <v>463</v>
      </c>
      <c r="C104" s="3" t="s">
        <v>456</v>
      </c>
      <c r="D104" s="3" t="s">
        <v>17</v>
      </c>
      <c r="E104" s="3" t="s">
        <v>457</v>
      </c>
      <c r="F104" s="3" t="s">
        <v>458</v>
      </c>
      <c r="G104" s="3" t="s">
        <v>198</v>
      </c>
      <c r="H104" s="3" t="s">
        <v>459</v>
      </c>
      <c r="I104" s="3" t="s">
        <v>20</v>
      </c>
      <c r="J104" s="3">
        <v>8.42</v>
      </c>
      <c r="K104" s="3" t="s">
        <v>21</v>
      </c>
      <c r="L104" s="3" t="s">
        <v>464</v>
      </c>
      <c r="M104" s="3" t="s">
        <v>461</v>
      </c>
      <c r="N104" s="6" t="str">
        <f>HYPERLINK("C:\Users\alexa\YandexDisk\Книги\DevOps\Git\Advanced Git (2nd Edition) [2021] Jawwad Ahmad &amp; Chris Belanger.pdf","Advanced Git (2nd Edition) [2021] Jawwad Ahmad &amp; Chris Belanger.pdf")</f>
        <v>Advanced Git (2nd Edition) [2021] Jawwad Ahmad &amp; Chris Belanger.pdf</v>
      </c>
      <c r="O104" s="3" t="s">
        <v>465</v>
      </c>
    </row>
    <row r="105" spans="1:15" ht="165.6" x14ac:dyDescent="0.3">
      <c r="A105" s="4">
        <v>104</v>
      </c>
      <c r="B105" s="5" t="s">
        <v>466</v>
      </c>
      <c r="C105" s="5" t="s">
        <v>467</v>
      </c>
      <c r="D105" s="5" t="s">
        <v>59</v>
      </c>
      <c r="E105" s="5" t="s">
        <v>227</v>
      </c>
      <c r="F105" s="5" t="s">
        <v>458</v>
      </c>
      <c r="G105" s="5" t="s">
        <v>198</v>
      </c>
      <c r="H105" s="5" t="s">
        <v>459</v>
      </c>
      <c r="I105" s="5" t="s">
        <v>20</v>
      </c>
      <c r="J105" s="5">
        <v>14.52</v>
      </c>
      <c r="K105" s="5" t="s">
        <v>21</v>
      </c>
      <c r="L105" s="5" t="s">
        <v>468</v>
      </c>
      <c r="M105" s="5" t="s">
        <v>461</v>
      </c>
      <c r="N105" s="7" t="str">
        <f>HYPERLINK("C:\Users\alexa\YandexDisk\Книги\DevOps\Git\Beginning.Git.and.GitHub.pdf","Beginning.Git.and.GitHub.pdf")</f>
        <v>Beginning.Git.and.GitHub.pdf</v>
      </c>
      <c r="O105" s="5" t="s">
        <v>469</v>
      </c>
    </row>
    <row r="106" spans="1:15" ht="138" x14ac:dyDescent="0.3">
      <c r="A106" s="2">
        <v>105</v>
      </c>
      <c r="B106" s="3" t="s">
        <v>470</v>
      </c>
      <c r="C106" s="3" t="s">
        <v>471</v>
      </c>
      <c r="D106" s="3"/>
      <c r="E106" s="3"/>
      <c r="F106" s="3" t="s">
        <v>458</v>
      </c>
      <c r="G106" s="3" t="s">
        <v>198</v>
      </c>
      <c r="H106" s="3" t="s">
        <v>459</v>
      </c>
      <c r="I106" s="3" t="s">
        <v>280</v>
      </c>
      <c r="J106" s="3">
        <v>8.66</v>
      </c>
      <c r="K106" s="3" t="s">
        <v>21</v>
      </c>
      <c r="L106" s="3" t="s">
        <v>472</v>
      </c>
      <c r="M106" s="3" t="s">
        <v>461</v>
      </c>
      <c r="N106" s="6" t="str">
        <f>HYPERLINK("C:\Users\alexa\YandexDisk\Книги\DevOps\Git\Garner,_Jameson_GIT_The_Ultimate_Guide_for_Beginners_Learn_Git_Version.epub","Garner,_Jameson_GIT_The_Ultimate_Guide_for_Beginners_Learn_Git_Version.epub")</f>
        <v>Garner,_Jameson_GIT_The_Ultimate_Guide_for_Beginners_Learn_Git_Version.epub</v>
      </c>
      <c r="O106" s="3" t="s">
        <v>473</v>
      </c>
    </row>
    <row r="107" spans="1:15" ht="179.4" x14ac:dyDescent="0.3">
      <c r="A107" s="4">
        <v>106</v>
      </c>
      <c r="B107" s="5" t="s">
        <v>474</v>
      </c>
      <c r="C107" s="5" t="s">
        <v>475</v>
      </c>
      <c r="D107" s="5" t="s">
        <v>476</v>
      </c>
      <c r="E107" s="5" t="s">
        <v>442</v>
      </c>
      <c r="F107" s="5" t="s">
        <v>458</v>
      </c>
      <c r="G107" s="5" t="s">
        <v>198</v>
      </c>
      <c r="H107" s="5" t="s">
        <v>459</v>
      </c>
      <c r="I107" s="5" t="s">
        <v>20</v>
      </c>
      <c r="J107" s="5">
        <v>6.91</v>
      </c>
      <c r="K107" s="5" t="s">
        <v>21</v>
      </c>
      <c r="L107" s="5" t="s">
        <v>477</v>
      </c>
      <c r="M107" s="5" t="s">
        <v>461</v>
      </c>
      <c r="N107" s="7" t="str">
        <f>HYPERLINK("C:\Users\alexa\YandexDisk\Книги\DevOps\Git\Git Pocket Guide by Richard E. Silverman.pdf","Git Pocket Guide by Richard E. Silverman.pdf")</f>
        <v>Git Pocket Guide by Richard E. Silverman.pdf</v>
      </c>
      <c r="O107" s="5" t="s">
        <v>478</v>
      </c>
    </row>
    <row r="108" spans="1:15" ht="151.80000000000001" x14ac:dyDescent="0.3">
      <c r="A108" s="2">
        <v>107</v>
      </c>
      <c r="B108" s="3" t="s">
        <v>479</v>
      </c>
      <c r="C108" s="3" t="s">
        <v>480</v>
      </c>
      <c r="D108" s="3" t="s">
        <v>114</v>
      </c>
      <c r="E108" s="3" t="s">
        <v>18</v>
      </c>
      <c r="F108" s="3" t="s">
        <v>458</v>
      </c>
      <c r="G108" s="3" t="s">
        <v>198</v>
      </c>
      <c r="H108" s="3" t="s">
        <v>459</v>
      </c>
      <c r="I108" s="3" t="s">
        <v>20</v>
      </c>
      <c r="J108" s="3">
        <v>42.42</v>
      </c>
      <c r="K108" s="3" t="s">
        <v>21</v>
      </c>
      <c r="L108" s="3" t="s">
        <v>481</v>
      </c>
      <c r="M108" s="3" t="s">
        <v>461</v>
      </c>
      <c r="N108" s="6" t="str">
        <f>HYPERLINK("C:\Users\alexa\YandexDisk\Книги\DevOps\Git\Git для профессионального программиста.pdf","Git для профессионального программиста.pdf")</f>
        <v>Git для профессионального программиста.pdf</v>
      </c>
      <c r="O108" s="3" t="s">
        <v>482</v>
      </c>
    </row>
    <row r="109" spans="1:15" ht="138" x14ac:dyDescent="0.3">
      <c r="A109" s="4">
        <v>108</v>
      </c>
      <c r="B109" s="5" t="s">
        <v>483</v>
      </c>
      <c r="C109" s="5" t="s">
        <v>484</v>
      </c>
      <c r="D109" s="5" t="s">
        <v>17</v>
      </c>
      <c r="E109" s="5" t="s">
        <v>485</v>
      </c>
      <c r="F109" s="5" t="s">
        <v>458</v>
      </c>
      <c r="G109" s="5" t="s">
        <v>198</v>
      </c>
      <c r="H109" s="5" t="s">
        <v>459</v>
      </c>
      <c r="I109" s="5" t="s">
        <v>20</v>
      </c>
      <c r="J109" s="5">
        <v>68.55</v>
      </c>
      <c r="K109" s="5" t="s">
        <v>21</v>
      </c>
      <c r="L109" s="5" t="s">
        <v>486</v>
      </c>
      <c r="M109" s="5" t="s">
        <v>461</v>
      </c>
      <c r="N109" s="7" t="str">
        <f>HYPERLINK("C:\Users\alexa\YandexDisk\Книги\DevOps\Git\Git. Практическое руководство 2021.pdf","Git. Практическое руководство 2021.pdf")</f>
        <v>Git. Практическое руководство 2021.pdf</v>
      </c>
      <c r="O109" s="5" t="s">
        <v>487</v>
      </c>
    </row>
    <row r="110" spans="1:15" ht="138" x14ac:dyDescent="0.3">
      <c r="A110" s="2">
        <v>109</v>
      </c>
      <c r="B110" s="3" t="s">
        <v>488</v>
      </c>
      <c r="C110" s="3" t="s">
        <v>489</v>
      </c>
      <c r="D110" s="3" t="s">
        <v>77</v>
      </c>
      <c r="E110" s="3"/>
      <c r="F110" s="3" t="s">
        <v>458</v>
      </c>
      <c r="G110" s="3" t="s">
        <v>198</v>
      </c>
      <c r="H110" s="3" t="s">
        <v>459</v>
      </c>
      <c r="I110" s="3" t="s">
        <v>20</v>
      </c>
      <c r="J110" s="3">
        <v>50.69</v>
      </c>
      <c r="K110" s="3" t="s">
        <v>21</v>
      </c>
      <c r="L110" s="3" t="s">
        <v>490</v>
      </c>
      <c r="M110" s="3" t="s">
        <v>461</v>
      </c>
      <c r="N110" s="6" t="str">
        <f>HYPERLINK("C:\Users\alexa\YandexDisk\Книги\DevOps\Git\GitHub_for_Dummies_2019.pdf","GitHub_for_Dummies_2019.pdf")</f>
        <v>GitHub_for_Dummies_2019.pdf</v>
      </c>
      <c r="O110" s="3" t="s">
        <v>491</v>
      </c>
    </row>
    <row r="111" spans="1:15" ht="193.2" x14ac:dyDescent="0.3">
      <c r="A111" s="4">
        <v>110</v>
      </c>
      <c r="B111" s="5" t="s">
        <v>492</v>
      </c>
      <c r="C111" s="5" t="s">
        <v>493</v>
      </c>
      <c r="D111" s="5" t="s">
        <v>109</v>
      </c>
      <c r="E111" s="5" t="s">
        <v>336</v>
      </c>
      <c r="F111" s="5" t="s">
        <v>458</v>
      </c>
      <c r="G111" s="5" t="s">
        <v>198</v>
      </c>
      <c r="H111" s="5" t="s">
        <v>459</v>
      </c>
      <c r="I111" s="5" t="s">
        <v>280</v>
      </c>
      <c r="J111" s="5">
        <v>12</v>
      </c>
      <c r="K111" s="5" t="s">
        <v>21</v>
      </c>
      <c r="L111" s="5" t="s">
        <v>494</v>
      </c>
      <c r="M111" s="5" t="s">
        <v>461</v>
      </c>
      <c r="N111" s="7" t="str">
        <f>HYPERLINK("C:\Users\alexa\YandexDisk\Книги\DevOps\Git\Git__контроль_версий.epub","Git__контроль_версий.epub")</f>
        <v>Git__контроль_версий.epub</v>
      </c>
      <c r="O111" s="5" t="s">
        <v>495</v>
      </c>
    </row>
    <row r="112" spans="1:15" ht="193.2" x14ac:dyDescent="0.3">
      <c r="A112" s="2">
        <v>111</v>
      </c>
      <c r="B112" s="3" t="s">
        <v>496</v>
      </c>
      <c r="C112" s="3" t="s">
        <v>497</v>
      </c>
      <c r="D112" s="3" t="s">
        <v>335</v>
      </c>
      <c r="E112" s="3" t="s">
        <v>336</v>
      </c>
      <c r="F112" s="3" t="s">
        <v>458</v>
      </c>
      <c r="G112" s="3" t="s">
        <v>198</v>
      </c>
      <c r="H112" s="3" t="s">
        <v>459</v>
      </c>
      <c r="I112" s="3" t="s">
        <v>20</v>
      </c>
      <c r="J112" s="3">
        <v>10.06</v>
      </c>
      <c r="K112" s="3" t="s">
        <v>21</v>
      </c>
      <c r="L112" s="3" t="s">
        <v>498</v>
      </c>
      <c r="M112" s="3" t="s">
        <v>461</v>
      </c>
      <c r="N112" s="6" t="str">
        <f>HYPERLINK("C:\Users\alexa\YandexDisk\Книги\DevOps\Git\Git__контроль_версий.pdf","Git__контроль_версий.pdf")</f>
        <v>Git__контроль_версий.pdf</v>
      </c>
      <c r="O112" s="3" t="s">
        <v>499</v>
      </c>
    </row>
    <row r="113" spans="1:15" ht="207" x14ac:dyDescent="0.3">
      <c r="A113" s="4">
        <v>112</v>
      </c>
      <c r="B113" s="5" t="s">
        <v>500</v>
      </c>
      <c r="C113" s="5" t="s">
        <v>501</v>
      </c>
      <c r="D113" s="5" t="s">
        <v>71</v>
      </c>
      <c r="E113" s="5" t="s">
        <v>442</v>
      </c>
      <c r="F113" s="5" t="s">
        <v>458</v>
      </c>
      <c r="G113" s="5" t="s">
        <v>198</v>
      </c>
      <c r="H113" s="5" t="s">
        <v>459</v>
      </c>
      <c r="I113" s="5" t="s">
        <v>20</v>
      </c>
      <c r="J113" s="5">
        <v>45.96</v>
      </c>
      <c r="K113" s="5" t="s">
        <v>21</v>
      </c>
      <c r="L113" s="5" t="s">
        <v>502</v>
      </c>
      <c r="M113" s="5" t="s">
        <v>461</v>
      </c>
      <c r="N113" s="7" t="str">
        <f>HYPERLINK("C:\Users\alexa\YandexDisk\Книги\DevOps\Git\Head First Git (Final Release) 2022.pdf","Head First Git (Final Release) 2022.pdf")</f>
        <v>Head First Git (Final Release) 2022.pdf</v>
      </c>
      <c r="O113" s="5" t="s">
        <v>503</v>
      </c>
    </row>
    <row r="114" spans="1:15" ht="193.2" x14ac:dyDescent="0.3">
      <c r="A114" s="2">
        <v>113</v>
      </c>
      <c r="B114" s="3" t="s">
        <v>500</v>
      </c>
      <c r="C114" s="3" t="s">
        <v>501</v>
      </c>
      <c r="D114" s="3"/>
      <c r="E114" s="3"/>
      <c r="F114" s="3" t="s">
        <v>458</v>
      </c>
      <c r="G114" s="3" t="s">
        <v>198</v>
      </c>
      <c r="H114" s="3" t="s">
        <v>459</v>
      </c>
      <c r="I114" s="3" t="s">
        <v>280</v>
      </c>
      <c r="J114" s="3">
        <v>51.89</v>
      </c>
      <c r="K114" s="3" t="s">
        <v>21</v>
      </c>
      <c r="L114" s="3" t="s">
        <v>504</v>
      </c>
      <c r="M114" s="3" t="s">
        <v>461</v>
      </c>
      <c r="N114" s="6" t="str">
        <f>HYPERLINK("C:\Users\alexa\YandexDisk\Книги\DevOps\Git\Head First Git.epub","Head First Git.epub")</f>
        <v>Head First Git.epub</v>
      </c>
      <c r="O114" s="3" t="s">
        <v>505</v>
      </c>
    </row>
    <row r="115" spans="1:15" ht="151.80000000000001" x14ac:dyDescent="0.3">
      <c r="A115" s="4">
        <v>114</v>
      </c>
      <c r="B115" s="5" t="s">
        <v>506</v>
      </c>
      <c r="C115" s="5"/>
      <c r="D115" s="5"/>
      <c r="E115" s="5"/>
      <c r="F115" s="5" t="s">
        <v>458</v>
      </c>
      <c r="G115" s="5" t="s">
        <v>198</v>
      </c>
      <c r="H115" s="5" t="s">
        <v>459</v>
      </c>
      <c r="I115" s="5" t="s">
        <v>20</v>
      </c>
      <c r="J115" s="5">
        <v>127.79</v>
      </c>
      <c r="K115" s="5" t="s">
        <v>21</v>
      </c>
      <c r="L115" s="5" t="s">
        <v>507</v>
      </c>
      <c r="M115" s="5" t="s">
        <v>461</v>
      </c>
      <c r="N115" s="7" t="str">
        <f>HYPERLINK("C:\Users\alexa\YandexDisk\Книги\DevOps\Git\Head First. Git. Лучший способ понять Git изнутри.pdf","Head First. Git. Лучший способ понять Git изнутри.pdf")</f>
        <v>Head First. Git. Лучший способ понять Git изнутри.pdf</v>
      </c>
      <c r="O115" s="5" t="s">
        <v>508</v>
      </c>
    </row>
    <row r="116" spans="1:15" ht="138" x14ac:dyDescent="0.3">
      <c r="A116" s="2">
        <v>115</v>
      </c>
      <c r="B116" s="3" t="s">
        <v>509</v>
      </c>
      <c r="C116" s="3" t="s">
        <v>510</v>
      </c>
      <c r="D116" s="3" t="s">
        <v>17</v>
      </c>
      <c r="E116" s="3"/>
      <c r="F116" s="3" t="s">
        <v>458</v>
      </c>
      <c r="G116" s="3" t="s">
        <v>198</v>
      </c>
      <c r="H116" s="3" t="s">
        <v>459</v>
      </c>
      <c r="I116" s="3" t="s">
        <v>20</v>
      </c>
      <c r="J116" s="3">
        <v>13.91</v>
      </c>
      <c r="K116" s="3" t="s">
        <v>21</v>
      </c>
      <c r="L116" s="3" t="s">
        <v>511</v>
      </c>
      <c r="M116" s="3" t="s">
        <v>461</v>
      </c>
      <c r="N116" s="6" t="str">
        <f>HYPERLINK("C:\Users\alexa\YandexDisk\Книги\DevOps\Git\Pro Git 2021.pdf","Pro Git 2021.pdf")</f>
        <v>Pro Git 2021.pdf</v>
      </c>
      <c r="O116" s="3" t="s">
        <v>512</v>
      </c>
    </row>
    <row r="117" spans="1:15" ht="165.6" x14ac:dyDescent="0.3">
      <c r="A117" s="4">
        <v>116</v>
      </c>
      <c r="B117" s="5" t="s">
        <v>513</v>
      </c>
      <c r="C117" s="5" t="s">
        <v>514</v>
      </c>
      <c r="D117" s="5" t="s">
        <v>109</v>
      </c>
      <c r="E117" s="5" t="s">
        <v>515</v>
      </c>
      <c r="F117" s="5" t="s">
        <v>458</v>
      </c>
      <c r="G117" s="5" t="s">
        <v>198</v>
      </c>
      <c r="H117" s="5" t="s">
        <v>459</v>
      </c>
      <c r="I117" s="5" t="s">
        <v>20</v>
      </c>
      <c r="J117" s="5">
        <v>28.91</v>
      </c>
      <c r="K117" s="5" t="s">
        <v>21</v>
      </c>
      <c r="L117" s="5" t="s">
        <v>516</v>
      </c>
      <c r="M117" s="5" t="s">
        <v>461</v>
      </c>
      <c r="N117" s="7" t="str">
        <f>HYPERLINK("C:\Users\alexa\YandexDisk\Книги\DevOps\Git\Изучаем Git.pdf","Изучаем Git.pdf")</f>
        <v>Изучаем Git.pdf</v>
      </c>
      <c r="O117" s="5" t="s">
        <v>517</v>
      </c>
    </row>
    <row r="118" spans="1:15" ht="41.4" x14ac:dyDescent="0.3">
      <c r="A118" s="2">
        <v>117</v>
      </c>
      <c r="B118" s="3" t="s">
        <v>518</v>
      </c>
      <c r="C118" s="3"/>
      <c r="D118" s="3" t="s">
        <v>17</v>
      </c>
      <c r="E118" s="3"/>
      <c r="F118" s="3" t="s">
        <v>458</v>
      </c>
      <c r="G118" s="3" t="s">
        <v>198</v>
      </c>
      <c r="H118" s="3" t="s">
        <v>459</v>
      </c>
      <c r="I118" s="3" t="s">
        <v>519</v>
      </c>
      <c r="J118" s="3">
        <v>314.11</v>
      </c>
      <c r="K118" s="3" t="s">
        <v>21</v>
      </c>
      <c r="L118" s="3" t="s">
        <v>520</v>
      </c>
      <c r="M118" s="3" t="s">
        <v>461</v>
      </c>
      <c r="N118" s="6" t="str">
        <f>HYPERLINK("C:\Users\alexa\YandexDisk\Книги\DevOps\Git\Курс - Основы работы с Git (2021).zip","Курс - Основы работы с Git (2021).zip")</f>
        <v>Курс - Основы работы с Git (2021).zip</v>
      </c>
      <c r="O118" s="3" t="s">
        <v>521</v>
      </c>
    </row>
    <row r="119" spans="1:15" ht="234.6" x14ac:dyDescent="0.3">
      <c r="A119" s="4">
        <v>118</v>
      </c>
      <c r="B119" s="5" t="s">
        <v>522</v>
      </c>
      <c r="C119" s="5" t="s">
        <v>514</v>
      </c>
      <c r="D119" s="5" t="s">
        <v>27</v>
      </c>
      <c r="E119" s="5" t="s">
        <v>260</v>
      </c>
      <c r="F119" s="5" t="s">
        <v>458</v>
      </c>
      <c r="G119" s="5" t="s">
        <v>198</v>
      </c>
      <c r="H119" s="5" t="s">
        <v>459</v>
      </c>
      <c r="I119" s="5" t="s">
        <v>20</v>
      </c>
      <c r="J119" s="5">
        <v>10.63</v>
      </c>
      <c r="K119" s="5" t="s">
        <v>21</v>
      </c>
      <c r="L119" s="5" t="s">
        <v>523</v>
      </c>
      <c r="M119" s="5" t="s">
        <v>461</v>
      </c>
      <c r="N119" s="7" t="str">
        <f>HYPERLINK("C:\Users\alexa\YandexDisk\Книги\DevOps\Git\практическое и наглядное руководство по основам Git.pdf","практическое и наглядное руководство по основам Git.pdf")</f>
        <v>практическое и наглядное руководство по основам Git.pdf</v>
      </c>
      <c r="O119" s="5" t="s">
        <v>524</v>
      </c>
    </row>
    <row r="120" spans="1:15" ht="193.2" x14ac:dyDescent="0.3">
      <c r="A120" s="2">
        <v>119</v>
      </c>
      <c r="B120" s="3" t="s">
        <v>509</v>
      </c>
      <c r="C120" s="3" t="s">
        <v>510</v>
      </c>
      <c r="D120" s="3" t="s">
        <v>59</v>
      </c>
      <c r="E120" s="3"/>
      <c r="F120" s="3" t="s">
        <v>458</v>
      </c>
      <c r="G120" s="3" t="s">
        <v>198</v>
      </c>
      <c r="H120" s="3" t="s">
        <v>459</v>
      </c>
      <c r="I120" s="3" t="s">
        <v>20</v>
      </c>
      <c r="J120" s="3">
        <v>12.03</v>
      </c>
      <c r="K120" s="3" t="s">
        <v>21</v>
      </c>
      <c r="L120" s="3" t="s">
        <v>525</v>
      </c>
      <c r="M120" s="3" t="s">
        <v>461</v>
      </c>
      <c r="N120" s="6" t="str">
        <f>HYPERLINK("C:\Users\alexa\YandexDisk\Книги\DevOps\Git\Про Git.pdf","Про Git.pdf")</f>
        <v>Про Git.pdf</v>
      </c>
      <c r="O120" s="3" t="s">
        <v>526</v>
      </c>
    </row>
    <row r="121" spans="1:15" ht="179.4" x14ac:dyDescent="0.3">
      <c r="A121" s="4">
        <v>120</v>
      </c>
      <c r="B121" s="5" t="s">
        <v>527</v>
      </c>
      <c r="C121" s="5"/>
      <c r="D121" s="5" t="s">
        <v>109</v>
      </c>
      <c r="E121" s="5" t="s">
        <v>528</v>
      </c>
      <c r="F121" s="5" t="s">
        <v>458</v>
      </c>
      <c r="G121" s="5" t="s">
        <v>198</v>
      </c>
      <c r="H121" s="5" t="s">
        <v>459</v>
      </c>
      <c r="I121" s="5" t="s">
        <v>20</v>
      </c>
      <c r="J121" s="5">
        <v>5.24</v>
      </c>
      <c r="K121" s="5" t="s">
        <v>21</v>
      </c>
      <c r="L121" s="5" t="s">
        <v>529</v>
      </c>
      <c r="M121" s="5" t="s">
        <v>461</v>
      </c>
      <c r="N121" s="7" t="str">
        <f>HYPERLINK("C:\Users\alexa\YandexDisk\Книги\DevOps\Git\Профессиональная работа с Git.pdf","Профессиональная работа с Git.pdf")</f>
        <v>Профессиональная работа с Git.pdf</v>
      </c>
      <c r="O121" s="5" t="s">
        <v>530</v>
      </c>
    </row>
    <row r="122" spans="1:15" ht="179.4" x14ac:dyDescent="0.3">
      <c r="A122" s="2">
        <v>121</v>
      </c>
      <c r="B122" s="3" t="s">
        <v>317</v>
      </c>
      <c r="C122" s="3" t="s">
        <v>318</v>
      </c>
      <c r="D122" s="3" t="s">
        <v>77</v>
      </c>
      <c r="E122" s="3" t="s">
        <v>102</v>
      </c>
      <c r="F122" s="3" t="s">
        <v>325</v>
      </c>
      <c r="G122" s="3" t="s">
        <v>198</v>
      </c>
      <c r="H122" s="3" t="s">
        <v>326</v>
      </c>
      <c r="I122" s="3" t="s">
        <v>20</v>
      </c>
      <c r="J122" s="3">
        <v>44.35</v>
      </c>
      <c r="K122" s="3" t="s">
        <v>21</v>
      </c>
      <c r="L122" s="3" t="s">
        <v>531</v>
      </c>
      <c r="M122" s="3" t="s">
        <v>532</v>
      </c>
      <c r="N122" s="6" t="str">
        <f>HYPERLINK("C:\Users\alexa\YandexDisk\Книги\DevOps\Jenkins\Jenkins2_DevOps-Приступаем_к_работе_2019.pdf","Jenkins2_DevOps-Приступаем_к_работе_2019.pdf")</f>
        <v>Jenkins2_DevOps-Приступаем_к_работе_2019.pdf</v>
      </c>
      <c r="O122" s="3" t="s">
        <v>533</v>
      </c>
    </row>
    <row r="123" spans="1:15" ht="193.2" x14ac:dyDescent="0.3">
      <c r="A123" s="4">
        <v>122</v>
      </c>
      <c r="B123" s="5" t="s">
        <v>534</v>
      </c>
      <c r="C123" s="5" t="s">
        <v>535</v>
      </c>
      <c r="D123" s="5" t="s">
        <v>71</v>
      </c>
      <c r="E123" s="5" t="s">
        <v>536</v>
      </c>
      <c r="F123" s="5" t="s">
        <v>426</v>
      </c>
      <c r="G123" s="5" t="s">
        <v>198</v>
      </c>
      <c r="H123" s="5" t="s">
        <v>427</v>
      </c>
      <c r="I123" s="5" t="s">
        <v>20</v>
      </c>
      <c r="J123" s="5">
        <v>12.09</v>
      </c>
      <c r="K123" s="5" t="s">
        <v>21</v>
      </c>
      <c r="L123" s="5" t="s">
        <v>537</v>
      </c>
      <c r="M123" s="5" t="s">
        <v>538</v>
      </c>
      <c r="N123" s="7" t="str">
        <f>HYPERLINK("C:\Users\alexa\YandexDisk\Книги\DevOps\Kubernetes\Continuous Delivery for Kubernetes 2022.pdf","Continuous Delivery for Kubernetes 2022.pdf")</f>
        <v>Continuous Delivery for Kubernetes 2022.pdf</v>
      </c>
      <c r="O123" s="5" t="s">
        <v>539</v>
      </c>
    </row>
    <row r="124" spans="1:15" ht="193.2" x14ac:dyDescent="0.3">
      <c r="A124" s="2">
        <v>123</v>
      </c>
      <c r="B124" s="3" t="s">
        <v>540</v>
      </c>
      <c r="C124" s="3" t="s">
        <v>541</v>
      </c>
      <c r="D124" s="3" t="s">
        <v>71</v>
      </c>
      <c r="E124" s="3" t="s">
        <v>536</v>
      </c>
      <c r="F124" s="3" t="s">
        <v>426</v>
      </c>
      <c r="G124" s="3" t="s">
        <v>198</v>
      </c>
      <c r="H124" s="3" t="s">
        <v>427</v>
      </c>
      <c r="I124" s="3" t="s">
        <v>20</v>
      </c>
      <c r="J124" s="3">
        <v>5.01</v>
      </c>
      <c r="K124" s="3" t="s">
        <v>21</v>
      </c>
      <c r="L124" s="3" t="s">
        <v>542</v>
      </c>
      <c r="M124" s="3" t="s">
        <v>538</v>
      </c>
      <c r="N124" s="6" t="str">
        <f>HYPERLINK("C:\Users\alexa\YandexDisk\Книги\DevOps\Kubernetes\Core Kubernetes 2022.pdf","Core Kubernetes 2022.pdf")</f>
        <v>Core Kubernetes 2022.pdf</v>
      </c>
      <c r="O124" s="3" t="s">
        <v>543</v>
      </c>
    </row>
    <row r="125" spans="1:15" ht="220.8" x14ac:dyDescent="0.3">
      <c r="A125" s="4">
        <v>124</v>
      </c>
      <c r="B125" s="5" t="s">
        <v>544</v>
      </c>
      <c r="C125" s="5" t="s">
        <v>545</v>
      </c>
      <c r="D125" s="5" t="s">
        <v>59</v>
      </c>
      <c r="E125" s="5" t="s">
        <v>102</v>
      </c>
      <c r="F125" s="5" t="s">
        <v>426</v>
      </c>
      <c r="G125" s="5" t="s">
        <v>198</v>
      </c>
      <c r="H125" s="5" t="s">
        <v>427</v>
      </c>
      <c r="I125" s="5" t="s">
        <v>20</v>
      </c>
      <c r="J125" s="5">
        <v>4.3899999999999997</v>
      </c>
      <c r="K125" s="5" t="s">
        <v>21</v>
      </c>
      <c r="L125" s="5" t="s">
        <v>546</v>
      </c>
      <c r="M125" s="5" t="s">
        <v>538</v>
      </c>
      <c r="N125" s="7" t="str">
        <f>HYPERLINK("C:\Users\alexa\YandexDisk\Книги\DevOps\Kubernetes\Istio_приступаем_к_работе_2020_Ли_Калькот,_Зак_Бутчер.pdf","Istio_приступаем_к_работе_2020_Ли_Калькот,_Зак_Бутчер.pdf")</f>
        <v>Istio_приступаем_к_работе_2020_Ли_Калькот,_Зак_Бутчер.pdf</v>
      </c>
      <c r="O125" s="5" t="s">
        <v>547</v>
      </c>
    </row>
    <row r="126" spans="1:15" ht="207" x14ac:dyDescent="0.3">
      <c r="A126" s="2">
        <v>125</v>
      </c>
      <c r="B126" s="3" t="s">
        <v>548</v>
      </c>
      <c r="C126" s="3" t="s">
        <v>549</v>
      </c>
      <c r="D126" s="3" t="s">
        <v>71</v>
      </c>
      <c r="E126" s="3" t="s">
        <v>536</v>
      </c>
      <c r="F126" s="3" t="s">
        <v>426</v>
      </c>
      <c r="G126" s="3" t="s">
        <v>198</v>
      </c>
      <c r="H126" s="3" t="s">
        <v>427</v>
      </c>
      <c r="I126" s="3" t="s">
        <v>20</v>
      </c>
      <c r="J126" s="3">
        <v>7.59</v>
      </c>
      <c r="K126" s="3" t="s">
        <v>21</v>
      </c>
      <c r="L126" s="3" t="s">
        <v>550</v>
      </c>
      <c r="M126" s="3" t="s">
        <v>538</v>
      </c>
      <c r="N126" s="6" t="str">
        <f>HYPERLINK("C:\Users\alexa\YandexDisk\Книги\DevOps\Kubernetes\Kubernetes for Developers 2022.pdf","Kubernetes for Developers 2022.pdf")</f>
        <v>Kubernetes for Developers 2022.pdf</v>
      </c>
      <c r="O126" s="3" t="s">
        <v>551</v>
      </c>
    </row>
    <row r="127" spans="1:15" ht="207" x14ac:dyDescent="0.3">
      <c r="A127" s="4">
        <v>126</v>
      </c>
      <c r="B127" s="5" t="s">
        <v>552</v>
      </c>
      <c r="C127" s="5" t="s">
        <v>536</v>
      </c>
      <c r="D127" s="5" t="s">
        <v>71</v>
      </c>
      <c r="E127" s="5" t="s">
        <v>536</v>
      </c>
      <c r="F127" s="5" t="s">
        <v>426</v>
      </c>
      <c r="G127" s="5" t="s">
        <v>198</v>
      </c>
      <c r="H127" s="5" t="s">
        <v>427</v>
      </c>
      <c r="I127" s="5" t="s">
        <v>20</v>
      </c>
      <c r="J127" s="5">
        <v>13.7</v>
      </c>
      <c r="K127" s="5" t="s">
        <v>21</v>
      </c>
      <c r="L127" s="5" t="s">
        <v>553</v>
      </c>
      <c r="M127" s="5" t="s">
        <v>538</v>
      </c>
      <c r="N127" s="7" t="str">
        <f>HYPERLINK("C:\Users\alexa\YandexDisk\Книги\DevOps\Kubernetes\Kubernetes in Action, Second Edition MEAP V14.pdf","Kubernetes in Action, Second Edition MEAP V14.pdf")</f>
        <v>Kubernetes in Action, Second Edition MEAP V14.pdf</v>
      </c>
      <c r="O127" s="5" t="s">
        <v>554</v>
      </c>
    </row>
    <row r="128" spans="1:15" ht="193.2" x14ac:dyDescent="0.3">
      <c r="A128" s="2">
        <v>127</v>
      </c>
      <c r="B128" s="3" t="s">
        <v>555</v>
      </c>
      <c r="C128" s="3" t="s">
        <v>556</v>
      </c>
      <c r="D128" s="3"/>
      <c r="E128" s="3" t="s">
        <v>557</v>
      </c>
      <c r="F128" s="3" t="s">
        <v>426</v>
      </c>
      <c r="G128" s="3" t="s">
        <v>198</v>
      </c>
      <c r="H128" s="3" t="s">
        <v>427</v>
      </c>
      <c r="I128" s="3" t="s">
        <v>20</v>
      </c>
      <c r="J128" s="3">
        <v>13.17</v>
      </c>
      <c r="K128" s="3" t="s">
        <v>21</v>
      </c>
      <c r="L128" s="3" t="s">
        <v>558</v>
      </c>
      <c r="M128" s="3" t="s">
        <v>538</v>
      </c>
      <c r="N128" s="6" t="str">
        <f>HYPERLINK("C:\Users\alexa\YandexDisk\Книги\DevOps\Kubernetes\Kubernetes in Action_2Ed_Final.pdf","Kubernetes in Action_2Ed_Final.pdf")</f>
        <v>Kubernetes in Action_2Ed_Final.pdf</v>
      </c>
      <c r="O128" s="3" t="s">
        <v>559</v>
      </c>
    </row>
    <row r="129" spans="1:15" ht="179.4" x14ac:dyDescent="0.3">
      <c r="A129" s="4">
        <v>128</v>
      </c>
      <c r="B129" s="5" t="s">
        <v>560</v>
      </c>
      <c r="C129" s="5"/>
      <c r="D129" s="5"/>
      <c r="E129" s="5"/>
      <c r="F129" s="5" t="s">
        <v>426</v>
      </c>
      <c r="G129" s="5" t="s">
        <v>198</v>
      </c>
      <c r="H129" s="5" t="s">
        <v>427</v>
      </c>
      <c r="I129" s="5" t="s">
        <v>20</v>
      </c>
      <c r="J129" s="5">
        <v>9.2799999999999994</v>
      </c>
      <c r="K129" s="5" t="s">
        <v>21</v>
      </c>
      <c r="L129" s="5" t="s">
        <v>561</v>
      </c>
      <c r="M129" s="5" t="s">
        <v>538</v>
      </c>
      <c r="N129" s="7" t="str">
        <f>HYPERLINK("C:\Users\alexa\YandexDisk\Книги\DevOps\Kubernetes\Kubernetes в действии.pdf","Kubernetes в действии.pdf")</f>
        <v>Kubernetes в действии.pdf</v>
      </c>
      <c r="O129" s="5" t="s">
        <v>562</v>
      </c>
    </row>
    <row r="130" spans="1:15" ht="179.4" x14ac:dyDescent="0.3">
      <c r="A130" s="2">
        <v>129</v>
      </c>
      <c r="B130" s="3" t="s">
        <v>563</v>
      </c>
      <c r="C130" s="3" t="s">
        <v>564</v>
      </c>
      <c r="D130" s="3" t="s">
        <v>59</v>
      </c>
      <c r="E130" s="3" t="s">
        <v>187</v>
      </c>
      <c r="F130" s="3" t="s">
        <v>426</v>
      </c>
      <c r="G130" s="3" t="s">
        <v>198</v>
      </c>
      <c r="H130" s="3" t="s">
        <v>427</v>
      </c>
      <c r="I130" s="3" t="s">
        <v>20</v>
      </c>
      <c r="J130" s="3">
        <v>7.49</v>
      </c>
      <c r="K130" s="3" t="s">
        <v>21</v>
      </c>
      <c r="L130" s="3" t="s">
        <v>565</v>
      </c>
      <c r="M130" s="3" t="s">
        <v>538</v>
      </c>
      <c r="N130" s="6" t="str">
        <f>HYPERLINK("C:\Users\alexa\YandexDisk\Книги\DevOps\Kubernetes\Kubernetes для DevOps (2020).pdf","Kubernetes для DevOps (2020).pdf")</f>
        <v>Kubernetes для DevOps (2020).pdf</v>
      </c>
      <c r="O130" s="3" t="s">
        <v>566</v>
      </c>
    </row>
    <row r="131" spans="1:15" ht="193.2" x14ac:dyDescent="0.3">
      <c r="A131" s="4">
        <v>130</v>
      </c>
      <c r="B131" s="5" t="s">
        <v>567</v>
      </c>
      <c r="C131" s="5" t="s">
        <v>568</v>
      </c>
      <c r="D131" s="5" t="s">
        <v>335</v>
      </c>
      <c r="E131" s="5" t="s">
        <v>18</v>
      </c>
      <c r="F131" s="5" t="s">
        <v>426</v>
      </c>
      <c r="G131" s="5" t="s">
        <v>198</v>
      </c>
      <c r="H131" s="5" t="s">
        <v>427</v>
      </c>
      <c r="I131" s="5" t="s">
        <v>20</v>
      </c>
      <c r="J131" s="5">
        <v>9.33</v>
      </c>
      <c r="K131" s="5" t="s">
        <v>21</v>
      </c>
      <c r="L131" s="5" t="s">
        <v>569</v>
      </c>
      <c r="M131" s="5" t="s">
        <v>538</v>
      </c>
      <c r="N131" s="7" t="str">
        <f>HYPERLINK("C:\Users\alexa\YandexDisk\Книги\DevOps\Kubernetes\Kubernetes для разработчиков.pdf","Kubernetes для разработчиков.pdf")</f>
        <v>Kubernetes для разработчиков.pdf</v>
      </c>
      <c r="O131" s="5" t="s">
        <v>570</v>
      </c>
    </row>
    <row r="132" spans="1:15" ht="179.4" x14ac:dyDescent="0.3">
      <c r="A132" s="2">
        <v>131</v>
      </c>
      <c r="B132" s="3" t="s">
        <v>571</v>
      </c>
      <c r="C132" s="3" t="s">
        <v>572</v>
      </c>
      <c r="D132" s="3" t="s">
        <v>27</v>
      </c>
      <c r="E132" s="3"/>
      <c r="F132" s="3" t="s">
        <v>426</v>
      </c>
      <c r="G132" s="3" t="s">
        <v>198</v>
      </c>
      <c r="H132" s="3" t="s">
        <v>427</v>
      </c>
      <c r="I132" s="3" t="s">
        <v>20</v>
      </c>
      <c r="J132" s="3">
        <v>11.8</v>
      </c>
      <c r="K132" s="3" t="s">
        <v>21</v>
      </c>
      <c r="L132" s="3" t="s">
        <v>573</v>
      </c>
      <c r="M132" s="3" t="s">
        <v>538</v>
      </c>
      <c r="N132" s="6" t="str">
        <f>HYPERLINK("C:\Users\alexa\YandexDisk\Книги\DevOps\Kubernetes\Kubernetes изнутри.pdf","Kubernetes изнутри.pdf")</f>
        <v>Kubernetes изнутри.pdf</v>
      </c>
      <c r="O132" s="3" t="s">
        <v>574</v>
      </c>
    </row>
    <row r="133" spans="1:15" ht="179.4" x14ac:dyDescent="0.3">
      <c r="A133" s="4">
        <v>132</v>
      </c>
      <c r="B133" s="5" t="s">
        <v>575</v>
      </c>
      <c r="C133" s="5"/>
      <c r="D133" s="5"/>
      <c r="E133" s="5"/>
      <c r="F133" s="5" t="s">
        <v>426</v>
      </c>
      <c r="G133" s="5" t="s">
        <v>198</v>
      </c>
      <c r="H133" s="5" t="s">
        <v>427</v>
      </c>
      <c r="I133" s="5" t="s">
        <v>280</v>
      </c>
      <c r="J133" s="5">
        <v>2.63</v>
      </c>
      <c r="K133" s="5" t="s">
        <v>21</v>
      </c>
      <c r="L133" s="5" t="s">
        <v>576</v>
      </c>
      <c r="M133" s="5" t="s">
        <v>538</v>
      </c>
      <c r="N133" s="7" t="str">
        <f>HYPERLINK("C:\Users\alexa\YandexDisk\Книги\DevOps\Kubernetes\Kubernetes.Up.and.Running.3rd.Edition.epub","Kubernetes.Up.and.Running.3rd.Edition.epub")</f>
        <v>Kubernetes.Up.and.Running.3rd.Edition.epub</v>
      </c>
      <c r="O133" s="5" t="s">
        <v>577</v>
      </c>
    </row>
    <row r="134" spans="1:15" ht="165.6" x14ac:dyDescent="0.3">
      <c r="A134" s="2">
        <v>133</v>
      </c>
      <c r="B134" s="3" t="s">
        <v>571</v>
      </c>
      <c r="C134" s="3" t="s">
        <v>572</v>
      </c>
      <c r="D134" s="3" t="s">
        <v>27</v>
      </c>
      <c r="E134" s="3"/>
      <c r="F134" s="3" t="s">
        <v>426</v>
      </c>
      <c r="G134" s="3" t="s">
        <v>198</v>
      </c>
      <c r="H134" s="3" t="s">
        <v>427</v>
      </c>
      <c r="I134" s="3" t="s">
        <v>20</v>
      </c>
      <c r="J134" s="3">
        <v>11.8</v>
      </c>
      <c r="K134" s="3" t="s">
        <v>21</v>
      </c>
      <c r="L134" s="3" t="s">
        <v>578</v>
      </c>
      <c r="M134" s="3" t="s">
        <v>538</v>
      </c>
      <c r="N134" s="6" t="str">
        <f>HYPERLINK("C:\Users\alexa\YandexDisk\Книги\DevOps\Kubernetes\Kubernetes_изнутри_2023_Джей_Вьяс_Крис_Лав.pdf","Kubernetes_изнутри_2023_Джей_Вьяс_Крис_Лав.pdf")</f>
        <v>Kubernetes_изнутри_2023_Джей_Вьяс_Крис_Лав.pdf</v>
      </c>
      <c r="O134" s="3" t="s">
        <v>579</v>
      </c>
    </row>
    <row r="135" spans="1:15" ht="193.2" x14ac:dyDescent="0.3">
      <c r="A135" s="4">
        <v>134</v>
      </c>
      <c r="B135" s="5" t="s">
        <v>580</v>
      </c>
      <c r="C135" s="5" t="s">
        <v>581</v>
      </c>
      <c r="D135" s="5" t="s">
        <v>71</v>
      </c>
      <c r="E135" s="5" t="s">
        <v>582</v>
      </c>
      <c r="F135" s="5" t="s">
        <v>426</v>
      </c>
      <c r="G135" s="5" t="s">
        <v>198</v>
      </c>
      <c r="H135" s="5" t="s">
        <v>427</v>
      </c>
      <c r="I135" s="5" t="s">
        <v>20</v>
      </c>
      <c r="J135" s="5">
        <v>11.96</v>
      </c>
      <c r="K135" s="5" t="s">
        <v>21</v>
      </c>
      <c r="L135" s="5" t="s">
        <v>583</v>
      </c>
      <c r="M135" s="5" t="s">
        <v>538</v>
      </c>
      <c r="N135" s="7" t="str">
        <f>HYPERLINK("C:\Users\alexa\YandexDisk\Книги\DevOps\Kubernetes\NGINX Cookbook 2nd Edition.pdf","NGINX Cookbook 2nd Edition.pdf")</f>
        <v>NGINX Cookbook 2nd Edition.pdf</v>
      </c>
      <c r="O135" s="5" t="s">
        <v>584</v>
      </c>
    </row>
    <row r="136" spans="1:15" ht="193.2" x14ac:dyDescent="0.3">
      <c r="A136" s="2">
        <v>135</v>
      </c>
      <c r="B136" s="3" t="s">
        <v>585</v>
      </c>
      <c r="C136" s="3" t="s">
        <v>586</v>
      </c>
      <c r="D136" s="3"/>
      <c r="E136" s="3" t="s">
        <v>587</v>
      </c>
      <c r="F136" s="3" t="s">
        <v>426</v>
      </c>
      <c r="G136" s="3" t="s">
        <v>198</v>
      </c>
      <c r="H136" s="3" t="s">
        <v>427</v>
      </c>
      <c r="I136" s="3" t="s">
        <v>20</v>
      </c>
      <c r="J136" s="3">
        <v>5.94</v>
      </c>
      <c r="K136" s="3" t="s">
        <v>21</v>
      </c>
      <c r="L136" s="3" t="s">
        <v>588</v>
      </c>
      <c r="M136" s="3" t="s">
        <v>538</v>
      </c>
      <c r="N136" s="6" t="str">
        <f>HYPERLINK("C:\Users\alexa\YandexDisk\Книги\DevOps\Kubernetes\The_Book_of_Kubernetes_A_Complete_Guide_to_Container_Orchestra.pdf","The_Book_of_Kubernetes_A_Complete_Guide_to_Container_Orchestra.pdf")</f>
        <v>The_Book_of_Kubernetes_A_Complete_Guide_to_Container_Orchestra.pdf</v>
      </c>
      <c r="O136" s="3" t="s">
        <v>589</v>
      </c>
    </row>
    <row r="137" spans="1:15" ht="220.8" x14ac:dyDescent="0.3">
      <c r="A137" s="4">
        <v>136</v>
      </c>
      <c r="B137" s="5" t="s">
        <v>590</v>
      </c>
      <c r="C137" s="5" t="s">
        <v>591</v>
      </c>
      <c r="D137" s="5" t="s">
        <v>17</v>
      </c>
      <c r="E137" s="5" t="s">
        <v>442</v>
      </c>
      <c r="F137" s="5" t="s">
        <v>426</v>
      </c>
      <c r="G137" s="5" t="s">
        <v>198</v>
      </c>
      <c r="H137" s="5" t="s">
        <v>427</v>
      </c>
      <c r="I137" s="5" t="s">
        <v>20</v>
      </c>
      <c r="J137" s="5">
        <v>4.4800000000000004</v>
      </c>
      <c r="K137" s="5" t="s">
        <v>21</v>
      </c>
      <c r="L137" s="5" t="s">
        <v>592</v>
      </c>
      <c r="M137" s="5" t="s">
        <v>538</v>
      </c>
      <c r="N137" s="7" t="str">
        <f>HYPERLINK("C:\Users\alexa\YandexDisk\Книги\DevOps\Kubernetes\Бернс Kubernetes_Лучшие Практики.pdf","Бернс Kubernetes_Лучшие Практики.pdf")</f>
        <v>Бернс Kubernetes_Лучшие Практики.pdf</v>
      </c>
      <c r="O137" s="5" t="s">
        <v>593</v>
      </c>
    </row>
    <row r="138" spans="1:15" ht="193.2" x14ac:dyDescent="0.3">
      <c r="A138" s="2">
        <v>137</v>
      </c>
      <c r="B138" s="3" t="s">
        <v>594</v>
      </c>
      <c r="C138" s="3" t="s">
        <v>595</v>
      </c>
      <c r="D138" s="3" t="s">
        <v>77</v>
      </c>
      <c r="E138" s="3" t="s">
        <v>18</v>
      </c>
      <c r="F138" s="3" t="s">
        <v>426</v>
      </c>
      <c r="G138" s="3" t="s">
        <v>198</v>
      </c>
      <c r="H138" s="3" t="s">
        <v>427</v>
      </c>
      <c r="I138" s="3" t="s">
        <v>20</v>
      </c>
      <c r="J138" s="3">
        <v>9.31</v>
      </c>
      <c r="K138" s="3" t="s">
        <v>21</v>
      </c>
      <c r="L138" s="3" t="s">
        <v>596</v>
      </c>
      <c r="M138" s="3" t="s">
        <v>538</v>
      </c>
      <c r="N138" s="6" t="str">
        <f>HYPERLINK("C:\Users\alexa\YandexDisk\Книги\DevOps\Kubernetes\Осваиваем Kubernetes.pdf","Осваиваем Kubernetes.pdf")</f>
        <v>Осваиваем Kubernetes.pdf</v>
      </c>
      <c r="O138" s="3" t="s">
        <v>597</v>
      </c>
    </row>
    <row r="139" spans="1:15" ht="207" x14ac:dyDescent="0.3">
      <c r="A139" s="4">
        <v>138</v>
      </c>
      <c r="B139" s="5" t="s">
        <v>598</v>
      </c>
      <c r="C139" s="5" t="s">
        <v>599</v>
      </c>
      <c r="D139" s="5" t="s">
        <v>600</v>
      </c>
      <c r="E139" s="5" t="s">
        <v>336</v>
      </c>
      <c r="F139" s="5" t="s">
        <v>426</v>
      </c>
      <c r="G139" s="5" t="s">
        <v>198</v>
      </c>
      <c r="H139" s="5" t="s">
        <v>427</v>
      </c>
      <c r="I139" s="5" t="s">
        <v>20</v>
      </c>
      <c r="J139" s="5">
        <v>5.54</v>
      </c>
      <c r="K139" s="5" t="s">
        <v>21</v>
      </c>
      <c r="L139" s="5" t="s">
        <v>601</v>
      </c>
      <c r="M139" s="5" t="s">
        <v>538</v>
      </c>
      <c r="N139" s="7" t="str">
        <f>HYPERLINK("C:\Users\alexa\YandexDisk\Книги\DevOps\Kubernetes\Паттерны Kubernetes Шаблоны разработки облачных приложений. 2-е изд.pdf","Паттерны Kubernetes Шаблоны разработки облачных приложений. 2-е изд.pdf")</f>
        <v>Паттерны Kubernetes Шаблоны разработки облачных приложений. 2-е изд.pdf</v>
      </c>
      <c r="O139" s="5" t="s">
        <v>602</v>
      </c>
    </row>
    <row r="140" spans="1:15" ht="179.4" x14ac:dyDescent="0.3">
      <c r="A140" s="2">
        <v>139</v>
      </c>
      <c r="B140" s="3" t="s">
        <v>449</v>
      </c>
      <c r="C140" s="3" t="s">
        <v>450</v>
      </c>
      <c r="D140" s="3" t="s">
        <v>59</v>
      </c>
      <c r="E140" s="3" t="s">
        <v>296</v>
      </c>
      <c r="F140" s="3" t="s">
        <v>426</v>
      </c>
      <c r="G140" s="3" t="s">
        <v>198</v>
      </c>
      <c r="H140" s="3" t="s">
        <v>427</v>
      </c>
      <c r="I140" s="3" t="s">
        <v>20</v>
      </c>
      <c r="J140" s="3">
        <v>1.0900000000000001</v>
      </c>
      <c r="K140" s="3" t="s">
        <v>21</v>
      </c>
      <c r="L140" s="3" t="s">
        <v>603</v>
      </c>
      <c r="M140" s="3" t="s">
        <v>538</v>
      </c>
      <c r="N140" s="6" t="str">
        <f>HYPERLINK("C:\Users\alexa\YandexDisk\Книги\DevOps\Kubernetes\Программирование_Cloud_Native_Микросервисы,_Docker_и_Kubernetes.pdf","Программирование_Cloud_Native_Микросервисы,_Docker_и_Kubernetes.pdf")</f>
        <v>Программирование_Cloud_Native_Микросервисы,_Docker_и_Kubernetes.pdf</v>
      </c>
      <c r="O140" s="3" t="s">
        <v>604</v>
      </c>
    </row>
    <row r="141" spans="1:15" ht="207" x14ac:dyDescent="0.3">
      <c r="A141" s="4">
        <v>140</v>
      </c>
      <c r="B141" s="5" t="s">
        <v>605</v>
      </c>
      <c r="C141" s="5" t="s">
        <v>606</v>
      </c>
      <c r="D141" s="5" t="s">
        <v>114</v>
      </c>
      <c r="E141" s="5" t="s">
        <v>205</v>
      </c>
      <c r="F141" s="5" t="s">
        <v>313</v>
      </c>
      <c r="G141" s="5" t="s">
        <v>198</v>
      </c>
      <c r="H141" s="5" t="s">
        <v>314</v>
      </c>
      <c r="I141" s="5" t="s">
        <v>20</v>
      </c>
      <c r="J141" s="5">
        <v>10.64</v>
      </c>
      <c r="K141" s="5" t="s">
        <v>21</v>
      </c>
      <c r="L141" s="5" t="s">
        <v>607</v>
      </c>
      <c r="M141" s="5" t="s">
        <v>608</v>
      </c>
      <c r="N141" s="7" t="str">
        <f>HYPERLINK("C:\Users\alexa\YandexDisk\Книги\DevOps\Мониторинг\Zabbix_Практическое_руководство.pdf","Zabbix_Практическое_руководство.pdf")</f>
        <v>Zabbix_Практическое_руководство.pdf</v>
      </c>
      <c r="O141" s="5" t="s">
        <v>609</v>
      </c>
    </row>
    <row r="142" spans="1:15" ht="165.6" x14ac:dyDescent="0.3">
      <c r="A142" s="2">
        <v>141</v>
      </c>
      <c r="B142" s="3" t="s">
        <v>610</v>
      </c>
      <c r="C142" s="3" t="s">
        <v>611</v>
      </c>
      <c r="D142" s="3" t="s">
        <v>27</v>
      </c>
      <c r="E142" s="3" t="s">
        <v>612</v>
      </c>
      <c r="F142" s="3" t="s">
        <v>313</v>
      </c>
      <c r="G142" s="3" t="s">
        <v>198</v>
      </c>
      <c r="H142" s="3" t="s">
        <v>314</v>
      </c>
      <c r="I142" s="3" t="s">
        <v>20</v>
      </c>
      <c r="J142" s="3">
        <v>14.9</v>
      </c>
      <c r="K142" s="3" t="s">
        <v>21</v>
      </c>
      <c r="L142" s="3" t="s">
        <v>613</v>
      </c>
      <c r="M142" s="3" t="s">
        <v>608</v>
      </c>
      <c r="N142" s="6" t="str">
        <f>HYPERLINK("C:\Users\alexa\YandexDisk\Книги\DevOps\Мониторинг\Запускаем Prometheus.pdf","Запускаем Prometheus.pdf")</f>
        <v>Запускаем Prometheus.pdf</v>
      </c>
      <c r="O142" s="3" t="s">
        <v>614</v>
      </c>
    </row>
    <row r="143" spans="1:15" ht="165.6" x14ac:dyDescent="0.3">
      <c r="A143" s="4">
        <v>142</v>
      </c>
      <c r="B143" s="5" t="s">
        <v>615</v>
      </c>
      <c r="C143" s="5" t="s">
        <v>616</v>
      </c>
      <c r="D143" s="5" t="s">
        <v>109</v>
      </c>
      <c r="E143" s="5" t="s">
        <v>617</v>
      </c>
      <c r="F143" s="5" t="s">
        <v>197</v>
      </c>
      <c r="G143" s="5" t="s">
        <v>198</v>
      </c>
      <c r="H143" s="5" t="s">
        <v>199</v>
      </c>
      <c r="I143" s="5" t="s">
        <v>20</v>
      </c>
      <c r="J143" s="5">
        <v>1.99</v>
      </c>
      <c r="K143" s="5" t="s">
        <v>21</v>
      </c>
      <c r="L143" s="5" t="s">
        <v>618</v>
      </c>
      <c r="M143" s="5" t="s">
        <v>619</v>
      </c>
      <c r="N143" s="7" t="str">
        <f>HYPERLINK("C:\Users\alexa\YandexDisk\Книги\DevOps\Общие вопросы\DevOps for Software Engineers.pdf","DevOps for Software Engineers.pdf")</f>
        <v>DevOps for Software Engineers.pdf</v>
      </c>
      <c r="O143" s="5" t="s">
        <v>620</v>
      </c>
    </row>
    <row r="144" spans="1:15" ht="151.80000000000001" x14ac:dyDescent="0.3">
      <c r="A144" s="2">
        <v>143</v>
      </c>
      <c r="B144" s="3" t="s">
        <v>195</v>
      </c>
      <c r="C144" s="3" t="s">
        <v>196</v>
      </c>
      <c r="D144" s="3" t="s">
        <v>59</v>
      </c>
      <c r="E144" s="3" t="s">
        <v>102</v>
      </c>
      <c r="F144" s="3" t="s">
        <v>197</v>
      </c>
      <c r="G144" s="3" t="s">
        <v>198</v>
      </c>
      <c r="H144" s="3" t="s">
        <v>199</v>
      </c>
      <c r="I144" s="3" t="s">
        <v>20</v>
      </c>
      <c r="J144" s="3">
        <v>3.46</v>
      </c>
      <c r="K144" s="3" t="s">
        <v>21</v>
      </c>
      <c r="L144" s="3" t="s">
        <v>621</v>
      </c>
      <c r="M144" s="3" t="s">
        <v>619</v>
      </c>
      <c r="N144" s="6" t="str">
        <f>HYPERLINK("C:\Users\alexa\YandexDisk\Книги\DevOps\Общие вопросы\DevOps для совр предпр 2020.pdf","DevOps для совр предпр 2020.pdf")</f>
        <v>DevOps для совр предпр 2020.pdf</v>
      </c>
      <c r="O144" s="3" t="s">
        <v>622</v>
      </c>
    </row>
    <row r="145" spans="1:15" ht="151.80000000000001" x14ac:dyDescent="0.3">
      <c r="A145" s="4">
        <v>144</v>
      </c>
      <c r="B145" s="5" t="s">
        <v>623</v>
      </c>
      <c r="C145" s="5" t="s">
        <v>624</v>
      </c>
      <c r="D145" s="5" t="s">
        <v>71</v>
      </c>
      <c r="E145" s="5" t="s">
        <v>72</v>
      </c>
      <c r="F145" s="5" t="s">
        <v>197</v>
      </c>
      <c r="G145" s="5" t="s">
        <v>198</v>
      </c>
      <c r="H145" s="5" t="s">
        <v>199</v>
      </c>
      <c r="I145" s="5" t="s">
        <v>20</v>
      </c>
      <c r="J145" s="5">
        <v>3.69</v>
      </c>
      <c r="K145" s="5" t="s">
        <v>21</v>
      </c>
      <c r="L145" s="5" t="s">
        <v>625</v>
      </c>
      <c r="M145" s="5" t="s">
        <v>619</v>
      </c>
      <c r="N145" s="7" t="str">
        <f>HYPERLINK("C:\Users\alexa\YandexDisk\Книги\DevOps\Общие вопросы\DevOps_for_the_Desperate_A_Hands_On_Survival_Guide_Bradley_Smith.pdf","DevOps_for_the_Desperate_A_Hands_On_Survival_Guide_Bradley_Smith.pdf")</f>
        <v>DevOps_for_the_Desperate_A_Hands_On_Survival_Guide_Bradley_Smith.pdf</v>
      </c>
      <c r="O145" s="5" t="s">
        <v>626</v>
      </c>
    </row>
    <row r="146" spans="1:15" ht="234.6" x14ac:dyDescent="0.3">
      <c r="A146" s="2">
        <v>145</v>
      </c>
      <c r="B146" s="3" t="s">
        <v>362</v>
      </c>
      <c r="C146" s="3" t="s">
        <v>627</v>
      </c>
      <c r="D146" s="3" t="s">
        <v>50</v>
      </c>
      <c r="E146" s="3" t="s">
        <v>18</v>
      </c>
      <c r="F146" s="3" t="s">
        <v>197</v>
      </c>
      <c r="G146" s="3" t="s">
        <v>198</v>
      </c>
      <c r="H146" s="3" t="s">
        <v>199</v>
      </c>
      <c r="I146" s="3" t="s">
        <v>20</v>
      </c>
      <c r="J146" s="3">
        <v>6.48</v>
      </c>
      <c r="K146" s="3" t="s">
        <v>21</v>
      </c>
      <c r="L146" s="3" t="s">
        <v>628</v>
      </c>
      <c r="M146" s="3" t="s">
        <v>619</v>
      </c>
      <c r="N146" s="6" t="str">
        <f>HYPERLINK("C:\Users\alexa\YandexDisk\Книги\DevOps\Общие вопросы\Filosofia_DevOps.pdf","Filosofia_DevOps.pdf")</f>
        <v>Filosofia_DevOps.pdf</v>
      </c>
      <c r="O146" s="3" t="s">
        <v>629</v>
      </c>
    </row>
    <row r="147" spans="1:15" ht="151.80000000000001" x14ac:dyDescent="0.3">
      <c r="A147" s="4">
        <v>146</v>
      </c>
      <c r="B147" s="5" t="s">
        <v>630</v>
      </c>
      <c r="C147" s="5" t="s">
        <v>631</v>
      </c>
      <c r="D147" s="5"/>
      <c r="E147" s="5" t="s">
        <v>102</v>
      </c>
      <c r="F147" s="5" t="s">
        <v>632</v>
      </c>
      <c r="G147" s="5" t="s">
        <v>633</v>
      </c>
      <c r="H147" s="5" t="s">
        <v>634</v>
      </c>
      <c r="I147" s="5" t="s">
        <v>20</v>
      </c>
      <c r="J147" s="5">
        <v>3.45</v>
      </c>
      <c r="K147" s="5" t="s">
        <v>21</v>
      </c>
      <c r="L147" s="5" t="s">
        <v>635</v>
      </c>
      <c r="M147" s="5" t="s">
        <v>636</v>
      </c>
      <c r="N147" s="7" t="str">
        <f>HYPERLINK("C:\Users\alexa\YandexDisk\Книги\Алгоритмы\ГИС\Алгоритмы ГИС-реализация на Python.pdf","Алгоритмы ГИС-реализация на Python.pdf")</f>
        <v>Алгоритмы ГИС-реализация на Python.pdf</v>
      </c>
      <c r="O147" s="5" t="s">
        <v>637</v>
      </c>
    </row>
    <row r="148" spans="1:15" ht="165.6" x14ac:dyDescent="0.3">
      <c r="A148" s="2">
        <v>147</v>
      </c>
      <c r="B148" s="3" t="s">
        <v>630</v>
      </c>
      <c r="C148" s="3" t="s">
        <v>631</v>
      </c>
      <c r="D148" s="3"/>
      <c r="E148" s="3" t="s">
        <v>102</v>
      </c>
      <c r="F148" s="3" t="s">
        <v>632</v>
      </c>
      <c r="G148" s="3" t="s">
        <v>633</v>
      </c>
      <c r="H148" s="3" t="s">
        <v>634</v>
      </c>
      <c r="I148" s="3" t="s">
        <v>20</v>
      </c>
      <c r="J148" s="3">
        <v>4.4800000000000004</v>
      </c>
      <c r="K148" s="3" t="s">
        <v>21</v>
      </c>
      <c r="L148" s="3" t="s">
        <v>638</v>
      </c>
      <c r="M148" s="3" t="s">
        <v>636</v>
      </c>
      <c r="N148" s="6" t="str">
        <f>HYPERLINK("C:\Users\alexa\YandexDisk\Книги\Алгоритмы\ГИС\Алгоритмы ГИС.pdf","Алгоритмы ГИС.pdf")</f>
        <v>Алгоритмы ГИС.pdf</v>
      </c>
      <c r="O148" s="3" t="s">
        <v>639</v>
      </c>
    </row>
    <row r="149" spans="1:15" ht="220.8" x14ac:dyDescent="0.3">
      <c r="A149" s="4">
        <v>148</v>
      </c>
      <c r="B149" s="5" t="s">
        <v>640</v>
      </c>
      <c r="C149" s="5" t="s">
        <v>641</v>
      </c>
      <c r="D149" s="5"/>
      <c r="E149" s="5" t="s">
        <v>102</v>
      </c>
      <c r="F149" s="5" t="s">
        <v>642</v>
      </c>
      <c r="G149" s="5" t="s">
        <v>633</v>
      </c>
      <c r="H149" s="5" t="s">
        <v>643</v>
      </c>
      <c r="I149" s="5" t="s">
        <v>20</v>
      </c>
      <c r="J149" s="5">
        <v>19.55</v>
      </c>
      <c r="K149" s="5" t="s">
        <v>21</v>
      </c>
      <c r="L149" s="5" t="s">
        <v>644</v>
      </c>
      <c r="M149" s="5" t="s">
        <v>645</v>
      </c>
      <c r="N149" s="7" t="str">
        <f>HYPERLINK("C:\Users\alexa\YandexDisk\Книги\Алгоритмы\Графы и Топология\Графовые алгоритмы.pdf","Графовые алгоритмы.pdf")</f>
        <v>Графовые алгоритмы.pdf</v>
      </c>
      <c r="O149" s="5" t="s">
        <v>646</v>
      </c>
    </row>
    <row r="150" spans="1:15" ht="179.4" x14ac:dyDescent="0.3">
      <c r="A150" s="2">
        <v>149</v>
      </c>
      <c r="B150" s="3" t="s">
        <v>647</v>
      </c>
      <c r="C150" s="3" t="s">
        <v>648</v>
      </c>
      <c r="D150" s="3" t="s">
        <v>50</v>
      </c>
      <c r="E150" s="3" t="s">
        <v>649</v>
      </c>
      <c r="F150" s="3" t="s">
        <v>642</v>
      </c>
      <c r="G150" s="3" t="s">
        <v>633</v>
      </c>
      <c r="H150" s="3" t="s">
        <v>643</v>
      </c>
      <c r="I150" s="3" t="s">
        <v>20</v>
      </c>
      <c r="J150" s="3">
        <v>17.13</v>
      </c>
      <c r="K150" s="3" t="s">
        <v>21</v>
      </c>
      <c r="L150" s="3" t="s">
        <v>650</v>
      </c>
      <c r="M150" s="3" t="s">
        <v>645</v>
      </c>
      <c r="N150" s="6" t="str">
        <f>HYPERLINK("C:\Users\alexa\YandexDisk\Книги\Алгоритмы\Графы и Топология\ГРАФЫ. АЛГОРИТМЫ НА ЯЗЫКЕ С 2017.pdf","ГРАФЫ. АЛГОРИТМЫ НА ЯЗЫКЕ С 2017.pdf")</f>
        <v>ГРАФЫ. АЛГОРИТМЫ НА ЯЗЫКЕ С 2017.pdf</v>
      </c>
      <c r="O150" s="3" t="s">
        <v>651</v>
      </c>
    </row>
    <row r="151" spans="1:15" ht="179.4" x14ac:dyDescent="0.3">
      <c r="A151" s="4">
        <v>150</v>
      </c>
      <c r="B151" s="5" t="s">
        <v>652</v>
      </c>
      <c r="C151" s="5" t="s">
        <v>653</v>
      </c>
      <c r="D151" s="5" t="s">
        <v>77</v>
      </c>
      <c r="E151" s="5" t="s">
        <v>18</v>
      </c>
      <c r="F151" s="5" t="s">
        <v>642</v>
      </c>
      <c r="G151" s="5" t="s">
        <v>633</v>
      </c>
      <c r="H151" s="5" t="s">
        <v>643</v>
      </c>
      <c r="I151" s="5" t="s">
        <v>20</v>
      </c>
      <c r="J151" s="5">
        <v>25.12</v>
      </c>
      <c r="K151" s="5" t="s">
        <v>21</v>
      </c>
      <c r="L151" s="5" t="s">
        <v>654</v>
      </c>
      <c r="M151" s="5" t="s">
        <v>645</v>
      </c>
      <c r="N151" s="7" t="str">
        <f>HYPERLINK("C:\Users\alexa\YandexDisk\Книги\Алгоритмы\Графы и Топология\Рафгарден Совершенный алгоритм - графы.pdf","Рафгарден Совершенный алгоритм - графы.pdf")</f>
        <v>Рафгарден Совершенный алгоритм - графы.pdf</v>
      </c>
      <c r="O151" s="5" t="s">
        <v>655</v>
      </c>
    </row>
    <row r="152" spans="1:15" ht="193.2" x14ac:dyDescent="0.3">
      <c r="A152" s="2">
        <v>151</v>
      </c>
      <c r="B152" s="3" t="s">
        <v>656</v>
      </c>
      <c r="C152" s="3" t="s">
        <v>657</v>
      </c>
      <c r="D152" s="3"/>
      <c r="E152" s="3"/>
      <c r="F152" s="3" t="s">
        <v>658</v>
      </c>
      <c r="G152" s="3" t="s">
        <v>633</v>
      </c>
      <c r="H152" s="3" t="s">
        <v>659</v>
      </c>
      <c r="I152" s="3" t="s">
        <v>20</v>
      </c>
      <c r="J152" s="3">
        <v>9.6199999999999992</v>
      </c>
      <c r="K152" s="3" t="s">
        <v>21</v>
      </c>
      <c r="L152" s="3" t="s">
        <v>660</v>
      </c>
      <c r="M152" s="3" t="s">
        <v>661</v>
      </c>
      <c r="N152" s="6" t="str">
        <f>HYPERLINK("C:\Users\alexa\YandexDisk\Книги\Алгоритмы\Обработка текста\125_Problems_in_Text_Algorithms_with_Solutions_by_Maxime_Crochemore.pdf","125_Problems_in_Text_Algorithms_with_Solutions_by_Maxime_Crochemore.pdf")</f>
        <v>125_Problems_in_Text_Algorithms_with_Solutions_by_Maxime_Crochemore.pdf</v>
      </c>
      <c r="O152" s="3" t="s">
        <v>662</v>
      </c>
    </row>
    <row r="153" spans="1:15" ht="179.4" x14ac:dyDescent="0.3">
      <c r="A153" s="4">
        <v>152</v>
      </c>
      <c r="B153" s="5" t="s">
        <v>663</v>
      </c>
      <c r="C153" s="5" t="s">
        <v>664</v>
      </c>
      <c r="D153" s="5" t="s">
        <v>17</v>
      </c>
      <c r="E153" s="5" t="s">
        <v>102</v>
      </c>
      <c r="F153" s="5" t="s">
        <v>658</v>
      </c>
      <c r="G153" s="5" t="s">
        <v>633</v>
      </c>
      <c r="H153" s="5" t="s">
        <v>659</v>
      </c>
      <c r="I153" s="5" t="s">
        <v>20</v>
      </c>
      <c r="J153" s="5">
        <v>12.9</v>
      </c>
      <c r="K153" s="5" t="s">
        <v>21</v>
      </c>
      <c r="L153" s="5" t="s">
        <v>665</v>
      </c>
      <c r="M153" s="5" t="s">
        <v>661</v>
      </c>
      <c r="N153" s="7" t="str">
        <f>HYPERLINK("C:\Users\alexa\YandexDisk\Книги\Алгоритмы\Обработка текста\Алгоритмы_обработки_текста_125_задач_с_решениями 2021.pdf","Алгоритмы_обработки_текста_125_задач_с_решениями 2021.pdf")</f>
        <v>Алгоритмы_обработки_текста_125_задач_с_решениями 2021.pdf</v>
      </c>
      <c r="O153" s="5" t="s">
        <v>666</v>
      </c>
    </row>
    <row r="154" spans="1:15" ht="179.4" x14ac:dyDescent="0.3">
      <c r="A154" s="2">
        <v>153</v>
      </c>
      <c r="B154" s="3" t="s">
        <v>667</v>
      </c>
      <c r="C154" s="3" t="s">
        <v>668</v>
      </c>
      <c r="D154" s="3" t="s">
        <v>71</v>
      </c>
      <c r="E154" s="3" t="s">
        <v>148</v>
      </c>
      <c r="F154" s="3" t="s">
        <v>658</v>
      </c>
      <c r="G154" s="3" t="s">
        <v>633</v>
      </c>
      <c r="H154" s="3" t="s">
        <v>659</v>
      </c>
      <c r="I154" s="3" t="s">
        <v>20</v>
      </c>
      <c r="J154" s="3">
        <v>2.14</v>
      </c>
      <c r="K154" s="3" t="s">
        <v>21</v>
      </c>
      <c r="L154" s="3" t="s">
        <v>669</v>
      </c>
      <c r="M154" s="3" t="s">
        <v>661</v>
      </c>
      <c r="N154" s="6" t="str">
        <f>HYPERLINK("C:\Users\alexa\YandexDisk\Книги\Алгоритмы\Обработка текста\Алгоритмы_сжатия_данных_без_потерь.pdf","Алгоритмы_сжатия_данных_без_потерь.pdf")</f>
        <v>Алгоритмы_сжатия_данных_без_потерь.pdf</v>
      </c>
      <c r="O154" s="3" t="s">
        <v>670</v>
      </c>
    </row>
    <row r="155" spans="1:15" ht="165.6" x14ac:dyDescent="0.3">
      <c r="A155" s="4">
        <v>154</v>
      </c>
      <c r="B155" s="5" t="s">
        <v>667</v>
      </c>
      <c r="C155" s="5" t="s">
        <v>668</v>
      </c>
      <c r="D155" s="5" t="s">
        <v>17</v>
      </c>
      <c r="E155" s="5" t="s">
        <v>148</v>
      </c>
      <c r="F155" s="5" t="s">
        <v>658</v>
      </c>
      <c r="G155" s="5" t="s">
        <v>633</v>
      </c>
      <c r="H155" s="5" t="s">
        <v>659</v>
      </c>
      <c r="I155" s="5" t="s">
        <v>20</v>
      </c>
      <c r="J155" s="5">
        <v>1.19</v>
      </c>
      <c r="K155" s="5" t="s">
        <v>21</v>
      </c>
      <c r="L155" s="5" t="s">
        <v>671</v>
      </c>
      <c r="M155" s="5" t="s">
        <v>661</v>
      </c>
      <c r="N155" s="7" t="str">
        <f>HYPERLINK("C:\Users\alexa\YandexDisk\Книги\Алгоритмы\Обработка текста\Алгоритмы_сжатия_данных_без_потерь_2021_Пантелеев,_Алыкова.pdf","Алгоритмы_сжатия_данных_без_потерь_2021_Пантелеев,_Алыкова.pdf")</f>
        <v>Алгоритмы_сжатия_данных_без_потерь_2021_Пантелеев,_Алыкова.pdf</v>
      </c>
      <c r="O155" s="5" t="s">
        <v>672</v>
      </c>
    </row>
    <row r="156" spans="1:15" ht="193.2" x14ac:dyDescent="0.3">
      <c r="A156" s="2">
        <v>155</v>
      </c>
      <c r="B156" s="3" t="s">
        <v>656</v>
      </c>
      <c r="C156" s="3" t="s">
        <v>673</v>
      </c>
      <c r="D156" s="3" t="s">
        <v>17</v>
      </c>
      <c r="E156" s="3" t="s">
        <v>102</v>
      </c>
      <c r="F156" s="3" t="s">
        <v>658</v>
      </c>
      <c r="G156" s="3" t="s">
        <v>633</v>
      </c>
      <c r="H156" s="3" t="s">
        <v>659</v>
      </c>
      <c r="I156" s="3" t="s">
        <v>20</v>
      </c>
      <c r="J156" s="3">
        <v>12.9</v>
      </c>
      <c r="K156" s="3" t="s">
        <v>21</v>
      </c>
      <c r="L156" s="3" t="s">
        <v>674</v>
      </c>
      <c r="M156" s="3" t="s">
        <v>661</v>
      </c>
      <c r="N156" s="6" t="str">
        <f>HYPERLINK("C:\Users\alexa\YandexDisk\Книги\Алгоритмы\Обработка текста\Крошемор_М_,_Лекрок_Т_,_Риттер_В_Алгоритмы_обработки текста_125.pdf","Крошемор_М_,_Лекрок_Т_,_Риттер_В_Алгоритмы_обработки текста_125.pdf")</f>
        <v>Крошемор_М_,_Лекрок_Т_,_Риттер_В_Алгоритмы_обработки текста_125.pdf</v>
      </c>
      <c r="O156" s="3" t="s">
        <v>675</v>
      </c>
    </row>
    <row r="157" spans="1:15" ht="207" x14ac:dyDescent="0.3">
      <c r="A157" s="4">
        <v>156</v>
      </c>
      <c r="B157" s="5" t="s">
        <v>676</v>
      </c>
      <c r="C157" s="5" t="s">
        <v>677</v>
      </c>
      <c r="D157" s="5" t="s">
        <v>71</v>
      </c>
      <c r="E157" s="5" t="s">
        <v>678</v>
      </c>
      <c r="F157" s="5" t="s">
        <v>679</v>
      </c>
      <c r="G157" s="5" t="s">
        <v>633</v>
      </c>
      <c r="H157" s="5" t="s">
        <v>199</v>
      </c>
      <c r="I157" s="5" t="s">
        <v>20</v>
      </c>
      <c r="J157" s="5">
        <v>106.35</v>
      </c>
      <c r="K157" s="5" t="s">
        <v>21</v>
      </c>
      <c r="L157" s="5" t="s">
        <v>680</v>
      </c>
      <c r="M157" s="5" t="s">
        <v>681</v>
      </c>
      <c r="N157" s="7" t="str">
        <f>HYPERLINK("C:\Users\alexa\YandexDisk\Книги\Алгоритмы\Общие вопросы\!! Алгоритмы_Руководство_по_разработке_3_изд_2022_Стивен_Скиена.pdf","!! Алгоритмы_Руководство_по_разработке_3_изд_2022_Стивен_Скиена.pdf")</f>
        <v>!! Алгоритмы_Руководство_по_разработке_3_изд_2022_Стивен_Скиена.pdf</v>
      </c>
      <c r="O157" s="5" t="s">
        <v>682</v>
      </c>
    </row>
    <row r="158" spans="1:15" ht="207" x14ac:dyDescent="0.3">
      <c r="A158" s="2">
        <v>157</v>
      </c>
      <c r="B158" s="3" t="s">
        <v>683</v>
      </c>
      <c r="C158" s="3" t="s">
        <v>684</v>
      </c>
      <c r="D158" s="3" t="s">
        <v>27</v>
      </c>
      <c r="E158" s="3" t="s">
        <v>18</v>
      </c>
      <c r="F158" s="3" t="s">
        <v>679</v>
      </c>
      <c r="G158" s="3" t="s">
        <v>633</v>
      </c>
      <c r="H158" s="3" t="s">
        <v>199</v>
      </c>
      <c r="I158" s="3" t="s">
        <v>20</v>
      </c>
      <c r="J158" s="3">
        <v>12.34</v>
      </c>
      <c r="K158" s="3" t="s">
        <v>21</v>
      </c>
      <c r="L158" s="3" t="s">
        <v>685</v>
      </c>
      <c r="M158" s="3" t="s">
        <v>681</v>
      </c>
      <c r="N158" s="6" t="str">
        <f>HYPERLINK("C:\Users\alexa\YandexDisk\Книги\Алгоритмы\Общие вопросы\40 алгоритмов на Python.pdf","40 алгоритмов на Python.pdf")</f>
        <v>40 алгоритмов на Python.pdf</v>
      </c>
      <c r="O158" s="3" t="s">
        <v>686</v>
      </c>
    </row>
    <row r="159" spans="1:15" ht="165.6" x14ac:dyDescent="0.3">
      <c r="A159" s="4">
        <v>158</v>
      </c>
      <c r="B159" s="5" t="s">
        <v>687</v>
      </c>
      <c r="C159" s="5" t="s">
        <v>688</v>
      </c>
      <c r="D159" s="5" t="s">
        <v>17</v>
      </c>
      <c r="E159" s="5" t="s">
        <v>72</v>
      </c>
      <c r="F159" s="5" t="s">
        <v>679</v>
      </c>
      <c r="G159" s="5" t="s">
        <v>633</v>
      </c>
      <c r="H159" s="5" t="s">
        <v>199</v>
      </c>
      <c r="I159" s="5" t="s">
        <v>20</v>
      </c>
      <c r="J159" s="5">
        <v>3.31</v>
      </c>
      <c r="K159" s="5" t="s">
        <v>21</v>
      </c>
      <c r="L159" s="5" t="s">
        <v>689</v>
      </c>
      <c r="M159" s="5" t="s">
        <v>681</v>
      </c>
      <c r="N159" s="7" t="str">
        <f>HYPERLINK("C:\Users\alexa\YandexDisk\Книги\Алгоритмы\Общие вопросы\Algorithmic_Thinking_A_Problem_Based_Introduction.pdf","Algorithmic_Thinking_A_Problem_Based_Introduction.pdf")</f>
        <v>Algorithmic_Thinking_A_Problem_Based_Introduction.pdf</v>
      </c>
      <c r="O159" s="5" t="s">
        <v>690</v>
      </c>
    </row>
    <row r="160" spans="1:15" ht="138" x14ac:dyDescent="0.3">
      <c r="A160" s="2">
        <v>159</v>
      </c>
      <c r="B160" s="3" t="s">
        <v>691</v>
      </c>
      <c r="C160" s="3" t="s">
        <v>692</v>
      </c>
      <c r="D160" s="3" t="s">
        <v>71</v>
      </c>
      <c r="E160" s="3" t="s">
        <v>308</v>
      </c>
      <c r="F160" s="3" t="s">
        <v>679</v>
      </c>
      <c r="G160" s="3" t="s">
        <v>633</v>
      </c>
      <c r="H160" s="3" t="s">
        <v>199</v>
      </c>
      <c r="I160" s="3" t="s">
        <v>20</v>
      </c>
      <c r="J160" s="3">
        <v>11.09</v>
      </c>
      <c r="K160" s="3" t="s">
        <v>21</v>
      </c>
      <c r="L160" s="3" t="s">
        <v>693</v>
      </c>
      <c r="M160" s="3" t="s">
        <v>681</v>
      </c>
      <c r="N160" s="6" t="str">
        <f>HYPERLINK("C:\Users\alexa\YandexDisk\Книги\Алгоритмы\Общие вопросы\Algorithms For Dummies, 2nd Edition 2022.pdf","Algorithms For Dummies, 2nd Edition 2022.pdf")</f>
        <v>Algorithms For Dummies, 2nd Edition 2022.pdf</v>
      </c>
      <c r="O160" s="3" t="s">
        <v>694</v>
      </c>
    </row>
    <row r="161" spans="1:15" ht="207" x14ac:dyDescent="0.3">
      <c r="A161" s="4">
        <v>160</v>
      </c>
      <c r="B161" s="5" t="s">
        <v>695</v>
      </c>
      <c r="C161" s="5" t="s">
        <v>696</v>
      </c>
      <c r="D161" s="5" t="s">
        <v>71</v>
      </c>
      <c r="E161" s="5" t="s">
        <v>86</v>
      </c>
      <c r="F161" s="5" t="s">
        <v>679</v>
      </c>
      <c r="G161" s="5" t="s">
        <v>633</v>
      </c>
      <c r="H161" s="5" t="s">
        <v>199</v>
      </c>
      <c r="I161" s="5" t="s">
        <v>20</v>
      </c>
      <c r="J161" s="5">
        <v>7.64</v>
      </c>
      <c r="K161" s="5" t="s">
        <v>21</v>
      </c>
      <c r="L161" s="5" t="s">
        <v>697</v>
      </c>
      <c r="M161" s="5" t="s">
        <v>681</v>
      </c>
      <c r="N161" s="7" t="str">
        <f>HYPERLINK("C:\Users\alexa\YandexDisk\Книги\Алгоритмы\Общие вопросы\Algorithms_for_Decision_Making_Mykel_J_Kochenderfer,_Tim_A_Wheeler.pdf","Algorithms_for_Decision_Making_Mykel_J_Kochenderfer,_Tim_A_Wheeler.pdf")</f>
        <v>Algorithms_for_Decision_Making_Mykel_J_Kochenderfer,_Tim_A_Wheeler.pdf</v>
      </c>
      <c r="O161" s="5" t="s">
        <v>698</v>
      </c>
    </row>
    <row r="162" spans="1:15" ht="193.2" x14ac:dyDescent="0.3">
      <c r="A162" s="2">
        <v>161</v>
      </c>
      <c r="B162" s="3" t="s">
        <v>699</v>
      </c>
      <c r="C162" s="3" t="s">
        <v>700</v>
      </c>
      <c r="D162" s="3" t="s">
        <v>77</v>
      </c>
      <c r="E162" s="3" t="s">
        <v>701</v>
      </c>
      <c r="F162" s="3" t="s">
        <v>679</v>
      </c>
      <c r="G162" s="3" t="s">
        <v>633</v>
      </c>
      <c r="H162" s="3" t="s">
        <v>199</v>
      </c>
      <c r="I162" s="3" t="s">
        <v>280</v>
      </c>
      <c r="J162" s="3">
        <v>9.69</v>
      </c>
      <c r="K162" s="3" t="s">
        <v>21</v>
      </c>
      <c r="L162" s="3" t="s">
        <v>702</v>
      </c>
      <c r="M162" s="3" t="s">
        <v>681</v>
      </c>
      <c r="N162" s="6" t="str">
        <f>HYPERLINK("C:\Users\alexa\YandexDisk\Книги\Алгоритмы\Общие вопросы\First Course in Algo... by Uehara  Ryuhei.epub","First Course in Algo... by Uehara  Ryuhei.epub")</f>
        <v>First Course in Algo... by Uehara  Ryuhei.epub</v>
      </c>
      <c r="O162" s="3" t="s">
        <v>703</v>
      </c>
    </row>
    <row r="163" spans="1:15" ht="151.80000000000001" x14ac:dyDescent="0.3">
      <c r="A163" s="4">
        <v>162</v>
      </c>
      <c r="B163" s="5" t="s">
        <v>704</v>
      </c>
      <c r="C163" s="5" t="s">
        <v>705</v>
      </c>
      <c r="D163" s="5" t="s">
        <v>50</v>
      </c>
      <c r="E163" s="5" t="s">
        <v>18</v>
      </c>
      <c r="F163" s="5" t="s">
        <v>679</v>
      </c>
      <c r="G163" s="5" t="s">
        <v>633</v>
      </c>
      <c r="H163" s="5" t="s">
        <v>199</v>
      </c>
      <c r="I163" s="5" t="s">
        <v>20</v>
      </c>
      <c r="J163" s="5">
        <v>69.38</v>
      </c>
      <c r="K163" s="5" t="s">
        <v>21</v>
      </c>
      <c r="L163" s="5" t="s">
        <v>706</v>
      </c>
      <c r="M163" s="5" t="s">
        <v>681</v>
      </c>
      <c r="N163" s="7" t="str">
        <f>HYPERLINK("C:\Users\alexa\YandexDisk\Книги\Алгоритмы\Общие вопросы\grokaem-algoritmy.pdf","grokaem-algoritmy.pdf")</f>
        <v>grokaem-algoritmy.pdf</v>
      </c>
      <c r="O163" s="5" t="s">
        <v>707</v>
      </c>
    </row>
    <row r="164" spans="1:15" ht="262.2" x14ac:dyDescent="0.3">
      <c r="A164" s="2">
        <v>163</v>
      </c>
      <c r="B164" s="3" t="s">
        <v>708</v>
      </c>
      <c r="C164" s="3" t="s">
        <v>709</v>
      </c>
      <c r="D164" s="3"/>
      <c r="E164" s="3" t="s">
        <v>710</v>
      </c>
      <c r="F164" s="3" t="s">
        <v>679</v>
      </c>
      <c r="G164" s="3" t="s">
        <v>633</v>
      </c>
      <c r="H164" s="3" t="s">
        <v>199</v>
      </c>
      <c r="I164" s="3" t="s">
        <v>20</v>
      </c>
      <c r="J164" s="3">
        <v>19.21</v>
      </c>
      <c r="K164" s="3" t="s">
        <v>21</v>
      </c>
      <c r="L164" s="3" t="s">
        <v>711</v>
      </c>
      <c r="M164" s="3" t="s">
        <v>681</v>
      </c>
      <c r="N164" s="6" t="str">
        <f>HYPERLINK("C:\Users\alexa\YandexDisk\Книги\Алгоритмы\Общие вопросы\Parallel Algorithm.pdf","Parallel Algorithm.pdf")</f>
        <v>Parallel Algorithm.pdf</v>
      </c>
      <c r="O164" s="3" t="s">
        <v>712</v>
      </c>
    </row>
    <row r="165" spans="1:15" ht="193.2" x14ac:dyDescent="0.3">
      <c r="A165" s="4">
        <v>164</v>
      </c>
      <c r="B165" s="5" t="s">
        <v>713</v>
      </c>
      <c r="C165" s="5" t="s">
        <v>714</v>
      </c>
      <c r="D165" s="5"/>
      <c r="E165" s="5"/>
      <c r="F165" s="5" t="s">
        <v>679</v>
      </c>
      <c r="G165" s="5" t="s">
        <v>633</v>
      </c>
      <c r="H165" s="5" t="s">
        <v>199</v>
      </c>
      <c r="I165" s="5" t="s">
        <v>20</v>
      </c>
      <c r="J165" s="5">
        <v>23.98</v>
      </c>
      <c r="K165" s="5" t="s">
        <v>21</v>
      </c>
      <c r="L165" s="5" t="s">
        <v>715</v>
      </c>
      <c r="M165" s="5" t="s">
        <v>681</v>
      </c>
      <c r="N165" s="7" t="str">
        <f>HYPERLINK("C:\Users\alexa\YandexDisk\Книги\Алгоритмы\Общие вопросы\Pearls of Algorithm Engineering.pdf","Pearls of Algorithm Engineering.pdf")</f>
        <v>Pearls of Algorithm Engineering.pdf</v>
      </c>
      <c r="O165" s="5" t="s">
        <v>716</v>
      </c>
    </row>
    <row r="166" spans="1:15" ht="193.2" x14ac:dyDescent="0.3">
      <c r="A166" s="2">
        <v>165</v>
      </c>
      <c r="B166" s="3" t="s">
        <v>676</v>
      </c>
      <c r="C166" s="3" t="s">
        <v>677</v>
      </c>
      <c r="D166" s="3" t="s">
        <v>59</v>
      </c>
      <c r="E166" s="3" t="s">
        <v>678</v>
      </c>
      <c r="F166" s="3" t="s">
        <v>679</v>
      </c>
      <c r="G166" s="3" t="s">
        <v>633</v>
      </c>
      <c r="H166" s="3" t="s">
        <v>199</v>
      </c>
      <c r="I166" s="3" t="s">
        <v>20</v>
      </c>
      <c r="J166" s="3">
        <v>9.92</v>
      </c>
      <c r="K166" s="3" t="s">
        <v>21</v>
      </c>
      <c r="L166" s="3" t="s">
        <v>717</v>
      </c>
      <c r="M166" s="3" t="s">
        <v>681</v>
      </c>
      <c r="N166" s="6" t="str">
        <f>HYPERLINK("C:\Users\alexa\YandexDisk\Книги\Алгоритмы\Общие вопросы\The_Algorithm_Design_Manual_Third_Edition_2020_Steven_S_Skiena.pdf","The_Algorithm_Design_Manual_Third_Edition_2020_Steven_S_Skiena.pdf")</f>
        <v>The_Algorithm_Design_Manual_Third_Edition_2020_Steven_S_Skiena.pdf</v>
      </c>
      <c r="O166" s="3" t="s">
        <v>718</v>
      </c>
    </row>
    <row r="167" spans="1:15" ht="151.80000000000001" x14ac:dyDescent="0.3">
      <c r="A167" s="4">
        <v>166</v>
      </c>
      <c r="B167" s="5" t="s">
        <v>719</v>
      </c>
      <c r="C167" s="5" t="s">
        <v>720</v>
      </c>
      <c r="D167" s="5"/>
      <c r="E167" s="5"/>
      <c r="F167" s="5" t="s">
        <v>679</v>
      </c>
      <c r="G167" s="5" t="s">
        <v>633</v>
      </c>
      <c r="H167" s="5" t="s">
        <v>199</v>
      </c>
      <c r="I167" s="5" t="s">
        <v>721</v>
      </c>
      <c r="J167" s="5">
        <v>6.75</v>
      </c>
      <c r="K167" s="5" t="s">
        <v>21</v>
      </c>
      <c r="L167" s="5" t="s">
        <v>722</v>
      </c>
      <c r="M167" s="5" t="s">
        <v>681</v>
      </c>
      <c r="N167" s="7" t="str">
        <f>HYPERLINK("C:\Users\alexa\YandexDisk\Книги\Алгоритмы\Общие вопросы\Tomas_Kh_Kormen_-_Algoritmy_Vvodny_kurs_-_201.djvu","Tomas_Kh_Kormen_-_Algoritmy_Vvodny_kurs_-_201.djvu")</f>
        <v>Tomas_Kh_Kormen_-_Algoritmy_Vvodny_kurs_-_201.djvu</v>
      </c>
      <c r="O167" s="5" t="s">
        <v>723</v>
      </c>
    </row>
    <row r="168" spans="1:15" ht="151.80000000000001" x14ac:dyDescent="0.3">
      <c r="A168" s="2">
        <v>167</v>
      </c>
      <c r="B168" s="3" t="s">
        <v>724</v>
      </c>
      <c r="C168" s="3" t="s">
        <v>725</v>
      </c>
      <c r="D168" s="3" t="s">
        <v>77</v>
      </c>
      <c r="E168" s="3" t="s">
        <v>726</v>
      </c>
      <c r="F168" s="3" t="s">
        <v>679</v>
      </c>
      <c r="G168" s="3" t="s">
        <v>633</v>
      </c>
      <c r="H168" s="3" t="s">
        <v>199</v>
      </c>
      <c r="I168" s="3" t="s">
        <v>20</v>
      </c>
      <c r="J168" s="3">
        <v>3.63</v>
      </c>
      <c r="K168" s="3" t="s">
        <v>21</v>
      </c>
      <c r="L168" s="3" t="s">
        <v>727</v>
      </c>
      <c r="M168" s="3" t="s">
        <v>681</v>
      </c>
      <c r="N168" s="6" t="str">
        <f>HYPERLINK("C:\Users\alexa\YandexDisk\Книги\Алгоритмы\Общие вопросы\Алгоритмические_головоломки_2019_Левитин,_Левитина.pdf","Алгоритмические_головоломки_2019_Левитин,_Левитина.pdf")</f>
        <v>Алгоритмические_головоломки_2019_Левитин,_Левитина.pdf</v>
      </c>
      <c r="O168" s="3" t="s">
        <v>728</v>
      </c>
    </row>
    <row r="169" spans="1:15" ht="151.80000000000001" x14ac:dyDescent="0.3">
      <c r="A169" s="4">
        <v>168</v>
      </c>
      <c r="B169" s="5" t="s">
        <v>729</v>
      </c>
      <c r="C169" s="5"/>
      <c r="D169" s="5" t="s">
        <v>186</v>
      </c>
      <c r="E169" s="5"/>
      <c r="F169" s="5" t="s">
        <v>679</v>
      </c>
      <c r="G169" s="5" t="s">
        <v>633</v>
      </c>
      <c r="H169" s="5" t="s">
        <v>199</v>
      </c>
      <c r="I169" s="5" t="s">
        <v>20</v>
      </c>
      <c r="J169" s="5">
        <v>14.01</v>
      </c>
      <c r="K169" s="5" t="s">
        <v>21</v>
      </c>
      <c r="L169" s="5" t="s">
        <v>730</v>
      </c>
      <c r="M169" s="5" t="s">
        <v>681</v>
      </c>
      <c r="N169" s="7" t="str">
        <f>HYPERLINK("C:\Users\alexa\YandexDisk\Книги\Алгоритмы\Общие вопросы\Алгоритмические_трюки_для_программистов 2014.pdf","Алгоритмические_трюки_для_программистов 2014.pdf")</f>
        <v>Алгоритмические_трюки_для_программистов 2014.pdf</v>
      </c>
      <c r="O169" s="5" t="s">
        <v>731</v>
      </c>
    </row>
    <row r="170" spans="1:15" ht="151.80000000000001" x14ac:dyDescent="0.3">
      <c r="A170" s="2">
        <v>169</v>
      </c>
      <c r="B170" s="3" t="s">
        <v>732</v>
      </c>
      <c r="C170" s="3" t="s">
        <v>733</v>
      </c>
      <c r="D170" s="3" t="s">
        <v>186</v>
      </c>
      <c r="E170" s="3" t="s">
        <v>734</v>
      </c>
      <c r="F170" s="3" t="s">
        <v>679</v>
      </c>
      <c r="G170" s="3" t="s">
        <v>633</v>
      </c>
      <c r="H170" s="3" t="s">
        <v>199</v>
      </c>
      <c r="I170" s="3" t="s">
        <v>20</v>
      </c>
      <c r="J170" s="3">
        <v>13.97</v>
      </c>
      <c r="K170" s="3" t="s">
        <v>21</v>
      </c>
      <c r="L170" s="3" t="s">
        <v>735</v>
      </c>
      <c r="M170" s="3" t="s">
        <v>681</v>
      </c>
      <c r="N170" s="6" t="str">
        <f>HYPERLINK("C:\Users\alexa\YandexDisk\Книги\Алгоритмы\Общие вопросы\Алгоритмы - вводный курс 2020.pdf","Алгоритмы - вводный курс 2020.pdf")</f>
        <v>Алгоритмы - вводный курс 2020.pdf</v>
      </c>
      <c r="O170" s="3" t="s">
        <v>736</v>
      </c>
    </row>
    <row r="171" spans="1:15" ht="179.4" x14ac:dyDescent="0.3">
      <c r="A171" s="4">
        <v>170</v>
      </c>
      <c r="B171" s="5" t="s">
        <v>737</v>
      </c>
      <c r="C171" s="5" t="s">
        <v>738</v>
      </c>
      <c r="D171" s="5" t="s">
        <v>114</v>
      </c>
      <c r="E171" s="5" t="s">
        <v>18</v>
      </c>
      <c r="F171" s="5" t="s">
        <v>679</v>
      </c>
      <c r="G171" s="5" t="s">
        <v>633</v>
      </c>
      <c r="H171" s="5" t="s">
        <v>199</v>
      </c>
      <c r="I171" s="5" t="s">
        <v>20</v>
      </c>
      <c r="J171" s="5">
        <v>11.54</v>
      </c>
      <c r="K171" s="5" t="s">
        <v>21</v>
      </c>
      <c r="L171" s="5" t="s">
        <v>739</v>
      </c>
      <c r="M171" s="5" t="s">
        <v>681</v>
      </c>
      <c r="N171" s="7" t="str">
        <f>HYPERLINK("C:\Users\alexa\YandexDisk\Книги\Алгоритмы\Общие вопросы\Алгоритмы - разработка и применение - 2016.pdf","Алгоритмы - разработка и применение - 2016.pdf")</f>
        <v>Алгоритмы - разработка и применение - 2016.pdf</v>
      </c>
      <c r="O171" s="5" t="s">
        <v>740</v>
      </c>
    </row>
    <row r="172" spans="1:15" ht="193.2" x14ac:dyDescent="0.3">
      <c r="A172" s="2">
        <v>171</v>
      </c>
      <c r="B172" s="3" t="s">
        <v>741</v>
      </c>
      <c r="C172" s="3" t="s">
        <v>742</v>
      </c>
      <c r="D172" s="3" t="s">
        <v>77</v>
      </c>
      <c r="E172" s="3" t="s">
        <v>743</v>
      </c>
      <c r="F172" s="3" t="s">
        <v>679</v>
      </c>
      <c r="G172" s="3" t="s">
        <v>633</v>
      </c>
      <c r="H172" s="3" t="s">
        <v>199</v>
      </c>
      <c r="I172" s="3" t="s">
        <v>20</v>
      </c>
      <c r="J172" s="3">
        <v>3.73</v>
      </c>
      <c r="K172" s="3" t="s">
        <v>21</v>
      </c>
      <c r="L172" s="3" t="s">
        <v>744</v>
      </c>
      <c r="M172" s="3" t="s">
        <v>681</v>
      </c>
      <c r="N172" s="6" t="str">
        <f>HYPERLINK("C:\Users\alexa\YandexDisk\Книги\Алгоритмы\Общие вопросы\Алгоритмы и модели вычисления.pdf","Алгоритмы и модели вычисления.pdf")</f>
        <v>Алгоритмы и модели вычисления.pdf</v>
      </c>
      <c r="O172" s="3" t="s">
        <v>745</v>
      </c>
    </row>
    <row r="173" spans="1:15" ht="165.6" x14ac:dyDescent="0.3">
      <c r="A173" s="4">
        <v>172</v>
      </c>
      <c r="B173" s="5" t="s">
        <v>746</v>
      </c>
      <c r="C173" s="5" t="s">
        <v>747</v>
      </c>
      <c r="D173" s="5" t="s">
        <v>71</v>
      </c>
      <c r="E173" s="5" t="s">
        <v>18</v>
      </c>
      <c r="F173" s="5" t="s">
        <v>679</v>
      </c>
      <c r="G173" s="5" t="s">
        <v>633</v>
      </c>
      <c r="H173" s="5" t="s">
        <v>199</v>
      </c>
      <c r="I173" s="5" t="s">
        <v>20</v>
      </c>
      <c r="J173" s="5">
        <v>7.15</v>
      </c>
      <c r="K173" s="5" t="s">
        <v>21</v>
      </c>
      <c r="L173" s="5" t="s">
        <v>748</v>
      </c>
      <c r="M173" s="5" t="s">
        <v>681</v>
      </c>
      <c r="N173" s="7" t="str">
        <f>HYPERLINK("C:\Users\alexa\YandexDisk\Книги\Алгоритмы\Общие вопросы\Алгоритмы неформально.pdf","Алгоритмы неформально.pdf")</f>
        <v>Алгоритмы неформально.pdf</v>
      </c>
      <c r="O173" s="5" t="s">
        <v>749</v>
      </c>
    </row>
    <row r="174" spans="1:15" ht="165.6" x14ac:dyDescent="0.3">
      <c r="A174" s="2">
        <v>173</v>
      </c>
      <c r="B174" s="3" t="s">
        <v>750</v>
      </c>
      <c r="C174" s="3" t="s">
        <v>751</v>
      </c>
      <c r="D174" s="3" t="s">
        <v>109</v>
      </c>
      <c r="E174" s="3" t="s">
        <v>18</v>
      </c>
      <c r="F174" s="3" t="s">
        <v>679</v>
      </c>
      <c r="G174" s="3" t="s">
        <v>633</v>
      </c>
      <c r="H174" s="3" t="s">
        <v>199</v>
      </c>
      <c r="I174" s="3" t="s">
        <v>20</v>
      </c>
      <c r="J174" s="3">
        <v>14.43</v>
      </c>
      <c r="K174" s="3" t="s">
        <v>21</v>
      </c>
      <c r="L174" s="3" t="s">
        <v>752</v>
      </c>
      <c r="M174" s="3" t="s">
        <v>681</v>
      </c>
      <c r="N174" s="6" t="str">
        <f>HYPERLINK("C:\Users\alexa\YandexDisk\Книги\Алгоритмы\Общие вопросы\Алгоритмы с нуля.pdf","Алгоритмы с нуля.pdf")</f>
        <v>Алгоритмы с нуля.pdf</v>
      </c>
      <c r="O174" s="3" t="s">
        <v>753</v>
      </c>
    </row>
    <row r="175" spans="1:15" ht="165.6" x14ac:dyDescent="0.3">
      <c r="A175" s="4">
        <v>174</v>
      </c>
      <c r="B175" s="5" t="s">
        <v>754</v>
      </c>
      <c r="C175" s="5"/>
      <c r="D175" s="5" t="s">
        <v>476</v>
      </c>
      <c r="E175" s="5"/>
      <c r="F175" s="5" t="s">
        <v>679</v>
      </c>
      <c r="G175" s="5" t="s">
        <v>633</v>
      </c>
      <c r="H175" s="5" t="s">
        <v>199</v>
      </c>
      <c r="I175" s="5" t="s">
        <v>721</v>
      </c>
      <c r="J175" s="5">
        <v>18.05</v>
      </c>
      <c r="K175" s="5" t="s">
        <v>21</v>
      </c>
      <c r="L175" s="5" t="s">
        <v>755</v>
      </c>
      <c r="M175" s="5" t="s">
        <v>681</v>
      </c>
      <c r="N175" s="7" t="str">
        <f>HYPERLINK("C:\Users\alexa\YandexDisk\Книги\Алгоритмы\Общие вопросы\Алгоритмы. Построение и анализ. Издание 3-е [2013, DJVU, Ru].djvu","Алгоритмы. Построение и анализ. Издание 3-е [2013, DJVU, Ru].djvu")</f>
        <v>Алгоритмы. Построение и анализ. Издание 3-е [2013, DJVU, Ru].djvu</v>
      </c>
      <c r="O175" s="5" t="s">
        <v>756</v>
      </c>
    </row>
    <row r="176" spans="1:15" ht="151.80000000000001" x14ac:dyDescent="0.3">
      <c r="A176" s="2">
        <v>175</v>
      </c>
      <c r="B176" s="3" t="s">
        <v>757</v>
      </c>
      <c r="C176" s="3" t="s">
        <v>758</v>
      </c>
      <c r="D176" s="3"/>
      <c r="E176" s="3"/>
      <c r="F176" s="3" t="s">
        <v>679</v>
      </c>
      <c r="G176" s="3" t="s">
        <v>633</v>
      </c>
      <c r="H176" s="3" t="s">
        <v>199</v>
      </c>
      <c r="I176" s="3" t="s">
        <v>721</v>
      </c>
      <c r="J176" s="3">
        <v>10.81</v>
      </c>
      <c r="K176" s="3" t="s">
        <v>21</v>
      </c>
      <c r="L176" s="3" t="s">
        <v>759</v>
      </c>
      <c r="M176" s="3" t="s">
        <v>681</v>
      </c>
      <c r="N176" s="6" t="str">
        <f>HYPERLINK("C:\Users\alexa\YandexDisk\Книги\Алгоритмы\Общие вопросы\Алгоритмы. Руководство по разработке Скиена С..djvu","Алгоритмы. Руководство по разработке Скиена С..djvu")</f>
        <v>Алгоритмы. Руководство по разработке Скиена С..djvu</v>
      </c>
      <c r="O176" s="3" t="s">
        <v>760</v>
      </c>
    </row>
    <row r="177" spans="1:15" ht="207" x14ac:dyDescent="0.3">
      <c r="A177" s="4">
        <v>176</v>
      </c>
      <c r="B177" s="5" t="s">
        <v>761</v>
      </c>
      <c r="C177" s="5" t="s">
        <v>762</v>
      </c>
      <c r="D177" s="5" t="s">
        <v>50</v>
      </c>
      <c r="E177" s="5" t="s">
        <v>442</v>
      </c>
      <c r="F177" s="5" t="s">
        <v>679</v>
      </c>
      <c r="G177" s="5" t="s">
        <v>633</v>
      </c>
      <c r="H177" s="5" t="s">
        <v>199</v>
      </c>
      <c r="I177" s="5" t="s">
        <v>20</v>
      </c>
      <c r="J177" s="5">
        <v>25.07</v>
      </c>
      <c r="K177" s="5" t="s">
        <v>21</v>
      </c>
      <c r="L177" s="5" t="s">
        <v>763</v>
      </c>
      <c r="M177" s="5" t="s">
        <v>681</v>
      </c>
      <c r="N177" s="7" t="str">
        <f>HYPERLINK("C:\Users\alexa\YandexDisk\Книги\Алгоритмы\Общие вопросы\Алгоритмы. Справочник с примерами на C, C++, Java и Python [2017, RU, PDF].pdf","Алгоритмы. Справочник с примерами на C, C++, Java и Python [2017, RU, PDF].pdf")</f>
        <v>Алгоритмы. Справочник с примерами на C, C++, Java и Python [2017, RU, PDF].pdf</v>
      </c>
      <c r="O177" s="5" t="s">
        <v>764</v>
      </c>
    </row>
    <row r="178" spans="1:15" ht="193.2" x14ac:dyDescent="0.3">
      <c r="A178" s="2">
        <v>177</v>
      </c>
      <c r="B178" s="3" t="s">
        <v>633</v>
      </c>
      <c r="C178" s="3" t="s">
        <v>765</v>
      </c>
      <c r="D178" s="3" t="s">
        <v>186</v>
      </c>
      <c r="E178" s="3" t="s">
        <v>766</v>
      </c>
      <c r="F178" s="3" t="s">
        <v>679</v>
      </c>
      <c r="G178" s="3" t="s">
        <v>633</v>
      </c>
      <c r="H178" s="3" t="s">
        <v>199</v>
      </c>
      <c r="I178" s="3" t="s">
        <v>20</v>
      </c>
      <c r="J178" s="3">
        <v>2.57</v>
      </c>
      <c r="K178" s="3" t="s">
        <v>21</v>
      </c>
      <c r="L178" s="3" t="s">
        <v>767</v>
      </c>
      <c r="M178" s="3" t="s">
        <v>681</v>
      </c>
      <c r="N178" s="6" t="str">
        <f>HYPERLINK("C:\Users\alexa\YandexDisk\Книги\Алгоритмы\Общие вопросы\Алгоритмы.pdf","Алгоритмы.pdf")</f>
        <v>Алгоритмы.pdf</v>
      </c>
      <c r="O178" s="3" t="s">
        <v>768</v>
      </c>
    </row>
    <row r="179" spans="1:15" ht="193.2" x14ac:dyDescent="0.3">
      <c r="A179" s="4">
        <v>178</v>
      </c>
      <c r="B179" s="5" t="s">
        <v>746</v>
      </c>
      <c r="C179" s="5" t="s">
        <v>769</v>
      </c>
      <c r="D179" s="5" t="s">
        <v>71</v>
      </c>
      <c r="E179" s="5" t="s">
        <v>18</v>
      </c>
      <c r="F179" s="5" t="s">
        <v>679</v>
      </c>
      <c r="G179" s="5" t="s">
        <v>633</v>
      </c>
      <c r="H179" s="5" t="s">
        <v>199</v>
      </c>
      <c r="I179" s="5" t="s">
        <v>20</v>
      </c>
      <c r="J179" s="5">
        <v>7.1</v>
      </c>
      <c r="K179" s="5" t="s">
        <v>21</v>
      </c>
      <c r="L179" s="5" t="s">
        <v>770</v>
      </c>
      <c r="M179" s="5" t="s">
        <v>681</v>
      </c>
      <c r="N179" s="7" t="str">
        <f>HYPERLINK("C:\Users\alexa\YandexDisk\Книги\Алгоритмы\Общие вопросы\Алгоритмы_неформально_Инструкция_для_начинающих_питонистов.pdf","Алгоритмы_неформально_Инструкция_для_начинающих_питонистов.pdf")</f>
        <v>Алгоритмы_неформально_Инструкция_для_начинающих_питонистов.pdf</v>
      </c>
      <c r="O179" s="5" t="s">
        <v>771</v>
      </c>
    </row>
    <row r="180" spans="1:15" ht="165.6" x14ac:dyDescent="0.3">
      <c r="A180" s="2">
        <v>179</v>
      </c>
      <c r="B180" s="3" t="s">
        <v>746</v>
      </c>
      <c r="C180" s="3" t="s">
        <v>747</v>
      </c>
      <c r="D180" s="3" t="s">
        <v>71</v>
      </c>
      <c r="E180" s="3" t="s">
        <v>18</v>
      </c>
      <c r="F180" s="3" t="s">
        <v>679</v>
      </c>
      <c r="G180" s="3" t="s">
        <v>633</v>
      </c>
      <c r="H180" s="3" t="s">
        <v>199</v>
      </c>
      <c r="I180" s="3" t="s">
        <v>20</v>
      </c>
      <c r="J180" s="3">
        <v>7.1</v>
      </c>
      <c r="K180" s="3" t="s">
        <v>21</v>
      </c>
      <c r="L180" s="3" t="s">
        <v>772</v>
      </c>
      <c r="M180" s="3" t="s">
        <v>681</v>
      </c>
      <c r="N180" s="6" t="str">
        <f>HYPERLINK("C:\Users\alexa\YandexDisk\Книги\Алгоритмы\Общие вопросы\Алгоритмы_неформально_Инструкция_для_начинающих_питонистов_2022.pdf","Алгоритмы_неформально_Инструкция_для_начинающих_питонистов_2022.pdf")</f>
        <v>Алгоритмы_неформально_Инструкция_для_начинающих_питонистов_2022.pdf</v>
      </c>
      <c r="O180" s="3" t="s">
        <v>773</v>
      </c>
    </row>
    <row r="181" spans="1:15" ht="220.8" x14ac:dyDescent="0.3">
      <c r="A181" s="4">
        <v>180</v>
      </c>
      <c r="B181" s="5" t="s">
        <v>676</v>
      </c>
      <c r="C181" s="5" t="s">
        <v>677</v>
      </c>
      <c r="D181" s="5" t="s">
        <v>71</v>
      </c>
      <c r="E181" s="5" t="s">
        <v>678</v>
      </c>
      <c r="F181" s="5" t="s">
        <v>679</v>
      </c>
      <c r="G181" s="5" t="s">
        <v>633</v>
      </c>
      <c r="H181" s="5" t="s">
        <v>199</v>
      </c>
      <c r="I181" s="5" t="s">
        <v>20</v>
      </c>
      <c r="J181" s="5">
        <v>106.35</v>
      </c>
      <c r="K181" s="5" t="s">
        <v>21</v>
      </c>
      <c r="L181" s="5" t="s">
        <v>774</v>
      </c>
      <c r="M181" s="5" t="s">
        <v>681</v>
      </c>
      <c r="N181" s="7" t="str">
        <f>HYPERLINK("C:\Users\alexa\YandexDisk\Книги\Алгоритмы\Общие вопросы\Алгоритмы_Руководство_по_разработке.pdf","Алгоритмы_Руководство_по_разработке.pdf")</f>
        <v>Алгоритмы_Руководство_по_разработке.pdf</v>
      </c>
      <c r="O181" s="5" t="s">
        <v>775</v>
      </c>
    </row>
    <row r="182" spans="1:15" ht="179.4" x14ac:dyDescent="0.3">
      <c r="A182" s="2">
        <v>181</v>
      </c>
      <c r="B182" s="3" t="s">
        <v>776</v>
      </c>
      <c r="C182" s="3" t="s">
        <v>777</v>
      </c>
      <c r="D182" s="3" t="s">
        <v>27</v>
      </c>
      <c r="E182" s="3" t="s">
        <v>18</v>
      </c>
      <c r="F182" s="3" t="s">
        <v>679</v>
      </c>
      <c r="G182" s="3" t="s">
        <v>633</v>
      </c>
      <c r="H182" s="3" t="s">
        <v>199</v>
      </c>
      <c r="I182" s="3" t="s">
        <v>20</v>
      </c>
      <c r="J182" s="3">
        <v>32.93</v>
      </c>
      <c r="K182" s="3" t="s">
        <v>21</v>
      </c>
      <c r="L182" s="3" t="s">
        <v>778</v>
      </c>
      <c r="M182" s="3" t="s">
        <v>681</v>
      </c>
      <c r="N182" s="6" t="str">
        <f>HYPERLINK("C:\Users\alexa\YandexDisk\Книги\Алгоритмы\Общие вопросы\Алгоритмы_С_примерами_на_Python.pdf","Алгоритмы_С_примерами_на_Python.pdf")</f>
        <v>Алгоритмы_С_примерами_на_Python.pdf</v>
      </c>
      <c r="O182" s="3" t="s">
        <v>779</v>
      </c>
    </row>
    <row r="183" spans="1:15" ht="138" x14ac:dyDescent="0.3">
      <c r="A183" s="4">
        <v>182</v>
      </c>
      <c r="B183" s="5" t="s">
        <v>780</v>
      </c>
      <c r="C183" s="5" t="s">
        <v>781</v>
      </c>
      <c r="D183" s="5" t="s">
        <v>59</v>
      </c>
      <c r="E183" s="5" t="s">
        <v>782</v>
      </c>
      <c r="F183" s="5" t="s">
        <v>679</v>
      </c>
      <c r="G183" s="5" t="s">
        <v>633</v>
      </c>
      <c r="H183" s="5" t="s">
        <v>199</v>
      </c>
      <c r="I183" s="5" t="s">
        <v>20</v>
      </c>
      <c r="J183" s="5">
        <v>1.9</v>
      </c>
      <c r="K183" s="5" t="s">
        <v>21</v>
      </c>
      <c r="L183" s="5" t="s">
        <v>783</v>
      </c>
      <c r="M183" s="5" t="s">
        <v>681</v>
      </c>
      <c r="N183" s="7" t="str">
        <f>HYPERLINK("C:\Users\alexa\YandexDisk\Книги\Алгоритмы\Общие вопросы\Алгоритмы_Самый_краткий_и_понятный_курс.pdf","Алгоритмы_Самый_краткий_и_понятный_курс.pdf")</f>
        <v>Алгоритмы_Самый_краткий_и_понятный_курс.pdf</v>
      </c>
      <c r="O183" s="5" t="s">
        <v>784</v>
      </c>
    </row>
    <row r="184" spans="1:15" ht="193.2" x14ac:dyDescent="0.3">
      <c r="A184" s="2">
        <v>183</v>
      </c>
      <c r="B184" s="3" t="s">
        <v>761</v>
      </c>
      <c r="C184" s="3" t="s">
        <v>762</v>
      </c>
      <c r="D184" s="3" t="s">
        <v>50</v>
      </c>
      <c r="E184" s="3" t="s">
        <v>442</v>
      </c>
      <c r="F184" s="3" t="s">
        <v>679</v>
      </c>
      <c r="G184" s="3" t="s">
        <v>633</v>
      </c>
      <c r="H184" s="3" t="s">
        <v>199</v>
      </c>
      <c r="I184" s="3" t="s">
        <v>20</v>
      </c>
      <c r="J184" s="3">
        <v>25.11</v>
      </c>
      <c r="K184" s="3" t="s">
        <v>21</v>
      </c>
      <c r="L184" s="3" t="s">
        <v>785</v>
      </c>
      <c r="M184" s="3" t="s">
        <v>681</v>
      </c>
      <c r="N184" s="6" t="str">
        <f>HYPERLINK("C:\Users\alexa\YandexDisk\Книги\Алгоритмы\Общие вопросы\Алгоритмы_Справочник_с_примерами_на_C,_C++,_Java_и_Python_2017,.pdf","Алгоритмы_Справочник_с_примерами_на_C,_C++,_Java_и_Python_2017,.pdf")</f>
        <v>Алгоритмы_Справочник_с_примерами_на_C,_C++,_Java_и_Python_2017,.pdf</v>
      </c>
      <c r="O184" s="3" t="s">
        <v>786</v>
      </c>
    </row>
    <row r="185" spans="1:15" ht="151.80000000000001" x14ac:dyDescent="0.3">
      <c r="A185" s="4">
        <v>184</v>
      </c>
      <c r="B185" s="5" t="s">
        <v>704</v>
      </c>
      <c r="C185" s="5" t="s">
        <v>705</v>
      </c>
      <c r="D185" s="5" t="s">
        <v>50</v>
      </c>
      <c r="E185" s="5" t="s">
        <v>18</v>
      </c>
      <c r="F185" s="5" t="s">
        <v>679</v>
      </c>
      <c r="G185" s="5" t="s">
        <v>633</v>
      </c>
      <c r="H185" s="5" t="s">
        <v>199</v>
      </c>
      <c r="I185" s="5" t="s">
        <v>20</v>
      </c>
      <c r="J185" s="5">
        <v>69.260000000000005</v>
      </c>
      <c r="K185" s="5" t="s">
        <v>21</v>
      </c>
      <c r="L185" s="5" t="s">
        <v>787</v>
      </c>
      <c r="M185" s="5" t="s">
        <v>681</v>
      </c>
      <c r="N185" s="7" t="str">
        <f>HYPERLINK("C:\Users\alexa\YandexDisk\Книги\Алгоритмы\Общие вопросы\Бхаргава - Грокаем алгоритмы.pdf","Бхаргава - Грокаем алгоритмы.pdf")</f>
        <v>Бхаргава - Грокаем алгоритмы.pdf</v>
      </c>
      <c r="O185" s="5" t="s">
        <v>788</v>
      </c>
    </row>
    <row r="186" spans="1:15" ht="165.6" x14ac:dyDescent="0.3">
      <c r="A186" s="2">
        <v>185</v>
      </c>
      <c r="B186" s="3" t="s">
        <v>789</v>
      </c>
      <c r="C186" s="3" t="s">
        <v>790</v>
      </c>
      <c r="D186" s="3"/>
      <c r="E186" s="3" t="s">
        <v>678</v>
      </c>
      <c r="F186" s="3" t="s">
        <v>679</v>
      </c>
      <c r="G186" s="3" t="s">
        <v>633</v>
      </c>
      <c r="H186" s="3" t="s">
        <v>199</v>
      </c>
      <c r="I186" s="3" t="s">
        <v>20</v>
      </c>
      <c r="J186" s="3">
        <v>11.12</v>
      </c>
      <c r="K186" s="3" t="s">
        <v>21</v>
      </c>
      <c r="L186" s="3" t="s">
        <v>791</v>
      </c>
      <c r="M186" s="3" t="s">
        <v>681</v>
      </c>
      <c r="N186" s="6" t="str">
        <f>HYPERLINK("C:\Users\alexa\YandexDisk\Книги\Алгоритмы\Общие вопросы\Введение в соревновательное программирование - англ.pdf","Введение в соревновательное программирование - англ.pdf")</f>
        <v>Введение в соревновательное программирование - англ.pdf</v>
      </c>
      <c r="O186" s="3" t="s">
        <v>792</v>
      </c>
    </row>
    <row r="187" spans="1:15" ht="151.80000000000001" x14ac:dyDescent="0.3">
      <c r="A187" s="4">
        <v>186</v>
      </c>
      <c r="B187" s="5" t="s">
        <v>793</v>
      </c>
      <c r="C187" s="5" t="s">
        <v>794</v>
      </c>
      <c r="D187" s="5" t="s">
        <v>114</v>
      </c>
      <c r="E187" s="5" t="s">
        <v>766</v>
      </c>
      <c r="F187" s="5" t="s">
        <v>679</v>
      </c>
      <c r="G187" s="5" t="s">
        <v>633</v>
      </c>
      <c r="H187" s="5" t="s">
        <v>199</v>
      </c>
      <c r="I187" s="5" t="s">
        <v>20</v>
      </c>
      <c r="J187" s="5">
        <v>0.96</v>
      </c>
      <c r="K187" s="5" t="s">
        <v>21</v>
      </c>
      <c r="L187" s="5" t="s">
        <v>795</v>
      </c>
      <c r="M187" s="5" t="s">
        <v>681</v>
      </c>
      <c r="N187" s="7" t="str">
        <f>HYPERLINK("C:\Users\alexa\YandexDisk\Книги\Алгоритмы\Общие вопросы\Введение в теорию алгоритмов.pdf","Введение в теорию алгоритмов.pdf")</f>
        <v>Введение в теорию алгоритмов.pdf</v>
      </c>
      <c r="O187" s="5" t="s">
        <v>796</v>
      </c>
    </row>
    <row r="188" spans="1:15" ht="151.80000000000001" x14ac:dyDescent="0.3">
      <c r="A188" s="2">
        <v>187</v>
      </c>
      <c r="B188" s="3" t="s">
        <v>793</v>
      </c>
      <c r="C188" s="3" t="s">
        <v>794</v>
      </c>
      <c r="D188" s="3" t="s">
        <v>114</v>
      </c>
      <c r="E188" s="3" t="s">
        <v>766</v>
      </c>
      <c r="F188" s="3" t="s">
        <v>679</v>
      </c>
      <c r="G188" s="3" t="s">
        <v>633</v>
      </c>
      <c r="H188" s="3" t="s">
        <v>199</v>
      </c>
      <c r="I188" s="3" t="s">
        <v>20</v>
      </c>
      <c r="J188" s="3">
        <v>0.96</v>
      </c>
      <c r="K188" s="3" t="s">
        <v>21</v>
      </c>
      <c r="L188" s="3" t="s">
        <v>797</v>
      </c>
      <c r="M188" s="3" t="s">
        <v>681</v>
      </c>
      <c r="N188" s="6" t="str">
        <f>HYPERLINK("C:\Users\alexa\YandexDisk\Книги\Алгоритмы\Общие вопросы\Введение_в_теорию_алгоритмов_и_структур_данных_2016.pdf","Введение_в_теорию_алгоритмов_и_структур_данных_2016.pdf")</f>
        <v>Введение_в_теорию_алгоритмов_и_структур_данных_2016.pdf</v>
      </c>
      <c r="O188" s="3" t="s">
        <v>798</v>
      </c>
    </row>
    <row r="189" spans="1:15" ht="207" x14ac:dyDescent="0.3">
      <c r="A189" s="4">
        <v>188</v>
      </c>
      <c r="B189" s="5" t="s">
        <v>729</v>
      </c>
      <c r="C189" s="5" t="s">
        <v>799</v>
      </c>
      <c r="D189" s="5"/>
      <c r="E189" s="5"/>
      <c r="F189" s="5" t="s">
        <v>679</v>
      </c>
      <c r="G189" s="5" t="s">
        <v>633</v>
      </c>
      <c r="H189" s="5" t="s">
        <v>199</v>
      </c>
      <c r="I189" s="5" t="s">
        <v>20</v>
      </c>
      <c r="J189" s="5">
        <v>14.01</v>
      </c>
      <c r="K189" s="5" t="s">
        <v>21</v>
      </c>
      <c r="L189" s="5" t="s">
        <v>800</v>
      </c>
      <c r="M189" s="5" t="s">
        <v>681</v>
      </c>
      <c r="N189" s="7" t="str">
        <f>HYPERLINK("C:\Users\alexa\YandexDisk\Книги\Алгоритмы\Общие вопросы\Генри С. Уоррен - Алгоритмические трюки для программистов, 2-е издание.pdf","Генри С. Уоррен - Алгоритмические трюки для программистов, 2-е издание.pdf")</f>
        <v>Генри С. Уоррен - Алгоритмические трюки для программистов, 2-е издание.pdf</v>
      </c>
      <c r="O189" s="5" t="s">
        <v>801</v>
      </c>
    </row>
    <row r="190" spans="1:15" ht="179.4" x14ac:dyDescent="0.3">
      <c r="A190" s="2">
        <v>189</v>
      </c>
      <c r="B190" s="3" t="s">
        <v>704</v>
      </c>
      <c r="C190" s="3" t="s">
        <v>705</v>
      </c>
      <c r="D190" s="3" t="s">
        <v>50</v>
      </c>
      <c r="E190" s="3" t="s">
        <v>18</v>
      </c>
      <c r="F190" s="3" t="s">
        <v>679</v>
      </c>
      <c r="G190" s="3" t="s">
        <v>633</v>
      </c>
      <c r="H190" s="3" t="s">
        <v>199</v>
      </c>
      <c r="I190" s="3" t="s">
        <v>20</v>
      </c>
      <c r="J190" s="3">
        <v>69.45</v>
      </c>
      <c r="K190" s="3" t="s">
        <v>21</v>
      </c>
      <c r="L190" s="3" t="s">
        <v>802</v>
      </c>
      <c r="M190" s="3" t="s">
        <v>681</v>
      </c>
      <c r="N190" s="6" t="str">
        <f>HYPERLINK("C:\Users\alexa\YandexDisk\Книги\Алгоритмы\Общие вопросы\Грокаем алгоритмы. Иллюстрированное пособие для программистов и любопытствующих (2017).pdf","Грокаем алгоритмы. Иллюстрированное пособие для программистов и любопытствующих (2017).pdf")</f>
        <v>Грокаем алгоритмы. Иллюстрированное пособие для программистов и любопытствующих (2017).pdf</v>
      </c>
      <c r="O190" s="3" t="s">
        <v>803</v>
      </c>
    </row>
    <row r="191" spans="1:15" ht="138" x14ac:dyDescent="0.3">
      <c r="A191" s="4">
        <v>190</v>
      </c>
      <c r="B191" s="5" t="s">
        <v>804</v>
      </c>
      <c r="C191" s="5"/>
      <c r="D191" s="5"/>
      <c r="E191" s="5"/>
      <c r="F191" s="5" t="s">
        <v>679</v>
      </c>
      <c r="G191" s="5" t="s">
        <v>633</v>
      </c>
      <c r="H191" s="5" t="s">
        <v>199</v>
      </c>
      <c r="I191" s="5" t="s">
        <v>519</v>
      </c>
      <c r="J191" s="5">
        <v>12.37</v>
      </c>
      <c r="K191" s="5" t="s">
        <v>21</v>
      </c>
      <c r="L191" s="5" t="s">
        <v>805</v>
      </c>
      <c r="M191" s="5" t="s">
        <v>681</v>
      </c>
      <c r="N191" s="7" t="str">
        <f>HYPERLINK("C:\Users\alexa\YandexDisk\Книги\Алгоритмы\Общие вопросы\Грокаем алгоритмы.zip","Грокаем алгоритмы.zip")</f>
        <v>Грокаем алгоритмы.zip</v>
      </c>
      <c r="O191" s="5" t="s">
        <v>806</v>
      </c>
    </row>
    <row r="192" spans="1:15" ht="193.2" x14ac:dyDescent="0.3">
      <c r="A192" s="2">
        <v>191</v>
      </c>
      <c r="B192" s="3" t="s">
        <v>633</v>
      </c>
      <c r="C192" s="3" t="s">
        <v>765</v>
      </c>
      <c r="D192" s="3" t="s">
        <v>186</v>
      </c>
      <c r="E192" s="3" t="s">
        <v>766</v>
      </c>
      <c r="F192" s="3" t="s">
        <v>679</v>
      </c>
      <c r="G192" s="3" t="s">
        <v>633</v>
      </c>
      <c r="H192" s="3" t="s">
        <v>199</v>
      </c>
      <c r="I192" s="3" t="s">
        <v>20</v>
      </c>
      <c r="J192" s="3">
        <v>1.72</v>
      </c>
      <c r="K192" s="3" t="s">
        <v>21</v>
      </c>
      <c r="L192" s="3" t="s">
        <v>807</v>
      </c>
      <c r="M192" s="3" t="s">
        <v>681</v>
      </c>
      <c r="N192" s="6" t="str">
        <f>HYPERLINK("C:\Users\alexa\YandexDisk\Книги\Алгоритмы\Общие вопросы\Дасгупта С., Пападимитриу Х., Вазирани У. - Алгоритмы.pdf","Дасгупта С., Пападимитриу Х., Вазирани У. - Алгоритмы.pdf")</f>
        <v>Дасгупта С., Пападимитриу Х., Вазирани У. - Алгоритмы.pdf</v>
      </c>
      <c r="O192" s="3" t="s">
        <v>808</v>
      </c>
    </row>
    <row r="193" spans="1:15" ht="179.4" x14ac:dyDescent="0.3">
      <c r="A193" s="4">
        <v>192</v>
      </c>
      <c r="B193" s="5" t="s">
        <v>809</v>
      </c>
      <c r="C193" s="5" t="s">
        <v>810</v>
      </c>
      <c r="D193" s="5" t="s">
        <v>161</v>
      </c>
      <c r="E193" s="5" t="s">
        <v>162</v>
      </c>
      <c r="F193" s="5" t="s">
        <v>679</v>
      </c>
      <c r="G193" s="5" t="s">
        <v>633</v>
      </c>
      <c r="H193" s="5" t="s">
        <v>199</v>
      </c>
      <c r="I193" s="5" t="s">
        <v>20</v>
      </c>
      <c r="J193" s="5">
        <v>25.87</v>
      </c>
      <c r="K193" s="5" t="s">
        <v>21</v>
      </c>
      <c r="L193" s="5" t="s">
        <v>811</v>
      </c>
      <c r="M193" s="5" t="s">
        <v>681</v>
      </c>
      <c r="N193" s="7" t="str">
        <f>HYPERLINK("C:\Users\alexa\YandexDisk\Книги\Алгоритмы\Общие вопросы\Дж. Макконелл - Анализ алгоритмов. Вводный курс, 2-е дополненное издание.pdf","Дж. Макконелл - Анализ алгоритмов. Вводный курс, 2-е дополненное издание.pdf")</f>
        <v>Дж. Макконелл - Анализ алгоритмов. Вводный курс, 2-е дополненное издание.pdf</v>
      </c>
      <c r="O193" s="5" t="s">
        <v>812</v>
      </c>
    </row>
    <row r="194" spans="1:15" ht="138" x14ac:dyDescent="0.3">
      <c r="A194" s="2">
        <v>193</v>
      </c>
      <c r="B194" s="3" t="s">
        <v>776</v>
      </c>
      <c r="C194" s="3" t="s">
        <v>777</v>
      </c>
      <c r="D194" s="3" t="s">
        <v>27</v>
      </c>
      <c r="E194" s="3" t="s">
        <v>18</v>
      </c>
      <c r="F194" s="3" t="s">
        <v>679</v>
      </c>
      <c r="G194" s="3" t="s">
        <v>633</v>
      </c>
      <c r="H194" s="3" t="s">
        <v>199</v>
      </c>
      <c r="I194" s="3" t="s">
        <v>20</v>
      </c>
      <c r="J194" s="3">
        <v>32.92</v>
      </c>
      <c r="K194" s="3" t="s">
        <v>21</v>
      </c>
      <c r="L194" s="3" t="s">
        <v>813</v>
      </c>
      <c r="M194" s="3" t="s">
        <v>681</v>
      </c>
      <c r="N194" s="6" t="str">
        <f>HYPERLINK("C:\Users\alexa\YandexDisk\Книги\Алгоритмы\Общие вопросы\Джордж_Хайнеман_Алгоритмы_С_примерами_на_Python.pdf","Джордж_Хайнеман_Алгоритмы_С_примерами_на_Python.pdf")</f>
        <v>Джордж_Хайнеман_Алгоритмы_С_примерами_на_Python.pdf</v>
      </c>
      <c r="O194" s="3" t="s">
        <v>814</v>
      </c>
    </row>
    <row r="195" spans="1:15" ht="151.80000000000001" x14ac:dyDescent="0.3">
      <c r="A195" s="4">
        <v>194</v>
      </c>
      <c r="B195" s="5" t="s">
        <v>815</v>
      </c>
      <c r="C195" s="5"/>
      <c r="D195" s="5"/>
      <c r="E195" s="5"/>
      <c r="F195" s="5" t="s">
        <v>679</v>
      </c>
      <c r="G195" s="5" t="s">
        <v>633</v>
      </c>
      <c r="H195" s="5" t="s">
        <v>199</v>
      </c>
      <c r="I195" s="5" t="s">
        <v>20</v>
      </c>
      <c r="J195" s="5">
        <v>35.090000000000003</v>
      </c>
      <c r="K195" s="5" t="s">
        <v>21</v>
      </c>
      <c r="L195" s="5" t="s">
        <v>816</v>
      </c>
      <c r="M195" s="5" t="s">
        <v>681</v>
      </c>
      <c r="N195" s="7" t="str">
        <f>HYPERLINK("C:\Users\alexa\YandexDisk\Книги\Алгоритмы\Общие вопросы\Достаточно_ли_вы_умны_чтобы_работать_в_Гугл.pdf","Достаточно_ли_вы_умны_чтобы_работать_в_Гугл.pdf")</f>
        <v>Достаточно_ли_вы_умны_чтобы_работать_в_Гугл.pdf</v>
      </c>
      <c r="O195" s="5" t="s">
        <v>817</v>
      </c>
    </row>
    <row r="196" spans="1:15" ht="179.4" x14ac:dyDescent="0.3">
      <c r="A196" s="2">
        <v>195</v>
      </c>
      <c r="B196" s="3" t="s">
        <v>818</v>
      </c>
      <c r="C196" s="3" t="s">
        <v>819</v>
      </c>
      <c r="D196" s="3" t="s">
        <v>77</v>
      </c>
      <c r="E196" s="3" t="s">
        <v>86</v>
      </c>
      <c r="F196" s="3" t="s">
        <v>679</v>
      </c>
      <c r="G196" s="3" t="s">
        <v>633</v>
      </c>
      <c r="H196" s="3" t="s">
        <v>199</v>
      </c>
      <c r="I196" s="3" t="s">
        <v>20</v>
      </c>
      <c r="J196" s="3">
        <v>43.87</v>
      </c>
      <c r="K196" s="3" t="s">
        <v>21</v>
      </c>
      <c r="L196" s="3" t="s">
        <v>820</v>
      </c>
      <c r="M196" s="3" t="s">
        <v>681</v>
      </c>
      <c r="N196" s="6" t="str">
        <f>HYPERLINK("C:\Users\alexa\YandexDisk\Книги\Алгоритмы\Общие вопросы\Мартин_Эрвиг_Занимательные_алгоритмы_чему_нас_учат_истории_знаменитых.pdf","Мартин_Эрвиг_Занимательные_алгоритмы_чему_нас_учат_истории_знаменитых.pdf")</f>
        <v>Мартин_Эрвиг_Занимательные_алгоритмы_чему_нас_учат_истории_знаменитых.pdf</v>
      </c>
      <c r="O196" s="3" t="s">
        <v>821</v>
      </c>
    </row>
    <row r="197" spans="1:15" ht="207" x14ac:dyDescent="0.3">
      <c r="A197" s="4">
        <v>196</v>
      </c>
      <c r="B197" s="5" t="s">
        <v>822</v>
      </c>
      <c r="C197" s="5" t="s">
        <v>823</v>
      </c>
      <c r="D197" s="5" t="s">
        <v>32</v>
      </c>
      <c r="E197" s="5" t="s">
        <v>102</v>
      </c>
      <c r="F197" s="5" t="s">
        <v>679</v>
      </c>
      <c r="G197" s="5" t="s">
        <v>633</v>
      </c>
      <c r="H197" s="5" t="s">
        <v>199</v>
      </c>
      <c r="I197" s="5" t="s">
        <v>20</v>
      </c>
      <c r="J197" s="5">
        <v>10.039999999999999</v>
      </c>
      <c r="K197" s="5" t="s">
        <v>21</v>
      </c>
      <c r="L197" s="5" t="s">
        <v>824</v>
      </c>
      <c r="M197" s="5" t="s">
        <v>681</v>
      </c>
      <c r="N197" s="7" t="str">
        <f>HYPERLINK("C:\Users\alexa\YandexDisk\Книги\Алгоритмы\Общие вопросы\Олимпиадное_программирование_2018.pdf","Олимпиадное_программирование_2018.pdf")</f>
        <v>Олимпиадное_программирование_2018.pdf</v>
      </c>
      <c r="O197" s="5" t="s">
        <v>825</v>
      </c>
    </row>
    <row r="198" spans="1:15" ht="165.6" x14ac:dyDescent="0.3">
      <c r="A198" s="2">
        <v>197</v>
      </c>
      <c r="B198" s="3" t="s">
        <v>826</v>
      </c>
      <c r="C198" s="3" t="s">
        <v>827</v>
      </c>
      <c r="D198" s="3" t="s">
        <v>109</v>
      </c>
      <c r="E198" s="3" t="s">
        <v>18</v>
      </c>
      <c r="F198" s="3" t="s">
        <v>679</v>
      </c>
      <c r="G198" s="3" t="s">
        <v>633</v>
      </c>
      <c r="H198" s="3" t="s">
        <v>199</v>
      </c>
      <c r="I198" s="3" t="s">
        <v>20</v>
      </c>
      <c r="J198" s="3">
        <v>38.799999999999997</v>
      </c>
      <c r="K198" s="3" t="s">
        <v>21</v>
      </c>
      <c r="L198" s="3" t="s">
        <v>828</v>
      </c>
      <c r="M198" s="3" t="s">
        <v>681</v>
      </c>
      <c r="N198" s="6" t="str">
        <f>HYPERLINK("C:\Users\alexa\YandexDisk\Книги\Алгоритмы\Общие вопросы\Прикладные структуры данных и алгоритмы.pdf","Прикладные структуры данных и алгоритмы.pdf")</f>
        <v>Прикладные структуры данных и алгоритмы.pdf</v>
      </c>
      <c r="O198" s="3" t="s">
        <v>829</v>
      </c>
    </row>
    <row r="199" spans="1:15" ht="193.2" x14ac:dyDescent="0.3">
      <c r="A199" s="4">
        <v>198</v>
      </c>
      <c r="B199" s="5" t="s">
        <v>830</v>
      </c>
      <c r="C199" s="5" t="s">
        <v>831</v>
      </c>
      <c r="D199" s="5" t="s">
        <v>109</v>
      </c>
      <c r="E199" s="5" t="s">
        <v>18</v>
      </c>
      <c r="F199" s="5" t="s">
        <v>679</v>
      </c>
      <c r="G199" s="5" t="s">
        <v>633</v>
      </c>
      <c r="H199" s="5" t="s">
        <v>199</v>
      </c>
      <c r="I199" s="5" t="s">
        <v>280</v>
      </c>
      <c r="J199" s="5">
        <v>33.53</v>
      </c>
      <c r="K199" s="5" t="s">
        <v>21</v>
      </c>
      <c r="L199" s="5" t="s">
        <v>832</v>
      </c>
      <c r="M199" s="5" t="s">
        <v>681</v>
      </c>
      <c r="N199" s="7" t="str">
        <f>HYPERLINK("C:\Users\alexa\YandexDisk\Книги\Алгоритмы\Общие вопросы\Продвинутые_алгоритмы и структуры данных.epub","Продвинутые_алгоритмы и структуры данных.epub")</f>
        <v>Продвинутые_алгоритмы и структуры данных.epub</v>
      </c>
      <c r="O199" s="5" t="s">
        <v>833</v>
      </c>
    </row>
    <row r="200" spans="1:15" ht="179.4" x14ac:dyDescent="0.3">
      <c r="A200" s="2">
        <v>199</v>
      </c>
      <c r="B200" s="3" t="s">
        <v>830</v>
      </c>
      <c r="C200" s="3" t="s">
        <v>834</v>
      </c>
      <c r="D200" s="3" t="s">
        <v>109</v>
      </c>
      <c r="E200" s="3" t="s">
        <v>18</v>
      </c>
      <c r="F200" s="3" t="s">
        <v>679</v>
      </c>
      <c r="G200" s="3" t="s">
        <v>633</v>
      </c>
      <c r="H200" s="3" t="s">
        <v>199</v>
      </c>
      <c r="I200" s="3" t="s">
        <v>20</v>
      </c>
      <c r="J200" s="3">
        <v>20.75</v>
      </c>
      <c r="K200" s="3" t="s">
        <v>21</v>
      </c>
      <c r="L200" s="3" t="s">
        <v>835</v>
      </c>
      <c r="M200" s="3" t="s">
        <v>681</v>
      </c>
      <c r="N200" s="6" t="str">
        <f>HYPERLINK("C:\Users\alexa\YandexDisk\Книги\Алгоритмы\Общие вопросы\Продвинутые_алгоритмы и структуры данных.pdf","Продвинутые_алгоритмы и структуры данных.pdf")</f>
        <v>Продвинутые_алгоритмы и структуры данных.pdf</v>
      </c>
      <c r="O200" s="3" t="s">
        <v>836</v>
      </c>
    </row>
    <row r="201" spans="1:15" ht="151.80000000000001" x14ac:dyDescent="0.3">
      <c r="A201" s="4">
        <v>200</v>
      </c>
      <c r="B201" s="5" t="s">
        <v>780</v>
      </c>
      <c r="C201" s="5" t="s">
        <v>31</v>
      </c>
      <c r="D201" s="5" t="s">
        <v>837</v>
      </c>
      <c r="E201" s="5" t="s">
        <v>92</v>
      </c>
      <c r="F201" s="5" t="s">
        <v>679</v>
      </c>
      <c r="G201" s="5" t="s">
        <v>633</v>
      </c>
      <c r="H201" s="5" t="s">
        <v>199</v>
      </c>
      <c r="I201" s="5" t="s">
        <v>721</v>
      </c>
      <c r="J201" s="5">
        <v>40.19</v>
      </c>
      <c r="K201" s="5" t="s">
        <v>21</v>
      </c>
      <c r="L201" s="5" t="s">
        <v>838</v>
      </c>
      <c r="M201" s="5" t="s">
        <v>681</v>
      </c>
      <c r="N201" s="7" t="str">
        <f>HYPERLINK("C:\Users\alexa\YandexDisk\Книги\Алгоритмы\Общие вопросы\Р. Седжвик, К. Уэйн - Алгоритмы на Java, 4-е издание.djvu","Р. Седжвик, К. Уэйн - Алгоритмы на Java, 4-е издание.djvu")</f>
        <v>Р. Седжвик, К. Уэйн - Алгоритмы на Java, 4-е издание.djvu</v>
      </c>
      <c r="O201" s="5" t="s">
        <v>839</v>
      </c>
    </row>
    <row r="202" spans="1:15" ht="207" x14ac:dyDescent="0.3">
      <c r="A202" s="2">
        <v>201</v>
      </c>
      <c r="B202" s="3" t="s">
        <v>840</v>
      </c>
      <c r="C202" s="3" t="s">
        <v>841</v>
      </c>
      <c r="D202" s="3" t="s">
        <v>114</v>
      </c>
      <c r="E202" s="3" t="s">
        <v>308</v>
      </c>
      <c r="F202" s="3" t="s">
        <v>679</v>
      </c>
      <c r="G202" s="3" t="s">
        <v>633</v>
      </c>
      <c r="H202" s="3" t="s">
        <v>199</v>
      </c>
      <c r="I202" s="3" t="s">
        <v>20</v>
      </c>
      <c r="J202" s="3">
        <v>3.91</v>
      </c>
      <c r="K202" s="3" t="s">
        <v>21</v>
      </c>
      <c r="L202" s="3" t="s">
        <v>842</v>
      </c>
      <c r="M202" s="3" t="s">
        <v>681</v>
      </c>
      <c r="N202" s="6" t="str">
        <f>HYPERLINK("C:\Users\alexa\YandexDisk\Книги\Алгоритмы\Общие вопросы\Р. Стивенс Алгоритмы. Теория и практическое применение.pdf","Р. Стивенс Алгоритмы. Теория и практическое применение.pdf")</f>
        <v>Р. Стивенс Алгоритмы. Теория и практическое применение.pdf</v>
      </c>
      <c r="O202" s="3" t="s">
        <v>843</v>
      </c>
    </row>
    <row r="203" spans="1:15" ht="165.6" x14ac:dyDescent="0.3">
      <c r="A203" s="4">
        <v>202</v>
      </c>
      <c r="B203" s="5" t="s">
        <v>844</v>
      </c>
      <c r="C203" s="5" t="s">
        <v>845</v>
      </c>
      <c r="D203" s="5"/>
      <c r="E203" s="5"/>
      <c r="F203" s="5" t="s">
        <v>679</v>
      </c>
      <c r="G203" s="5" t="s">
        <v>633</v>
      </c>
      <c r="H203" s="5" t="s">
        <v>199</v>
      </c>
      <c r="I203" s="5" t="s">
        <v>519</v>
      </c>
      <c r="J203" s="5">
        <v>34.18</v>
      </c>
      <c r="K203" s="5" t="s">
        <v>21</v>
      </c>
      <c r="L203" s="5" t="s">
        <v>846</v>
      </c>
      <c r="M203" s="5" t="s">
        <v>681</v>
      </c>
      <c r="N203" s="7" t="str">
        <f>HYPERLINK("C:\Users\alexa\YandexDisk\Книги\Алгоритмы\Общие вопросы\Рафгарден-Современный алгоритм.zip","Рафгарден-Современный алгоритм.zip")</f>
        <v>Рафгарден-Современный алгоритм.zip</v>
      </c>
      <c r="O203" s="5" t="s">
        <v>847</v>
      </c>
    </row>
    <row r="204" spans="1:15" ht="165.6" x14ac:dyDescent="0.3">
      <c r="A204" s="2">
        <v>203</v>
      </c>
      <c r="B204" s="3" t="s">
        <v>848</v>
      </c>
      <c r="C204" s="3" t="s">
        <v>849</v>
      </c>
      <c r="D204" s="3" t="s">
        <v>77</v>
      </c>
      <c r="E204" s="3"/>
      <c r="F204" s="3" t="s">
        <v>679</v>
      </c>
      <c r="G204" s="3" t="s">
        <v>633</v>
      </c>
      <c r="H204" s="3" t="s">
        <v>199</v>
      </c>
      <c r="I204" s="3" t="s">
        <v>20</v>
      </c>
      <c r="J204" s="3">
        <v>4.1500000000000004</v>
      </c>
      <c r="K204" s="3" t="s">
        <v>21</v>
      </c>
      <c r="L204" s="3" t="s">
        <v>850</v>
      </c>
      <c r="M204" s="3" t="s">
        <v>681</v>
      </c>
      <c r="N204" s="6" t="str">
        <f>HYPERLINK("C:\Users\alexa\YandexDisk\Книги\Алгоритмы\Общие вопросы\Сложность алгоритмов.pdf","Сложность алгоритмов.pdf")</f>
        <v>Сложность алгоритмов.pdf</v>
      </c>
      <c r="O204" s="3" t="s">
        <v>851</v>
      </c>
    </row>
    <row r="205" spans="1:15" ht="151.80000000000001" x14ac:dyDescent="0.3">
      <c r="A205" s="4">
        <v>204</v>
      </c>
      <c r="B205" s="5" t="s">
        <v>852</v>
      </c>
      <c r="C205" s="5" t="s">
        <v>853</v>
      </c>
      <c r="D205" s="5" t="s">
        <v>77</v>
      </c>
      <c r="E205" s="5" t="s">
        <v>18</v>
      </c>
      <c r="F205" s="5" t="s">
        <v>679</v>
      </c>
      <c r="G205" s="5" t="s">
        <v>633</v>
      </c>
      <c r="H205" s="5" t="s">
        <v>199</v>
      </c>
      <c r="I205" s="5" t="s">
        <v>20</v>
      </c>
      <c r="J205" s="5">
        <v>7.13</v>
      </c>
      <c r="K205" s="5" t="s">
        <v>21</v>
      </c>
      <c r="L205" s="5" t="s">
        <v>854</v>
      </c>
      <c r="M205" s="5" t="s">
        <v>681</v>
      </c>
      <c r="N205" s="7" t="str">
        <f>HYPERLINK("C:\Users\alexa\YandexDisk\Книги\Алгоритмы\Общие вопросы\Совершенный алгоритм. Основы.pdf","Совершенный алгоритм. Основы.pdf")</f>
        <v>Совершенный алгоритм. Основы.pdf</v>
      </c>
      <c r="O205" s="5" t="s">
        <v>855</v>
      </c>
    </row>
    <row r="206" spans="1:15" ht="193.2" x14ac:dyDescent="0.3">
      <c r="A206" s="2">
        <v>205</v>
      </c>
      <c r="B206" s="3" t="s">
        <v>856</v>
      </c>
      <c r="C206" s="3" t="s">
        <v>857</v>
      </c>
      <c r="D206" s="3" t="s">
        <v>59</v>
      </c>
      <c r="E206" s="3" t="s">
        <v>102</v>
      </c>
      <c r="F206" s="3" t="s">
        <v>679</v>
      </c>
      <c r="G206" s="3" t="s">
        <v>633</v>
      </c>
      <c r="H206" s="3" t="s">
        <v>199</v>
      </c>
      <c r="I206" s="3" t="s">
        <v>20</v>
      </c>
      <c r="J206" s="3">
        <v>31.49</v>
      </c>
      <c r="K206" s="3" t="s">
        <v>21</v>
      </c>
      <c r="L206" s="3" t="s">
        <v>858</v>
      </c>
      <c r="M206" s="3" t="s">
        <v>681</v>
      </c>
      <c r="N206" s="6" t="str">
        <f>HYPERLINK("C:\Users\alexa\YandexDisk\Книги\Алгоритмы\Общие вопросы\Спортивное_программирование_Новый_нижний_предел.pdf","Спортивное_программирование_Новый_нижний_предел.pdf")</f>
        <v>Спортивное_программирование_Новый_нижний_предел.pdf</v>
      </c>
      <c r="O206" s="3" t="s">
        <v>859</v>
      </c>
    </row>
    <row r="207" spans="1:15" ht="193.2" x14ac:dyDescent="0.3">
      <c r="A207" s="4">
        <v>206</v>
      </c>
      <c r="B207" s="5" t="s">
        <v>757</v>
      </c>
      <c r="C207" s="5" t="s">
        <v>860</v>
      </c>
      <c r="D207" s="5"/>
      <c r="E207" s="5"/>
      <c r="F207" s="5" t="s">
        <v>679</v>
      </c>
      <c r="G207" s="5" t="s">
        <v>633</v>
      </c>
      <c r="H207" s="5" t="s">
        <v>199</v>
      </c>
      <c r="I207" s="5" t="s">
        <v>721</v>
      </c>
      <c r="J207" s="5">
        <v>15.66</v>
      </c>
      <c r="K207" s="5" t="s">
        <v>21</v>
      </c>
      <c r="L207" s="5" t="s">
        <v>861</v>
      </c>
      <c r="M207" s="5" t="s">
        <v>681</v>
      </c>
      <c r="N207" s="7" t="str">
        <f>HYPERLINK("C:\Users\alexa\YandexDisk\Книги\Алгоритмы\Общие вопросы\Стивен С. Скиена Алгоритмы. Руководство по разработке (2е Издание).djvu","Стивен С. Скиена Алгоритмы. Руководство по разработке (2е Издание).djvu")</f>
        <v>Стивен С. Скиена Алгоритмы. Руководство по разработке (2е Издание).djvu</v>
      </c>
      <c r="O207" s="5" t="s">
        <v>862</v>
      </c>
    </row>
    <row r="208" spans="1:15" ht="151.80000000000001" x14ac:dyDescent="0.3">
      <c r="A208" s="2">
        <v>207</v>
      </c>
      <c r="B208" s="3" t="s">
        <v>732</v>
      </c>
      <c r="C208" s="3" t="s">
        <v>733</v>
      </c>
      <c r="D208" s="3" t="s">
        <v>186</v>
      </c>
      <c r="E208" s="3" t="s">
        <v>734</v>
      </c>
      <c r="F208" s="3" t="s">
        <v>679</v>
      </c>
      <c r="G208" s="3" t="s">
        <v>633</v>
      </c>
      <c r="H208" s="3" t="s">
        <v>199</v>
      </c>
      <c r="I208" s="3" t="s">
        <v>20</v>
      </c>
      <c r="J208" s="3">
        <v>13.93</v>
      </c>
      <c r="K208" s="3" t="s">
        <v>21</v>
      </c>
      <c r="L208" s="3" t="s">
        <v>863</v>
      </c>
      <c r="M208" s="3" t="s">
        <v>681</v>
      </c>
      <c r="N208" s="6" t="str">
        <f>HYPERLINK("C:\Users\alexa\YandexDisk\Книги\Алгоритмы\Общие вопросы\Т. Кормен - Алгоритмы. Вводный курс.pdf","Т. Кормен - Алгоритмы. Вводный курс.pdf")</f>
        <v>Т. Кормен - Алгоритмы. Вводный курс.pdf</v>
      </c>
      <c r="O208" s="3" t="s">
        <v>864</v>
      </c>
    </row>
    <row r="209" spans="1:15" ht="124.2" x14ac:dyDescent="0.3">
      <c r="A209" s="4">
        <v>208</v>
      </c>
      <c r="B209" s="5" t="s">
        <v>754</v>
      </c>
      <c r="C209" s="5" t="s">
        <v>865</v>
      </c>
      <c r="D209" s="5"/>
      <c r="E209" s="5"/>
      <c r="F209" s="5" t="s">
        <v>679</v>
      </c>
      <c r="G209" s="5" t="s">
        <v>633</v>
      </c>
      <c r="H209" s="5" t="s">
        <v>199</v>
      </c>
      <c r="I209" s="5" t="s">
        <v>721</v>
      </c>
      <c r="J209" s="5">
        <v>18.3</v>
      </c>
      <c r="K209" s="5" t="s">
        <v>21</v>
      </c>
      <c r="L209" s="5" t="s">
        <v>866</v>
      </c>
      <c r="M209" s="5" t="s">
        <v>681</v>
      </c>
      <c r="N209" s="7" t="str">
        <f>HYPERLINK("C:\Users\alexa\YandexDisk\Книги\Алгоритмы\Общие вопросы\Т. Кормен, Ч. Лейзерсон, Р. Ривест, К. Штайн - Алгоритмы. Построение и анализ. Издание 3-е.djvu","Т. Кормен, Ч. Лейзерсон, Р. Ривест, К. Штайн - Алгоритмы. Построение и анализ. Издание 3-е.djvu")</f>
        <v>Т. Кормен, Ч. Лейзерсон, Р. Ривест, К. Штайн - Алгоритмы. Построение и анализ. Издание 3-е.djvu</v>
      </c>
      <c r="O209" s="5" t="s">
        <v>867</v>
      </c>
    </row>
    <row r="210" spans="1:15" ht="138" x14ac:dyDescent="0.3">
      <c r="A210" s="2">
        <v>209</v>
      </c>
      <c r="B210" s="3" t="s">
        <v>732</v>
      </c>
      <c r="C210" s="3" t="s">
        <v>733</v>
      </c>
      <c r="D210" s="3" t="s">
        <v>186</v>
      </c>
      <c r="E210" s="3" t="s">
        <v>734</v>
      </c>
      <c r="F210" s="3" t="s">
        <v>679</v>
      </c>
      <c r="G210" s="3" t="s">
        <v>633</v>
      </c>
      <c r="H210" s="3" t="s">
        <v>199</v>
      </c>
      <c r="I210" s="3" t="s">
        <v>20</v>
      </c>
      <c r="J210" s="3">
        <v>13.97</v>
      </c>
      <c r="K210" s="3" t="s">
        <v>21</v>
      </c>
      <c r="L210" s="3" t="s">
        <v>868</v>
      </c>
      <c r="M210" s="3" t="s">
        <v>681</v>
      </c>
      <c r="N210" s="6" t="str">
        <f>HYPERLINK("C:\Users\alexa\YandexDisk\Книги\Алгоритмы\Общие вопросы\Т_Кормен_Алгоритмы_Вводный_курс.pdf","Т_Кормен_Алгоритмы_Вводный_курс.pdf")</f>
        <v>Т_Кормен_Алгоритмы_Вводный_курс.pdf</v>
      </c>
      <c r="O210" s="3" t="s">
        <v>869</v>
      </c>
    </row>
    <row r="211" spans="1:15" ht="151.80000000000001" x14ac:dyDescent="0.3">
      <c r="A211" s="4">
        <v>210</v>
      </c>
      <c r="B211" s="5" t="s">
        <v>112</v>
      </c>
      <c r="C211" s="5" t="s">
        <v>870</v>
      </c>
      <c r="D211" s="5" t="s">
        <v>71</v>
      </c>
      <c r="E211" s="5" t="s">
        <v>871</v>
      </c>
      <c r="F211" s="5" t="s">
        <v>679</v>
      </c>
      <c r="G211" s="5" t="s">
        <v>633</v>
      </c>
      <c r="H211" s="5" t="s">
        <v>199</v>
      </c>
      <c r="I211" s="5" t="s">
        <v>20</v>
      </c>
      <c r="J211" s="5">
        <v>1.61</v>
      </c>
      <c r="K211" s="5" t="s">
        <v>21</v>
      </c>
      <c r="L211" s="5" t="s">
        <v>872</v>
      </c>
      <c r="M211" s="5" t="s">
        <v>681</v>
      </c>
      <c r="N211" s="7" t="str">
        <f>HYPERLINK("C:\Users\alexa\YandexDisk\Книги\Алгоритмы\Общие вопросы\Теория алгоритмов.pdf","Теория алгоритмов.pdf")</f>
        <v>Теория алгоритмов.pdf</v>
      </c>
      <c r="O211" s="5" t="s">
        <v>873</v>
      </c>
    </row>
    <row r="212" spans="1:15" ht="248.4" x14ac:dyDescent="0.3">
      <c r="A212" s="2">
        <v>211</v>
      </c>
      <c r="B212" s="3" t="s">
        <v>874</v>
      </c>
      <c r="C212" s="3" t="s">
        <v>875</v>
      </c>
      <c r="D212" s="3" t="s">
        <v>59</v>
      </c>
      <c r="E212" s="3" t="s">
        <v>102</v>
      </c>
      <c r="F212" s="3" t="s">
        <v>876</v>
      </c>
      <c r="G212" s="3" t="s">
        <v>633</v>
      </c>
      <c r="H212" s="3" t="s">
        <v>877</v>
      </c>
      <c r="I212" s="3" t="s">
        <v>20</v>
      </c>
      <c r="J212" s="3">
        <v>23.01</v>
      </c>
      <c r="K212" s="3" t="s">
        <v>21</v>
      </c>
      <c r="L212" s="3" t="s">
        <v>878</v>
      </c>
      <c r="M212" s="3" t="s">
        <v>879</v>
      </c>
      <c r="N212" s="6" t="str">
        <f>HYPERLINK("C:\Users\alexa\YandexDisk\Книги\Алгоритмы\Оптимизация\Алгоритмы_эволюционной_оптимизации.pdf","Алгоритмы_эволюционной_оптимизации.pdf")</f>
        <v>Алгоритмы_эволюционной_оптимизации.pdf</v>
      </c>
      <c r="O212" s="3" t="s">
        <v>880</v>
      </c>
    </row>
    <row r="213" spans="1:15" ht="207" x14ac:dyDescent="0.3">
      <c r="A213" s="4">
        <v>212</v>
      </c>
      <c r="B213" s="5" t="s">
        <v>881</v>
      </c>
      <c r="C213" s="5" t="s">
        <v>853</v>
      </c>
      <c r="D213" s="5" t="s">
        <v>17</v>
      </c>
      <c r="E213" s="5" t="s">
        <v>18</v>
      </c>
      <c r="F213" s="5" t="s">
        <v>876</v>
      </c>
      <c r="G213" s="5" t="s">
        <v>633</v>
      </c>
      <c r="H213" s="5" t="s">
        <v>877</v>
      </c>
      <c r="I213" s="5" t="s">
        <v>20</v>
      </c>
      <c r="J213" s="5">
        <v>8.41</v>
      </c>
      <c r="K213" s="5" t="s">
        <v>21</v>
      </c>
      <c r="L213" s="5" t="s">
        <v>882</v>
      </c>
      <c r="M213" s="5" t="s">
        <v>879</v>
      </c>
      <c r="N213" s="7" t="str">
        <f>HYPERLINK("C:\Users\alexa\YandexDisk\Книги\Алгоритмы\Оптимизация\Совершенный_алгоритм_Алгоритмы_для_NP_трудных_задач.pdf","Совершенный_алгоритм_Алгоритмы_для_NP_трудных_задач.pdf")</f>
        <v>Совершенный_алгоритм_Алгоритмы_для_NP_трудных_задач.pdf</v>
      </c>
      <c r="O213" s="5" t="s">
        <v>883</v>
      </c>
    </row>
    <row r="214" spans="1:15" ht="179.4" x14ac:dyDescent="0.3">
      <c r="A214" s="2">
        <v>213</v>
      </c>
      <c r="B214" s="3" t="s">
        <v>884</v>
      </c>
      <c r="C214" s="3" t="s">
        <v>853</v>
      </c>
      <c r="D214" s="3" t="s">
        <v>59</v>
      </c>
      <c r="E214" s="3" t="s">
        <v>18</v>
      </c>
      <c r="F214" s="3" t="s">
        <v>876</v>
      </c>
      <c r="G214" s="3" t="s">
        <v>633</v>
      </c>
      <c r="H214" s="3" t="s">
        <v>877</v>
      </c>
      <c r="I214" s="3" t="s">
        <v>20</v>
      </c>
      <c r="J214" s="3">
        <v>14.12</v>
      </c>
      <c r="K214" s="3" t="s">
        <v>21</v>
      </c>
      <c r="L214" s="3" t="s">
        <v>885</v>
      </c>
      <c r="M214" s="3" t="s">
        <v>879</v>
      </c>
      <c r="N214" s="6" t="str">
        <f>HYPERLINK("C:\Users\alexa\YandexDisk\Книги\Алгоритмы\Оптимизация\Совершенный_алгоритм_Жадные_алгоритмы.pdf","Совершенный_алгоритм_Жадные_алгоритмы.pdf")</f>
        <v>Совершенный_алгоритм_Жадные_алгоритмы.pdf</v>
      </c>
      <c r="O214" s="3" t="s">
        <v>886</v>
      </c>
    </row>
    <row r="215" spans="1:15" ht="165.6" x14ac:dyDescent="0.3">
      <c r="A215" s="4">
        <v>214</v>
      </c>
      <c r="B215" s="5" t="s">
        <v>887</v>
      </c>
      <c r="C215" s="5" t="s">
        <v>888</v>
      </c>
      <c r="D215" s="5" t="s">
        <v>59</v>
      </c>
      <c r="E215" s="5" t="s">
        <v>102</v>
      </c>
      <c r="F215" s="5" t="s">
        <v>889</v>
      </c>
      <c r="G215" s="5" t="s">
        <v>633</v>
      </c>
      <c r="H215" s="5" t="s">
        <v>890</v>
      </c>
      <c r="I215" s="5" t="s">
        <v>20</v>
      </c>
      <c r="J215" s="5">
        <v>31.45</v>
      </c>
      <c r="K215" s="5" t="s">
        <v>21</v>
      </c>
      <c r="L215" s="5" t="s">
        <v>891</v>
      </c>
      <c r="M215" s="5" t="s">
        <v>892</v>
      </c>
      <c r="N215" s="7" t="str">
        <f>HYPERLINK("C:\Users\alexa\YandexDisk\Книги\Алгоритмы\Практика использования (Задачи, системный дизайн, разбор кейсов)\Спортивное программирование.pdf","Спортивное программирование.pdf")</f>
        <v>Спортивное программирование.pdf</v>
      </c>
      <c r="O215" s="5" t="s">
        <v>893</v>
      </c>
    </row>
    <row r="216" spans="1:15" ht="193.2" x14ac:dyDescent="0.3">
      <c r="A216" s="2">
        <v>215</v>
      </c>
      <c r="B216" s="3" t="s">
        <v>894</v>
      </c>
      <c r="C216" s="3" t="s">
        <v>895</v>
      </c>
      <c r="D216" s="3" t="s">
        <v>71</v>
      </c>
      <c r="E216" s="3" t="s">
        <v>536</v>
      </c>
      <c r="F216" s="3" t="s">
        <v>896</v>
      </c>
      <c r="G216" s="3" t="s">
        <v>633</v>
      </c>
      <c r="H216" s="3" t="s">
        <v>897</v>
      </c>
      <c r="I216" s="3" t="s">
        <v>20</v>
      </c>
      <c r="J216" s="3">
        <v>21.43</v>
      </c>
      <c r="K216" s="3" t="s">
        <v>21</v>
      </c>
      <c r="L216" s="3" t="s">
        <v>898</v>
      </c>
      <c r="M216" s="3" t="s">
        <v>899</v>
      </c>
      <c r="N216" s="6" t="str">
        <f>HYPERLINK("C:\Users\alexa\YandexDisk\Книги\Алгоритмы\Структуры данных\Algorithms and Data Structures for Massive Datasets (MEAP v8) 2022.pdf","Algorithms and Data Structures for Massive Datasets (MEAP v8) 2022.pdf")</f>
        <v>Algorithms and Data Structures for Massive Datasets (MEAP v8) 2022.pdf</v>
      </c>
      <c r="O216" s="3" t="s">
        <v>900</v>
      </c>
    </row>
    <row r="217" spans="1:15" ht="151.80000000000001" x14ac:dyDescent="0.3">
      <c r="A217" s="4">
        <v>216</v>
      </c>
      <c r="B217" s="5" t="s">
        <v>901</v>
      </c>
      <c r="C217" s="5" t="s">
        <v>902</v>
      </c>
      <c r="D217" s="5" t="s">
        <v>27</v>
      </c>
      <c r="E217" s="5" t="s">
        <v>903</v>
      </c>
      <c r="F217" s="5" t="s">
        <v>896</v>
      </c>
      <c r="G217" s="5" t="s">
        <v>633</v>
      </c>
      <c r="H217" s="5" t="s">
        <v>897</v>
      </c>
      <c r="I217" s="5" t="s">
        <v>20</v>
      </c>
      <c r="J217" s="5">
        <v>1.43</v>
      </c>
      <c r="K217" s="5" t="s">
        <v>21</v>
      </c>
      <c r="L217" s="5" t="s">
        <v>904</v>
      </c>
      <c r="M217" s="5" t="s">
        <v>899</v>
      </c>
      <c r="N217" s="7" t="str">
        <f>HYPERLINK("C:\Users\alexa\YandexDisk\Книги\Алгоритмы\Структуры данных\algorithms-datastructures-2.pdf","algorithms-datastructures-2.pdf")</f>
        <v>algorithms-datastructures-2.pdf</v>
      </c>
      <c r="O217" s="5" t="s">
        <v>905</v>
      </c>
    </row>
    <row r="218" spans="1:15" ht="124.2" x14ac:dyDescent="0.3">
      <c r="A218" s="2">
        <v>217</v>
      </c>
      <c r="B218" s="3" t="s">
        <v>906</v>
      </c>
      <c r="C218" s="3" t="s">
        <v>907</v>
      </c>
      <c r="D218" s="3" t="s">
        <v>27</v>
      </c>
      <c r="E218" s="3" t="s">
        <v>908</v>
      </c>
      <c r="F218" s="3" t="s">
        <v>896</v>
      </c>
      <c r="G218" s="3" t="s">
        <v>633</v>
      </c>
      <c r="H218" s="3" t="s">
        <v>897</v>
      </c>
      <c r="I218" s="3" t="s">
        <v>20</v>
      </c>
      <c r="J218" s="3">
        <v>7.47</v>
      </c>
      <c r="K218" s="3" t="s">
        <v>21</v>
      </c>
      <c r="L218" s="3" t="s">
        <v>909</v>
      </c>
      <c r="M218" s="3" t="s">
        <v>899</v>
      </c>
      <c r="N218" s="6" t="str">
        <f>HYPERLINK("C:\Users\alexa\YandexDisk\Книги\Алгоритмы\Структуры данных\Data Structure and Algorithm 2023.pdf","Data Structure and Algorithm 2023.pdf")</f>
        <v>Data Structure and Algorithm 2023.pdf</v>
      </c>
      <c r="O218" s="3" t="s">
        <v>910</v>
      </c>
    </row>
    <row r="219" spans="1:15" ht="151.80000000000001" x14ac:dyDescent="0.3">
      <c r="A219" s="4">
        <v>218</v>
      </c>
      <c r="B219" s="5" t="s">
        <v>911</v>
      </c>
      <c r="C219" s="5" t="s">
        <v>912</v>
      </c>
      <c r="D219" s="5" t="s">
        <v>50</v>
      </c>
      <c r="E219" s="5" t="s">
        <v>913</v>
      </c>
      <c r="F219" s="5" t="s">
        <v>896</v>
      </c>
      <c r="G219" s="5" t="s">
        <v>633</v>
      </c>
      <c r="H219" s="5" t="s">
        <v>897</v>
      </c>
      <c r="I219" s="5" t="s">
        <v>20</v>
      </c>
      <c r="J219" s="5">
        <v>32.74</v>
      </c>
      <c r="K219" s="5" t="s">
        <v>21</v>
      </c>
      <c r="L219" s="5" t="s">
        <v>914</v>
      </c>
      <c r="M219" s="5" t="s">
        <v>899</v>
      </c>
      <c r="N219" s="7" t="str">
        <f>HYPERLINK("C:\Users\alexa\YandexDisk\Книги\Алгоритмы\Структуры данных\Data_Structures_and_Algorithms_Made_Easy_Data_Structures_and_Algorithmic.pdf","Data_Structures_and_Algorithms_Made_Easy_Data_Structures_and_Algorithmic.pdf")</f>
        <v>Data_Structures_and_Algorithms_Made_Easy_Data_Structures_and_Algorithmic.pdf</v>
      </c>
      <c r="O219" s="5" t="s">
        <v>915</v>
      </c>
    </row>
    <row r="220" spans="1:15" ht="151.80000000000001" x14ac:dyDescent="0.3">
      <c r="A220" s="2">
        <v>219</v>
      </c>
      <c r="B220" s="3" t="s">
        <v>916</v>
      </c>
      <c r="C220" s="3" t="s">
        <v>917</v>
      </c>
      <c r="D220" s="3"/>
      <c r="E220" s="3"/>
      <c r="F220" s="3" t="s">
        <v>896</v>
      </c>
      <c r="G220" s="3" t="s">
        <v>633</v>
      </c>
      <c r="H220" s="3" t="s">
        <v>897</v>
      </c>
      <c r="I220" s="3" t="s">
        <v>20</v>
      </c>
      <c r="J220" s="3">
        <v>16.829999999999998</v>
      </c>
      <c r="K220" s="3" t="s">
        <v>21</v>
      </c>
      <c r="L220" s="3" t="s">
        <v>918</v>
      </c>
      <c r="M220" s="3" t="s">
        <v>899</v>
      </c>
      <c r="N220" s="6" t="str">
        <f>HYPERLINK("C:\Users\alexa\YandexDisk\Книги\Алгоритмы\Структуры данных\Grokking Data Structures_Final.pdf","Grokking Data Structures_Final.pdf")</f>
        <v>Grokking Data Structures_Final.pdf</v>
      </c>
      <c r="O220" s="3" t="s">
        <v>919</v>
      </c>
    </row>
    <row r="221" spans="1:15" ht="151.80000000000001" x14ac:dyDescent="0.3">
      <c r="A221" s="4">
        <v>220</v>
      </c>
      <c r="B221" s="5" t="s">
        <v>920</v>
      </c>
      <c r="C221" s="5"/>
      <c r="D221" s="5"/>
      <c r="E221" s="5"/>
      <c r="F221" s="5" t="s">
        <v>896</v>
      </c>
      <c r="G221" s="5" t="s">
        <v>633</v>
      </c>
      <c r="H221" s="5" t="s">
        <v>897</v>
      </c>
      <c r="I221" s="5" t="s">
        <v>20</v>
      </c>
      <c r="J221" s="5">
        <v>34.31</v>
      </c>
      <c r="K221" s="5" t="s">
        <v>21</v>
      </c>
      <c r="L221" s="5" t="s">
        <v>921</v>
      </c>
      <c r="M221" s="5" t="s">
        <v>899</v>
      </c>
      <c r="N221" s="7" t="str">
        <f>HYPERLINK("C:\Users\alexa\YandexDisk\Книги\Алгоритмы\Структуры данных\Структуры данных и алгоритмы.pdf","Структуры данных и алгоритмы.pdf")</f>
        <v>Структуры данных и алгоритмы.pdf</v>
      </c>
      <c r="O221" s="5" t="s">
        <v>922</v>
      </c>
    </row>
    <row r="222" spans="1:15" ht="27.6" x14ac:dyDescent="0.3">
      <c r="A222" s="2">
        <v>221</v>
      </c>
      <c r="B222" s="3" t="s">
        <v>923</v>
      </c>
      <c r="C222" s="3"/>
      <c r="D222" s="3" t="s">
        <v>17</v>
      </c>
      <c r="E222" s="3" t="s">
        <v>924</v>
      </c>
      <c r="F222" s="3" t="s">
        <v>925</v>
      </c>
      <c r="G222" s="3" t="s">
        <v>926</v>
      </c>
      <c r="H222" s="3" t="s">
        <v>927</v>
      </c>
      <c r="I222" s="3" t="s">
        <v>20</v>
      </c>
      <c r="J222" s="3">
        <v>11.93</v>
      </c>
      <c r="K222" s="3" t="s">
        <v>21</v>
      </c>
      <c r="L222" s="3" t="s">
        <v>928</v>
      </c>
      <c r="M222" s="3" t="s">
        <v>929</v>
      </c>
      <c r="N222" s="6" t="str">
        <f>HYPERLINK("C:\Users\alexa\YandexDisk\Книги\Анализ данных\Big Data\1С Аналитика. BI-система.pdf","1С Аналитика. BI-система.pdf")</f>
        <v>1С Аналитика. BI-система.pdf</v>
      </c>
      <c r="O222" s="3" t="s">
        <v>930</v>
      </c>
    </row>
    <row r="223" spans="1:15" ht="207" x14ac:dyDescent="0.3">
      <c r="A223" s="4">
        <v>222</v>
      </c>
      <c r="B223" s="5" t="s">
        <v>931</v>
      </c>
      <c r="C223" s="5" t="s">
        <v>932</v>
      </c>
      <c r="D223" s="5"/>
      <c r="E223" s="5" t="s">
        <v>933</v>
      </c>
      <c r="F223" s="5" t="s">
        <v>925</v>
      </c>
      <c r="G223" s="5" t="s">
        <v>926</v>
      </c>
      <c r="H223" s="5" t="s">
        <v>927</v>
      </c>
      <c r="I223" s="5" t="s">
        <v>20</v>
      </c>
      <c r="J223" s="5">
        <v>8.91</v>
      </c>
      <c r="K223" s="5" t="s">
        <v>21</v>
      </c>
      <c r="L223" s="5" t="s">
        <v>934</v>
      </c>
      <c r="M223" s="5" t="s">
        <v>929</v>
      </c>
      <c r="N223" s="7" t="str">
        <f>HYPERLINK("C:\Users\alexa\YandexDisk\Книги\Анализ данных\Big Data\Big Data Concepts, Technologies.pdf","Big Data Concepts, Technologies.pdf")</f>
        <v>Big Data Concepts, Technologies.pdf</v>
      </c>
      <c r="O223" s="5" t="s">
        <v>935</v>
      </c>
    </row>
    <row r="224" spans="1:15" ht="138" x14ac:dyDescent="0.3">
      <c r="A224" s="2">
        <v>223</v>
      </c>
      <c r="B224" s="3" t="s">
        <v>936</v>
      </c>
      <c r="C224" s="3" t="s">
        <v>937</v>
      </c>
      <c r="D224" s="3"/>
      <c r="E224" s="3" t="s">
        <v>938</v>
      </c>
      <c r="F224" s="3" t="s">
        <v>925</v>
      </c>
      <c r="G224" s="3" t="s">
        <v>926</v>
      </c>
      <c r="H224" s="3" t="s">
        <v>927</v>
      </c>
      <c r="I224" s="3" t="s">
        <v>20</v>
      </c>
      <c r="J224" s="3">
        <v>5.34</v>
      </c>
      <c r="K224" s="3" t="s">
        <v>21</v>
      </c>
      <c r="L224" s="3" t="s">
        <v>939</v>
      </c>
      <c r="M224" s="3" t="s">
        <v>929</v>
      </c>
      <c r="N224" s="6" t="str">
        <f>HYPERLINK("C:\Users\alexa\YandexDisk\Книги\Анализ данных\Big Data\Big Data Using Hadoop and Hive.pdf","Big Data Using Hadoop and Hive.pdf")</f>
        <v>Big Data Using Hadoop and Hive.pdf</v>
      </c>
      <c r="O224" s="3" t="s">
        <v>940</v>
      </c>
    </row>
    <row r="225" spans="1:15" ht="234.6" x14ac:dyDescent="0.3">
      <c r="A225" s="4">
        <v>224</v>
      </c>
      <c r="B225" s="5" t="s">
        <v>941</v>
      </c>
      <c r="C225" s="5" t="s">
        <v>942</v>
      </c>
      <c r="D225" s="5" t="s">
        <v>114</v>
      </c>
      <c r="E225" s="5" t="s">
        <v>943</v>
      </c>
      <c r="F225" s="5" t="s">
        <v>925</v>
      </c>
      <c r="G225" s="5" t="s">
        <v>926</v>
      </c>
      <c r="H225" s="5" t="s">
        <v>927</v>
      </c>
      <c r="I225" s="5" t="s">
        <v>20</v>
      </c>
      <c r="J225" s="5">
        <v>173.81</v>
      </c>
      <c r="K225" s="5" t="s">
        <v>21</v>
      </c>
      <c r="L225" s="5" t="s">
        <v>944</v>
      </c>
      <c r="M225" s="5" t="s">
        <v>929</v>
      </c>
      <c r="N225" s="7" t="str">
        <f>HYPERLINK("C:\Users\alexa\YandexDisk\Книги\Анализ данных\Big Data\big-data-concepts-methodologies-tools-apps 2016.pdf","big-data-concepts-methodologies-tools-apps 2016.pdf")</f>
        <v>big-data-concepts-methodologies-tools-apps 2016.pdf</v>
      </c>
      <c r="O225" s="5" t="s">
        <v>945</v>
      </c>
    </row>
    <row r="226" spans="1:15" ht="193.2" x14ac:dyDescent="0.3">
      <c r="A226" s="2">
        <v>225</v>
      </c>
      <c r="B226" s="3" t="s">
        <v>946</v>
      </c>
      <c r="C226" s="3" t="s">
        <v>947</v>
      </c>
      <c r="D226" s="3" t="s">
        <v>32</v>
      </c>
      <c r="E226" s="3" t="s">
        <v>948</v>
      </c>
      <c r="F226" s="3" t="s">
        <v>925</v>
      </c>
      <c r="G226" s="3" t="s">
        <v>926</v>
      </c>
      <c r="H226" s="3" t="s">
        <v>927</v>
      </c>
      <c r="I226" s="3" t="s">
        <v>20</v>
      </c>
      <c r="J226" s="3">
        <v>28.77</v>
      </c>
      <c r="K226" s="3" t="s">
        <v>21</v>
      </c>
      <c r="L226" s="3" t="s">
        <v>949</v>
      </c>
      <c r="M226" s="3" t="s">
        <v>929</v>
      </c>
      <c r="N226" s="6" t="str">
        <f>HYPERLINK("C:\Users\alexa\YandexDisk\Книги\Анализ данных\Big Data\Big_Data_Analytics_Tools_and_Technology_for_Effective_Planning-2018.pdf","Big_Data_Analytics_Tools_and_Technology_for_Effective_Planning-2018.pdf")</f>
        <v>Big_Data_Analytics_Tools_and_Technology_for_Effective_Planning-2018.pdf</v>
      </c>
      <c r="O226" s="3" t="s">
        <v>950</v>
      </c>
    </row>
    <row r="227" spans="1:15" ht="220.8" x14ac:dyDescent="0.3">
      <c r="A227" s="4">
        <v>226</v>
      </c>
      <c r="B227" s="5" t="s">
        <v>951</v>
      </c>
      <c r="C227" s="5" t="s">
        <v>952</v>
      </c>
      <c r="D227" s="5"/>
      <c r="E227" s="5" t="s">
        <v>678</v>
      </c>
      <c r="F227" s="5" t="s">
        <v>925</v>
      </c>
      <c r="G227" s="5" t="s">
        <v>926</v>
      </c>
      <c r="H227" s="5" t="s">
        <v>927</v>
      </c>
      <c r="I227" s="5" t="s">
        <v>20</v>
      </c>
      <c r="J227" s="5">
        <v>11.63</v>
      </c>
      <c r="K227" s="5" t="s">
        <v>21</v>
      </c>
      <c r="L227" s="5" t="s">
        <v>953</v>
      </c>
      <c r="M227" s="5" t="s">
        <v>929</v>
      </c>
      <c r="N227" s="7" t="str">
        <f>HYPERLINK("C:\Users\alexa\YandexDisk\Книги\Анализ данных\Big Data\Big_Data_Conceptual_Analysis.pdf","Big_Data_Conceptual_Analysis.pdf")</f>
        <v>Big_Data_Conceptual_Analysis.pdf</v>
      </c>
      <c r="O227" s="5" t="s">
        <v>954</v>
      </c>
    </row>
    <row r="228" spans="1:15" ht="234.6" x14ac:dyDescent="0.3">
      <c r="A228" s="2">
        <v>227</v>
      </c>
      <c r="B228" s="3" t="s">
        <v>955</v>
      </c>
      <c r="C228" s="3" t="s">
        <v>956</v>
      </c>
      <c r="D228" s="3"/>
      <c r="E228" s="3"/>
      <c r="F228" s="3" t="s">
        <v>925</v>
      </c>
      <c r="G228" s="3" t="s">
        <v>926</v>
      </c>
      <c r="H228" s="3" t="s">
        <v>927</v>
      </c>
      <c r="I228" s="3" t="s">
        <v>20</v>
      </c>
      <c r="J228" s="3">
        <v>13.15</v>
      </c>
      <c r="K228" s="3" t="s">
        <v>21</v>
      </c>
      <c r="L228" s="3" t="s">
        <v>957</v>
      </c>
      <c r="M228" s="3" t="s">
        <v>929</v>
      </c>
      <c r="N228" s="6" t="str">
        <f>HYPERLINK("C:\Users\alexa\YandexDisk\Книги\Анализ данных\Big Data\Big_Data_for_Big_Decisions.pdf","Big_Data_for_Big_Decisions.pdf")</f>
        <v>Big_Data_for_Big_Decisions.pdf</v>
      </c>
      <c r="O228" s="3" t="s">
        <v>958</v>
      </c>
    </row>
    <row r="229" spans="1:15" ht="248.4" x14ac:dyDescent="0.3">
      <c r="A229" s="4">
        <v>228</v>
      </c>
      <c r="B229" s="5" t="s">
        <v>959</v>
      </c>
      <c r="C229" s="5" t="s">
        <v>960</v>
      </c>
      <c r="D229" s="5" t="s">
        <v>186</v>
      </c>
      <c r="E229" s="5" t="s">
        <v>303</v>
      </c>
      <c r="F229" s="5" t="s">
        <v>925</v>
      </c>
      <c r="G229" s="5" t="s">
        <v>926</v>
      </c>
      <c r="H229" s="5" t="s">
        <v>927</v>
      </c>
      <c r="I229" s="5" t="s">
        <v>20</v>
      </c>
      <c r="J229" s="5">
        <v>1.6</v>
      </c>
      <c r="K229" s="5" t="s">
        <v>21</v>
      </c>
      <c r="L229" s="5" t="s">
        <v>961</v>
      </c>
      <c r="M229" s="5" t="s">
        <v>929</v>
      </c>
      <c r="N229" s="7" t="str">
        <f>HYPERLINK("C:\Users\alexa\YandexDisk\Книги\Анализ данных\Big Data\big_data_революция.pdf","big_data_революция.pdf")</f>
        <v>big_data_революция.pdf</v>
      </c>
      <c r="O229" s="5" t="s">
        <v>962</v>
      </c>
    </row>
    <row r="230" spans="1:15" ht="151.80000000000001" x14ac:dyDescent="0.3">
      <c r="A230" s="2">
        <v>229</v>
      </c>
      <c r="B230" s="3" t="s">
        <v>963</v>
      </c>
      <c r="C230" s="3" t="s">
        <v>964</v>
      </c>
      <c r="D230" s="3"/>
      <c r="E230" s="3"/>
      <c r="F230" s="3" t="s">
        <v>925</v>
      </c>
      <c r="G230" s="3" t="s">
        <v>926</v>
      </c>
      <c r="H230" s="3" t="s">
        <v>927</v>
      </c>
      <c r="I230" s="3" t="s">
        <v>20</v>
      </c>
      <c r="J230" s="3">
        <v>10.06</v>
      </c>
      <c r="K230" s="3" t="s">
        <v>21</v>
      </c>
      <c r="L230" s="3" t="s">
        <v>965</v>
      </c>
      <c r="M230" s="3" t="s">
        <v>929</v>
      </c>
      <c r="N230" s="6" t="str">
        <f>HYPERLINK("C:\Users\alexa\YandexDisk\Книги\Анализ данных\Big Data\Elasticsearch,_Kibana,_Logstash_и_поисковые_системы_нового_поколения.pdf","Elasticsearch,_Kibana,_Logstash_и_поисковые_системы_нового_поколения.pdf")</f>
        <v>Elasticsearch,_Kibana,_Logstash_и_поисковые_системы_нового_поколения.pdf</v>
      </c>
      <c r="O230" s="3" t="s">
        <v>966</v>
      </c>
    </row>
    <row r="231" spans="1:15" ht="179.4" x14ac:dyDescent="0.3">
      <c r="A231" s="4">
        <v>230</v>
      </c>
      <c r="B231" s="5" t="s">
        <v>967</v>
      </c>
      <c r="C231" s="5" t="s">
        <v>968</v>
      </c>
      <c r="D231" s="5" t="s">
        <v>59</v>
      </c>
      <c r="E231" s="5"/>
      <c r="F231" s="5" t="s">
        <v>925</v>
      </c>
      <c r="G231" s="5" t="s">
        <v>926</v>
      </c>
      <c r="H231" s="5" t="s">
        <v>927</v>
      </c>
      <c r="I231" s="5" t="s">
        <v>280</v>
      </c>
      <c r="J231" s="5">
        <v>13.76</v>
      </c>
      <c r="K231" s="5" t="s">
        <v>21</v>
      </c>
      <c r="L231" s="5" t="s">
        <v>969</v>
      </c>
      <c r="M231" s="5" t="s">
        <v>929</v>
      </c>
      <c r="N231" s="7" t="str">
        <f>HYPERLINK("C:\Users\alexa\YandexDisk\Книги\Анализ данных\Big Data\Exploring_Hadoop_Ecosystem_Volume_2_Stream_Processing_Unknown.epub","Exploring_Hadoop_Ecosystem_Volume_2_Stream_Processing_Unknown.epub")</f>
        <v>Exploring_Hadoop_Ecosystem_Volume_2_Stream_Processing_Unknown.epub</v>
      </c>
      <c r="O231" s="5" t="s">
        <v>970</v>
      </c>
    </row>
    <row r="232" spans="1:15" ht="151.80000000000001" x14ac:dyDescent="0.3">
      <c r="A232" s="2">
        <v>231</v>
      </c>
      <c r="B232" s="3" t="s">
        <v>971</v>
      </c>
      <c r="C232" s="3" t="s">
        <v>972</v>
      </c>
      <c r="D232" s="3" t="s">
        <v>71</v>
      </c>
      <c r="E232" s="3" t="s">
        <v>536</v>
      </c>
      <c r="F232" s="3" t="s">
        <v>925</v>
      </c>
      <c r="G232" s="3" t="s">
        <v>926</v>
      </c>
      <c r="H232" s="3" t="s">
        <v>927</v>
      </c>
      <c r="I232" s="3" t="s">
        <v>20</v>
      </c>
      <c r="J232" s="3">
        <v>14.15</v>
      </c>
      <c r="K232" s="3" t="s">
        <v>21</v>
      </c>
      <c r="L232" s="3" t="s">
        <v>973</v>
      </c>
      <c r="M232" s="3" t="s">
        <v>929</v>
      </c>
      <c r="N232" s="6" t="str">
        <f>HYPERLINK("C:\Users\alexa\YandexDisk\Книги\Анализ данных\Big Data\Kafka_in_Action_Final_Release_Dylan_Scott,_Viktor_Gamov,_Dave_Klein.pdf","Kafka_in_Action_Final_Release_Dylan_Scott,_Viktor_Gamov,_Dave_Klein.pdf")</f>
        <v>Kafka_in_Action_Final_Release_Dylan_Scott,_Viktor_Gamov,_Dave_Klein.pdf</v>
      </c>
      <c r="O232" s="3" t="s">
        <v>974</v>
      </c>
    </row>
    <row r="233" spans="1:15" ht="234.6" x14ac:dyDescent="0.3">
      <c r="A233" s="4">
        <v>232</v>
      </c>
      <c r="B233" s="5" t="s">
        <v>951</v>
      </c>
      <c r="C233" s="5" t="s">
        <v>952</v>
      </c>
      <c r="D233" s="5"/>
      <c r="E233" s="5" t="s">
        <v>678</v>
      </c>
      <c r="F233" s="5" t="s">
        <v>925</v>
      </c>
      <c r="G233" s="5" t="s">
        <v>926</v>
      </c>
      <c r="H233" s="5" t="s">
        <v>927</v>
      </c>
      <c r="I233" s="5" t="s">
        <v>20</v>
      </c>
      <c r="J233" s="5">
        <v>11.63</v>
      </c>
      <c r="K233" s="5" t="s">
        <v>21</v>
      </c>
      <c r="L233" s="5" t="s">
        <v>975</v>
      </c>
      <c r="M233" s="5" t="s">
        <v>929</v>
      </c>
      <c r="N233" s="7" t="str">
        <f>HYPERLINK("C:\Users\alexa\YandexDisk\Книги\Анализ данных\Big Data\Michael_Z_Zgurovsky,_Yuriy_P_Zaychenko_Big_Data_Conceptual_Analysis.pdf","Michael_Z_Zgurovsky,_Yuriy_P_Zaychenko_Big_Data_Conceptual_Analysis.pdf")</f>
        <v>Michael_Z_Zgurovsky,_Yuriy_P_Zaychenko_Big_Data_Conceptual_Analysis.pdf</v>
      </c>
      <c r="O233" s="5" t="s">
        <v>976</v>
      </c>
    </row>
    <row r="234" spans="1:15" ht="165.6" x14ac:dyDescent="0.3">
      <c r="A234" s="2">
        <v>233</v>
      </c>
      <c r="B234" s="3" t="s">
        <v>977</v>
      </c>
      <c r="C234" s="3"/>
      <c r="D234" s="3"/>
      <c r="E234" s="3" t="s">
        <v>102</v>
      </c>
      <c r="F234" s="3" t="s">
        <v>925</v>
      </c>
      <c r="G234" s="3" t="s">
        <v>926</v>
      </c>
      <c r="H234" s="3" t="s">
        <v>927</v>
      </c>
      <c r="I234" s="3" t="s">
        <v>20</v>
      </c>
      <c r="J234" s="3">
        <v>14.45</v>
      </c>
      <c r="K234" s="3" t="s">
        <v>21</v>
      </c>
      <c r="L234" s="3" t="s">
        <v>978</v>
      </c>
      <c r="M234" s="3" t="s">
        <v>929</v>
      </c>
      <c r="N234" s="6" t="str">
        <f>HYPERLINK("C:\Users\alexa\YandexDisk\Книги\Анализ данных\Big Data\Spark в действии.pdf","Spark в действии.pdf")</f>
        <v>Spark в действии.pdf</v>
      </c>
      <c r="O234" s="3" t="s">
        <v>979</v>
      </c>
    </row>
    <row r="235" spans="1:15" ht="179.4" x14ac:dyDescent="0.3">
      <c r="A235" s="4">
        <v>234</v>
      </c>
      <c r="B235" s="5" t="s">
        <v>980</v>
      </c>
      <c r="C235" s="5" t="s">
        <v>981</v>
      </c>
      <c r="D235" s="5" t="s">
        <v>109</v>
      </c>
      <c r="E235" s="5" t="s">
        <v>102</v>
      </c>
      <c r="F235" s="5" t="s">
        <v>925</v>
      </c>
      <c r="G235" s="5" t="s">
        <v>926</v>
      </c>
      <c r="H235" s="5" t="s">
        <v>927</v>
      </c>
      <c r="I235" s="5" t="s">
        <v>20</v>
      </c>
      <c r="J235" s="5">
        <v>63.32</v>
      </c>
      <c r="K235" s="5" t="s">
        <v>21</v>
      </c>
      <c r="L235" s="5" t="s">
        <v>982</v>
      </c>
      <c r="M235" s="5" t="s">
        <v>929</v>
      </c>
      <c r="N235" s="7" t="str">
        <f>HYPERLINK("C:\Users\alexa\YandexDisk\Книги\Анализ данных\Big Data\Алгоритмы и структуры для массивных наборов данных.pdf","Алгоритмы и структуры для массивных наборов данных.pdf")</f>
        <v>Алгоритмы и структуры для массивных наборов данных.pdf</v>
      </c>
      <c r="O235" s="5" t="s">
        <v>983</v>
      </c>
    </row>
    <row r="236" spans="1:15" ht="27.6" x14ac:dyDescent="0.3">
      <c r="A236" s="2">
        <v>235</v>
      </c>
      <c r="B236" s="3" t="s">
        <v>984</v>
      </c>
      <c r="C236" s="3"/>
      <c r="D236" s="3" t="s">
        <v>114</v>
      </c>
      <c r="E236" s="3"/>
      <c r="F236" s="3" t="s">
        <v>925</v>
      </c>
      <c r="G236" s="3" t="s">
        <v>926</v>
      </c>
      <c r="H236" s="3" t="s">
        <v>927</v>
      </c>
      <c r="I236" s="3" t="s">
        <v>20</v>
      </c>
      <c r="J236" s="3">
        <v>16.28</v>
      </c>
      <c r="K236" s="3" t="s">
        <v>21</v>
      </c>
      <c r="L236" s="3" t="s">
        <v>985</v>
      </c>
      <c r="M236" s="3" t="s">
        <v>929</v>
      </c>
      <c r="N236" s="6" t="str">
        <f>HYPERLINK("C:\Users\alexa\YandexDisk\Книги\Анализ данных\Big Data\Большие данные - принципы и практики.pdf","Большие данные - принципы и практики.pdf")</f>
        <v>Большие данные - принципы и практики.pdf</v>
      </c>
      <c r="O236" s="3" t="s">
        <v>930</v>
      </c>
    </row>
    <row r="237" spans="1:15" ht="124.2" x14ac:dyDescent="0.3">
      <c r="A237" s="4">
        <v>236</v>
      </c>
      <c r="B237" s="5" t="s">
        <v>986</v>
      </c>
      <c r="C237" s="5"/>
      <c r="D237" s="5"/>
      <c r="E237" s="5"/>
      <c r="F237" s="5" t="s">
        <v>925</v>
      </c>
      <c r="G237" s="5" t="s">
        <v>926</v>
      </c>
      <c r="H237" s="5" t="s">
        <v>927</v>
      </c>
      <c r="I237" s="5" t="s">
        <v>20</v>
      </c>
      <c r="J237" s="5">
        <v>28.81</v>
      </c>
      <c r="K237" s="5" t="s">
        <v>21</v>
      </c>
      <c r="L237" s="5" t="s">
        <v>987</v>
      </c>
      <c r="M237" s="5" t="s">
        <v>929</v>
      </c>
      <c r="N237" s="7" t="str">
        <f>HYPERLINK("C:\Users\alexa\YandexDisk\Книги\Анализ данных\Big Data\Основы Big Data.pdf","Основы Big Data.pdf")</f>
        <v>Основы Big Data.pdf</v>
      </c>
      <c r="O237" s="5" t="s">
        <v>988</v>
      </c>
    </row>
    <row r="238" spans="1:15" ht="165.6" x14ac:dyDescent="0.3">
      <c r="A238" s="2">
        <v>237</v>
      </c>
      <c r="B238" s="3" t="s">
        <v>989</v>
      </c>
      <c r="C238" s="3"/>
      <c r="D238" s="3"/>
      <c r="E238" s="3"/>
      <c r="F238" s="3" t="s">
        <v>925</v>
      </c>
      <c r="G238" s="3" t="s">
        <v>926</v>
      </c>
      <c r="H238" s="3" t="s">
        <v>927</v>
      </c>
      <c r="I238" s="3" t="s">
        <v>20</v>
      </c>
      <c r="J238" s="3">
        <v>43.93</v>
      </c>
      <c r="K238" s="3" t="s">
        <v>21</v>
      </c>
      <c r="L238" s="3" t="s">
        <v>990</v>
      </c>
      <c r="M238" s="3" t="s">
        <v>929</v>
      </c>
      <c r="N238" s="6" t="str">
        <f>HYPERLINK("C:\Users\alexa\YandexDisk\Книги\Анализ данных\Big Data\Потоковая обработка данных.pdf","Потоковая обработка данных.pdf")</f>
        <v>Потоковая обработка данных.pdf</v>
      </c>
      <c r="O238" s="3" t="s">
        <v>991</v>
      </c>
    </row>
    <row r="239" spans="1:15" ht="138" x14ac:dyDescent="0.3">
      <c r="A239" s="4">
        <v>238</v>
      </c>
      <c r="B239" s="5" t="s">
        <v>992</v>
      </c>
      <c r="C239" s="5" t="s">
        <v>993</v>
      </c>
      <c r="D239" s="5" t="s">
        <v>59</v>
      </c>
      <c r="E239" s="5" t="s">
        <v>102</v>
      </c>
      <c r="F239" s="5" t="s">
        <v>925</v>
      </c>
      <c r="G239" s="5" t="s">
        <v>926</v>
      </c>
      <c r="H239" s="5" t="s">
        <v>927</v>
      </c>
      <c r="I239" s="5" t="s">
        <v>20</v>
      </c>
      <c r="J239" s="5">
        <v>10.87</v>
      </c>
      <c r="K239" s="5" t="s">
        <v>21</v>
      </c>
      <c r="L239" s="5" t="s">
        <v>994</v>
      </c>
      <c r="M239" s="5" t="s">
        <v>929</v>
      </c>
      <c r="N239" s="7" t="str">
        <f>HYPERLINK("C:\Users\alexa\YandexDisk\Книги\Анализ данных\Big Data\Потоковая_обработка_данных_с_Apache_Flink_2020_Фабиан_Уэске.pdf","Потоковая_обработка_данных_с_Apache_Flink_2020_Фабиан_Уэске.pdf")</f>
        <v>Потоковая_обработка_данных_с_Apache_Flink_2020_Фабиан_Уэске.pdf</v>
      </c>
      <c r="O239" s="5" t="s">
        <v>995</v>
      </c>
    </row>
    <row r="240" spans="1:15" ht="193.2" x14ac:dyDescent="0.3">
      <c r="A240" s="2">
        <v>239</v>
      </c>
      <c r="B240" s="3" t="s">
        <v>996</v>
      </c>
      <c r="C240" s="3" t="s">
        <v>997</v>
      </c>
      <c r="D240" s="3" t="s">
        <v>77</v>
      </c>
      <c r="E240" s="3" t="s">
        <v>998</v>
      </c>
      <c r="F240" s="3" t="s">
        <v>925</v>
      </c>
      <c r="G240" s="3" t="s">
        <v>926</v>
      </c>
      <c r="H240" s="3" t="s">
        <v>927</v>
      </c>
      <c r="I240" s="3" t="s">
        <v>20</v>
      </c>
      <c r="J240" s="3">
        <v>1.6</v>
      </c>
      <c r="K240" s="3" t="s">
        <v>21</v>
      </c>
      <c r="L240" s="3" t="s">
        <v>999</v>
      </c>
      <c r="M240" s="3" t="s">
        <v>929</v>
      </c>
      <c r="N240" s="6" t="str">
        <f>HYPERLINK("C:\Users\alexa\YandexDisk\Книги\Анализ данных\Big Data\Просто Big Data.pdf","Просто Big Data.pdf")</f>
        <v>Просто Big Data.pdf</v>
      </c>
      <c r="O240" s="3" t="s">
        <v>1000</v>
      </c>
    </row>
    <row r="241" spans="1:15" ht="179.4" x14ac:dyDescent="0.3">
      <c r="A241" s="4">
        <v>240</v>
      </c>
      <c r="B241" s="5" t="s">
        <v>1001</v>
      </c>
      <c r="C241" s="5" t="s">
        <v>1002</v>
      </c>
      <c r="D241" s="5" t="s">
        <v>77</v>
      </c>
      <c r="E241" s="5" t="s">
        <v>18</v>
      </c>
      <c r="F241" s="5" t="s">
        <v>925</v>
      </c>
      <c r="G241" s="5" t="s">
        <v>926</v>
      </c>
      <c r="H241" s="5" t="s">
        <v>927</v>
      </c>
      <c r="I241" s="5" t="s">
        <v>20</v>
      </c>
      <c r="J241" s="5">
        <v>22.86</v>
      </c>
      <c r="K241" s="5" t="s">
        <v>21</v>
      </c>
      <c r="L241" s="5" t="s">
        <v>1003</v>
      </c>
      <c r="M241" s="5" t="s">
        <v>929</v>
      </c>
      <c r="N241" s="7" t="str">
        <f>HYPERLINK("C:\Users\alexa\YandexDisk\Книги\Анализ данных\Big Data\Работа с BigData в облаках.pdf","Работа с BigData в облаках.pdf")</f>
        <v>Работа с BigData в облаках.pdf</v>
      </c>
      <c r="O241" s="5" t="s">
        <v>1004</v>
      </c>
    </row>
    <row r="242" spans="1:15" ht="179.4" x14ac:dyDescent="0.3">
      <c r="A242" s="2">
        <v>241</v>
      </c>
      <c r="B242" s="3" t="s">
        <v>1005</v>
      </c>
      <c r="C242" s="3" t="s">
        <v>1006</v>
      </c>
      <c r="D242" s="3" t="s">
        <v>27</v>
      </c>
      <c r="E242" s="3" t="s">
        <v>18</v>
      </c>
      <c r="F242" s="3" t="s">
        <v>925</v>
      </c>
      <c r="G242" s="3" t="s">
        <v>926</v>
      </c>
      <c r="H242" s="3" t="s">
        <v>927</v>
      </c>
      <c r="I242" s="3" t="s">
        <v>20</v>
      </c>
      <c r="J242" s="3">
        <v>8.73</v>
      </c>
      <c r="K242" s="3" t="s">
        <v>21</v>
      </c>
      <c r="L242" s="3" t="s">
        <v>1007</v>
      </c>
      <c r="M242" s="3" t="s">
        <v>929</v>
      </c>
      <c r="N242" s="6" t="str">
        <f>HYPERLINK("C:\Users\alexa\YandexDisk\Книги\Анализ данных\Big Data\Сеймур_Митч_Kafka_Streams_и_ksqlDB_данные_в_реальном_времени.pdf","Сеймур_Митч_Kafka_Streams_и_ksqlDB_данные_в_реальном_времени.pdf")</f>
        <v>Сеймур_Митч_Kafka_Streams_и_ksqlDB_данные_в_реальном_времени.pdf</v>
      </c>
      <c r="O242" s="3" t="s">
        <v>1008</v>
      </c>
    </row>
    <row r="243" spans="1:15" ht="165.6" x14ac:dyDescent="0.3">
      <c r="A243" s="4">
        <v>242</v>
      </c>
      <c r="B243" s="5" t="s">
        <v>1009</v>
      </c>
      <c r="C243" s="5" t="s">
        <v>1010</v>
      </c>
      <c r="D243" s="5" t="s">
        <v>77</v>
      </c>
      <c r="E243" s="5" t="s">
        <v>18</v>
      </c>
      <c r="F243" s="5" t="s">
        <v>925</v>
      </c>
      <c r="G243" s="5" t="s">
        <v>926</v>
      </c>
      <c r="H243" s="5" t="s">
        <v>927</v>
      </c>
      <c r="I243" s="5" t="s">
        <v>20</v>
      </c>
      <c r="J243" s="5">
        <v>4.2699999999999996</v>
      </c>
      <c r="K243" s="5" t="s">
        <v>21</v>
      </c>
      <c r="L243" s="5" t="s">
        <v>1011</v>
      </c>
      <c r="M243" s="5" t="s">
        <v>929</v>
      </c>
      <c r="N243" s="7" t="str">
        <f>HYPERLINK("C:\Users\alexa\YandexDisk\Книги\Анализ данных\Big Data\Теоретический минимум по Big Data.pdf","Теоретический минимум по Big Data.pdf")</f>
        <v>Теоретический минимум по Big Data.pdf</v>
      </c>
      <c r="O243" s="5" t="s">
        <v>1012</v>
      </c>
    </row>
    <row r="244" spans="1:15" ht="165.6" x14ac:dyDescent="0.3">
      <c r="A244" s="2">
        <v>243</v>
      </c>
      <c r="B244" s="3" t="s">
        <v>1013</v>
      </c>
      <c r="C244" s="3" t="s">
        <v>1014</v>
      </c>
      <c r="D244" s="3" t="s">
        <v>59</v>
      </c>
      <c r="E244" s="3" t="s">
        <v>871</v>
      </c>
      <c r="F244" s="3" t="s">
        <v>925</v>
      </c>
      <c r="G244" s="3" t="s">
        <v>926</v>
      </c>
      <c r="H244" s="3" t="s">
        <v>927</v>
      </c>
      <c r="I244" s="3" t="s">
        <v>20</v>
      </c>
      <c r="J244" s="3">
        <v>1.86</v>
      </c>
      <c r="K244" s="3" t="s">
        <v>21</v>
      </c>
      <c r="L244" s="3" t="s">
        <v>1015</v>
      </c>
      <c r="M244" s="3" t="s">
        <v>929</v>
      </c>
      <c r="N244" s="6" t="str">
        <f>HYPERLINK("C:\Users\alexa\YandexDisk\Книги\Анализ данных\Big Data\Технология_хранения_и_анализа_больших_данных.pdf","Технология_хранения_и_анализа_больших_данных.pdf")</f>
        <v>Технология_хранения_и_анализа_больших_данных.pdf</v>
      </c>
      <c r="O244" s="3" t="s">
        <v>1016</v>
      </c>
    </row>
    <row r="245" spans="1:15" ht="165.6" x14ac:dyDescent="0.3">
      <c r="A245" s="4">
        <v>244</v>
      </c>
      <c r="B245" s="5" t="s">
        <v>992</v>
      </c>
      <c r="C245" s="5" t="s">
        <v>1017</v>
      </c>
      <c r="D245" s="5" t="s">
        <v>17</v>
      </c>
      <c r="E245" s="5" t="s">
        <v>102</v>
      </c>
      <c r="F245" s="5" t="s">
        <v>925</v>
      </c>
      <c r="G245" s="5" t="s">
        <v>926</v>
      </c>
      <c r="H245" s="5" t="s">
        <v>927</v>
      </c>
      <c r="I245" s="5" t="s">
        <v>20</v>
      </c>
      <c r="J245" s="5">
        <v>10.87</v>
      </c>
      <c r="K245" s="5" t="s">
        <v>21</v>
      </c>
      <c r="L245" s="5" t="s">
        <v>1018</v>
      </c>
      <c r="M245" s="5" t="s">
        <v>929</v>
      </c>
      <c r="N245" s="7" t="str">
        <f>HYPERLINK("C:\Users\alexa\YandexDisk\Книги\Анализ данных\Big Data\Уэске_Ф_,_Калаври_В_Потоковая_обработка_данных_с_Apache_Flink_2021.pdf","Уэске_Ф_,_Калаври_В_Потоковая_обработка_данных_с_Apache_Flink_2021.pdf")</f>
        <v>Уэске_Ф_,_Калаври_В_Потоковая_обработка_данных_с_Apache_Flink_2021.pdf</v>
      </c>
      <c r="O245" s="5" t="s">
        <v>1019</v>
      </c>
    </row>
    <row r="246" spans="1:15" ht="179.4" x14ac:dyDescent="0.3">
      <c r="A246" s="2">
        <v>245</v>
      </c>
      <c r="B246" s="3" t="s">
        <v>1020</v>
      </c>
      <c r="C246" s="3" t="s">
        <v>1021</v>
      </c>
      <c r="D246" s="3" t="s">
        <v>1022</v>
      </c>
      <c r="E246" s="3" t="s">
        <v>1023</v>
      </c>
      <c r="F246" s="3" t="s">
        <v>925</v>
      </c>
      <c r="G246" s="3" t="s">
        <v>926</v>
      </c>
      <c r="H246" s="3" t="s">
        <v>927</v>
      </c>
      <c r="I246" s="3" t="s">
        <v>20</v>
      </c>
      <c r="J246" s="3">
        <v>34.380000000000003</v>
      </c>
      <c r="K246" s="3" t="s">
        <v>21</v>
      </c>
      <c r="L246" s="3" t="s">
        <v>1024</v>
      </c>
      <c r="M246" s="3" t="s">
        <v>929</v>
      </c>
      <c r="N246" s="6" t="str">
        <f>HYPERLINK("C:\Users\alexa\YandexDisk\Книги\Анализ данных\Big Data\Халпер Кауфман - о больших данных (Сбербанк).pdf","Халпер Кауфман - о больших данных (Сбербанк).pdf")</f>
        <v>Халпер Кауфман - о больших данных (Сбербанк).pdf</v>
      </c>
      <c r="O246" s="3" t="s">
        <v>1025</v>
      </c>
    </row>
    <row r="247" spans="1:15" ht="27.6" x14ac:dyDescent="0.3">
      <c r="A247" s="4">
        <v>246</v>
      </c>
      <c r="B247" s="5" t="s">
        <v>1026</v>
      </c>
      <c r="C247" s="5" t="s">
        <v>1027</v>
      </c>
      <c r="D247" s="5"/>
      <c r="E247" s="5"/>
      <c r="F247" s="5" t="s">
        <v>925</v>
      </c>
      <c r="G247" s="5" t="s">
        <v>926</v>
      </c>
      <c r="H247" s="5" t="s">
        <v>927</v>
      </c>
      <c r="I247" s="5" t="s">
        <v>20</v>
      </c>
      <c r="J247" s="5">
        <v>2.66</v>
      </c>
      <c r="K247" s="5" t="s">
        <v>21</v>
      </c>
      <c r="L247" s="5" t="s">
        <v>1028</v>
      </c>
      <c r="M247" s="5" t="s">
        <v>929</v>
      </c>
      <c r="N247" s="7" t="str">
        <f>HYPERLINK("C:\Users\alexa\YandexDisk\Книги\Анализ данных\Big Data\Ын Су Теоретический минимум по BigData.pdf","Ын Су Теоретический минимум по BigData.pdf")</f>
        <v>Ын Су Теоретический минимум по BigData.pdf</v>
      </c>
      <c r="O247" s="5" t="s">
        <v>930</v>
      </c>
    </row>
    <row r="248" spans="1:15" ht="179.4" x14ac:dyDescent="0.3">
      <c r="A248" s="2">
        <v>247</v>
      </c>
      <c r="B248" s="3" t="s">
        <v>1029</v>
      </c>
      <c r="C248" s="3" t="s">
        <v>1030</v>
      </c>
      <c r="D248" s="3" t="s">
        <v>32</v>
      </c>
      <c r="E248" s="3" t="s">
        <v>18</v>
      </c>
      <c r="F248" s="3" t="s">
        <v>925</v>
      </c>
      <c r="G248" s="3" t="s">
        <v>926</v>
      </c>
      <c r="H248" s="3" t="s">
        <v>927</v>
      </c>
      <c r="I248" s="3" t="s">
        <v>20</v>
      </c>
      <c r="J248" s="3">
        <v>7.35</v>
      </c>
      <c r="K248" s="3" t="s">
        <v>21</v>
      </c>
      <c r="L248" s="3" t="s">
        <v>1031</v>
      </c>
      <c r="M248" s="3" t="s">
        <v>929</v>
      </c>
      <c r="N248" s="6" t="str">
        <f>HYPERLINK("C:\Users\alexa\YandexDisk\Книги\Анализ данных\Big Data\Эффективный Spark.pdf","Эффективный Spark.pdf")</f>
        <v>Эффективный Spark.pdf</v>
      </c>
      <c r="O248" s="3" t="s">
        <v>1032</v>
      </c>
    </row>
    <row r="249" spans="1:15" ht="151.80000000000001" x14ac:dyDescent="0.3">
      <c r="A249" s="4">
        <v>248</v>
      </c>
      <c r="B249" s="5" t="s">
        <v>1033</v>
      </c>
      <c r="C249" s="5" t="s">
        <v>1034</v>
      </c>
      <c r="D249" s="5" t="s">
        <v>17</v>
      </c>
      <c r="E249" s="5" t="s">
        <v>18</v>
      </c>
      <c r="F249" s="5" t="s">
        <v>1035</v>
      </c>
      <c r="G249" s="5" t="s">
        <v>926</v>
      </c>
      <c r="H249" s="5" t="s">
        <v>1036</v>
      </c>
      <c r="I249" s="5" t="s">
        <v>20</v>
      </c>
      <c r="J249" s="5">
        <v>7.68</v>
      </c>
      <c r="K249" s="5" t="s">
        <v>21</v>
      </c>
      <c r="L249" s="5" t="s">
        <v>1037</v>
      </c>
      <c r="M249" s="5" t="s">
        <v>1038</v>
      </c>
      <c r="N249" s="7" t="str">
        <f>HYPERLINK("C:\Users\alexa\YandexDisk\Книги\Анализ данных\Наука о данных\!! Data_Science_для_карьериста 2021.pdf","!! Data_Science_для_карьериста 2021.pdf")</f>
        <v>!! Data_Science_для_карьериста 2021.pdf</v>
      </c>
      <c r="O249" s="5" t="s">
        <v>1039</v>
      </c>
    </row>
    <row r="250" spans="1:15" ht="179.4" x14ac:dyDescent="0.3">
      <c r="A250" s="2">
        <v>249</v>
      </c>
      <c r="B250" s="3" t="s">
        <v>1040</v>
      </c>
      <c r="C250" s="3" t="s">
        <v>1041</v>
      </c>
      <c r="D250" s="3" t="s">
        <v>59</v>
      </c>
      <c r="E250" s="3" t="s">
        <v>1042</v>
      </c>
      <c r="F250" s="3" t="s">
        <v>1035</v>
      </c>
      <c r="G250" s="3" t="s">
        <v>926</v>
      </c>
      <c r="H250" s="3" t="s">
        <v>1036</v>
      </c>
      <c r="I250" s="3" t="s">
        <v>20</v>
      </c>
      <c r="J250" s="3">
        <v>12.74</v>
      </c>
      <c r="K250" s="3" t="s">
        <v>21</v>
      </c>
      <c r="L250" s="3" t="s">
        <v>1043</v>
      </c>
      <c r="M250" s="3" t="s">
        <v>1038</v>
      </c>
      <c r="N250" s="6" t="str">
        <f>HYPERLINK("C:\Users\alexa\YandexDisk\Книги\Анализ данных\Наука о данных\!DMBOK_Свод_знаний_по_управлению_данными-2020.pdf","!DMBOK_Свод_знаний_по_управлению_данными-2020.pdf")</f>
        <v>!DMBOK_Свод_знаний_по_управлению_данными-2020.pdf</v>
      </c>
      <c r="O250" s="3" t="s">
        <v>1044</v>
      </c>
    </row>
    <row r="251" spans="1:15" ht="165.6" x14ac:dyDescent="0.3">
      <c r="A251" s="4">
        <v>250</v>
      </c>
      <c r="B251" s="5" t="s">
        <v>1045</v>
      </c>
      <c r="C251" s="5" t="s">
        <v>1046</v>
      </c>
      <c r="D251" s="5" t="s">
        <v>17</v>
      </c>
      <c r="E251" s="5" t="s">
        <v>260</v>
      </c>
      <c r="F251" s="5" t="s">
        <v>1035</v>
      </c>
      <c r="G251" s="5" t="s">
        <v>926</v>
      </c>
      <c r="H251" s="5" t="s">
        <v>1036</v>
      </c>
      <c r="I251" s="5" t="s">
        <v>20</v>
      </c>
      <c r="J251" s="5">
        <v>9.57</v>
      </c>
      <c r="K251" s="5" t="s">
        <v>21</v>
      </c>
      <c r="L251" s="5" t="s">
        <v>1047</v>
      </c>
      <c r="M251" s="5" t="s">
        <v>1038</v>
      </c>
      <c r="N251" s="7" t="str">
        <f>HYPERLINK("C:\Users\alexa\YandexDisk\Книги\Анализ данных\Наука о данных\Advancing into Analy... by George Mount.pdf","Advancing into Analy... by George Mount.pdf")</f>
        <v>Advancing into Analy... by George Mount.pdf</v>
      </c>
      <c r="O251" s="5" t="s">
        <v>1048</v>
      </c>
    </row>
    <row r="252" spans="1:15" ht="151.80000000000001" x14ac:dyDescent="0.3">
      <c r="A252" s="2">
        <v>251</v>
      </c>
      <c r="B252" s="3" t="s">
        <v>1049</v>
      </c>
      <c r="C252" s="3" t="s">
        <v>1050</v>
      </c>
      <c r="D252" s="3" t="s">
        <v>32</v>
      </c>
      <c r="E252" s="3" t="s">
        <v>402</v>
      </c>
      <c r="F252" s="3" t="s">
        <v>1035</v>
      </c>
      <c r="G252" s="3" t="s">
        <v>926</v>
      </c>
      <c r="H252" s="3" t="s">
        <v>1036</v>
      </c>
      <c r="I252" s="3" t="s">
        <v>20</v>
      </c>
      <c r="J252" s="3">
        <v>7.55</v>
      </c>
      <c r="K252" s="3" t="s">
        <v>21</v>
      </c>
      <c r="L252" s="3" t="s">
        <v>1051</v>
      </c>
      <c r="M252" s="3" t="s">
        <v>1038</v>
      </c>
      <c r="N252" s="6" t="str">
        <f>HYPERLINK("C:\Users\alexa\YandexDisk\Книги\Анализ данных\Наука о данных\Bruce_Bruce_2018_Practical Statistics for Data Scientists.pdf","Bruce_Bruce_2018_Practical Statistics for Data Scientists.pdf")</f>
        <v>Bruce_Bruce_2018_Practical Statistics for Data Scientists.pdf</v>
      </c>
      <c r="O252" s="3" t="s">
        <v>1052</v>
      </c>
    </row>
    <row r="253" spans="1:15" ht="165.6" x14ac:dyDescent="0.3">
      <c r="A253" s="4">
        <v>252</v>
      </c>
      <c r="B253" s="5" t="s">
        <v>1053</v>
      </c>
      <c r="C253" s="5" t="s">
        <v>1054</v>
      </c>
      <c r="D253" s="5" t="s">
        <v>335</v>
      </c>
      <c r="E253" s="5" t="s">
        <v>336</v>
      </c>
      <c r="F253" s="5" t="s">
        <v>1035</v>
      </c>
      <c r="G253" s="5" t="s">
        <v>926</v>
      </c>
      <c r="H253" s="5" t="s">
        <v>1036</v>
      </c>
      <c r="I253" s="5" t="s">
        <v>20</v>
      </c>
      <c r="J253" s="5">
        <v>8.59</v>
      </c>
      <c r="K253" s="5" t="s">
        <v>21</v>
      </c>
      <c r="L253" s="5" t="s">
        <v>1055</v>
      </c>
      <c r="M253" s="5" t="s">
        <v>1038</v>
      </c>
      <c r="N253" s="7" t="str">
        <f>HYPERLINK("C:\Users\alexa\YandexDisk\Книги\Анализ данных\Наука о данных\Causal Inference на Python.pdf","Causal Inference на Python.pdf")</f>
        <v>Causal Inference на Python.pdf</v>
      </c>
      <c r="O253" s="5" t="s">
        <v>1056</v>
      </c>
    </row>
    <row r="254" spans="1:15" ht="220.8" x14ac:dyDescent="0.3">
      <c r="A254" s="2">
        <v>253</v>
      </c>
      <c r="B254" s="3" t="s">
        <v>1057</v>
      </c>
      <c r="C254" s="3" t="s">
        <v>1058</v>
      </c>
      <c r="D254" s="3"/>
      <c r="E254" s="3"/>
      <c r="F254" s="3" t="s">
        <v>1035</v>
      </c>
      <c r="G254" s="3" t="s">
        <v>926</v>
      </c>
      <c r="H254" s="3" t="s">
        <v>1036</v>
      </c>
      <c r="I254" s="3" t="s">
        <v>20</v>
      </c>
      <c r="J254" s="3">
        <v>21.79</v>
      </c>
      <c r="K254" s="3" t="s">
        <v>21</v>
      </c>
      <c r="L254" s="3" t="s">
        <v>1059</v>
      </c>
      <c r="M254" s="3" t="s">
        <v>1038</v>
      </c>
      <c r="N254" s="6" t="str">
        <f>HYPERLINK("C:\Users\alexa\YandexDisk\Книги\Анализ данных\Наука о данных\Computational Aspects of Psychometric Methods With R.pdf","Computational Aspects of Psychometric Methods With R.pdf")</f>
        <v>Computational Aspects of Psychometric Methods With R.pdf</v>
      </c>
      <c r="O254" s="3" t="s">
        <v>1060</v>
      </c>
    </row>
    <row r="255" spans="1:15" ht="193.2" x14ac:dyDescent="0.3">
      <c r="A255" s="4">
        <v>254</v>
      </c>
      <c r="B255" s="5" t="s">
        <v>1061</v>
      </c>
      <c r="C255" s="5" t="s">
        <v>1062</v>
      </c>
      <c r="D255" s="5"/>
      <c r="E255" s="5"/>
      <c r="F255" s="5" t="s">
        <v>1035</v>
      </c>
      <c r="G255" s="5" t="s">
        <v>926</v>
      </c>
      <c r="H255" s="5" t="s">
        <v>1036</v>
      </c>
      <c r="I255" s="5" t="s">
        <v>20</v>
      </c>
      <c r="J255" s="5">
        <v>27.92</v>
      </c>
      <c r="K255" s="5" t="s">
        <v>21</v>
      </c>
      <c r="L255" s="5" t="s">
        <v>1063</v>
      </c>
      <c r="M255" s="5" t="s">
        <v>1038</v>
      </c>
      <c r="N255" s="7" t="str">
        <f>HYPERLINK("C:\Users\alexa\YandexDisk\Книги\Анализ данных\Наука о данных\Data Analysis with Microsoft Power Bi.pdf","Data Analysis with Microsoft Power Bi.pdf")</f>
        <v>Data Analysis with Microsoft Power Bi.pdf</v>
      </c>
      <c r="O255" s="5" t="s">
        <v>1064</v>
      </c>
    </row>
    <row r="256" spans="1:15" ht="151.80000000000001" x14ac:dyDescent="0.3">
      <c r="A256" s="2">
        <v>255</v>
      </c>
      <c r="B256" s="3" t="s">
        <v>1065</v>
      </c>
      <c r="C256" s="3" t="s">
        <v>1066</v>
      </c>
      <c r="D256" s="3" t="s">
        <v>71</v>
      </c>
      <c r="E256" s="3" t="s">
        <v>269</v>
      </c>
      <c r="F256" s="3" t="s">
        <v>1035</v>
      </c>
      <c r="G256" s="3" t="s">
        <v>926</v>
      </c>
      <c r="H256" s="3" t="s">
        <v>1036</v>
      </c>
      <c r="I256" s="3" t="s">
        <v>20</v>
      </c>
      <c r="J256" s="3">
        <v>12.78</v>
      </c>
      <c r="K256" s="3" t="s">
        <v>21</v>
      </c>
      <c r="L256" s="3" t="s">
        <v>1067</v>
      </c>
      <c r="M256" s="3" t="s">
        <v>1038</v>
      </c>
      <c r="N256" s="6" t="str">
        <f>HYPERLINK("C:\Users\alexa\YandexDisk\Книги\Анализ данных\Наука о данных\Data Analysis with Python and PySpark (Final Release) 2022.pdf","Data Analysis with Python and PySpark (Final Release) 2022.pdf")</f>
        <v>Data Analysis with Python and PySpark (Final Release) 2022.pdf</v>
      </c>
      <c r="O256" s="3" t="s">
        <v>1068</v>
      </c>
    </row>
    <row r="257" spans="1:15" ht="179.4" x14ac:dyDescent="0.3">
      <c r="A257" s="4">
        <v>256</v>
      </c>
      <c r="B257" s="5" t="s">
        <v>1069</v>
      </c>
      <c r="C257" s="5" t="s">
        <v>1070</v>
      </c>
      <c r="D257" s="5" t="s">
        <v>27</v>
      </c>
      <c r="E257" s="5" t="s">
        <v>192</v>
      </c>
      <c r="F257" s="5" t="s">
        <v>1035</v>
      </c>
      <c r="G257" s="5" t="s">
        <v>926</v>
      </c>
      <c r="H257" s="5" t="s">
        <v>1036</v>
      </c>
      <c r="I257" s="5" t="s">
        <v>20</v>
      </c>
      <c r="J257" s="5">
        <v>18.510000000000002</v>
      </c>
      <c r="K257" s="5" t="s">
        <v>21</v>
      </c>
      <c r="L257" s="5" t="s">
        <v>1071</v>
      </c>
      <c r="M257" s="5" t="s">
        <v>1038</v>
      </c>
      <c r="N257" s="7" t="str">
        <f>HYPERLINK("C:\Users\alexa\YandexDisk\Книги\Анализ данных\Наука о данных\Data Mining Concepts and Techniques 4Ed.pdf","Data Mining Concepts and Techniques 4Ed.pdf")</f>
        <v>Data Mining Concepts and Techniques 4Ed.pdf</v>
      </c>
      <c r="O257" s="5" t="s">
        <v>1072</v>
      </c>
    </row>
    <row r="258" spans="1:15" ht="138" x14ac:dyDescent="0.3">
      <c r="A258" s="2">
        <v>257</v>
      </c>
      <c r="B258" s="3" t="s">
        <v>1073</v>
      </c>
      <c r="C258" s="3" t="s">
        <v>1074</v>
      </c>
      <c r="D258" s="3" t="s">
        <v>59</v>
      </c>
      <c r="E258" s="3" t="s">
        <v>18</v>
      </c>
      <c r="F258" s="3" t="s">
        <v>1035</v>
      </c>
      <c r="G258" s="3" t="s">
        <v>926</v>
      </c>
      <c r="H258" s="3" t="s">
        <v>1036</v>
      </c>
      <c r="I258" s="3" t="s">
        <v>20</v>
      </c>
      <c r="J258" s="3">
        <v>32.159999999999997</v>
      </c>
      <c r="K258" s="3" t="s">
        <v>21</v>
      </c>
      <c r="L258" s="3" t="s">
        <v>1075</v>
      </c>
      <c r="M258" s="3" t="s">
        <v>1038</v>
      </c>
      <c r="N258" s="6" t="str">
        <f>HYPERLINK("C:\Users\alexa\YandexDisk\Книги\Анализ данных\Наука о данных\Data Mining.pdf","Data Mining.pdf")</f>
        <v>Data Mining.pdf</v>
      </c>
      <c r="O258" s="3" t="s">
        <v>1076</v>
      </c>
    </row>
    <row r="259" spans="1:15" ht="207" x14ac:dyDescent="0.3">
      <c r="A259" s="4">
        <v>258</v>
      </c>
      <c r="B259" s="5" t="s">
        <v>1077</v>
      </c>
      <c r="C259" s="5" t="s">
        <v>1078</v>
      </c>
      <c r="D259" s="5"/>
      <c r="E259" s="5" t="s">
        <v>557</v>
      </c>
      <c r="F259" s="5" t="s">
        <v>1035</v>
      </c>
      <c r="G259" s="5" t="s">
        <v>926</v>
      </c>
      <c r="H259" s="5" t="s">
        <v>1036</v>
      </c>
      <c r="I259" s="5" t="s">
        <v>20</v>
      </c>
      <c r="J259" s="5">
        <v>40.299999999999997</v>
      </c>
      <c r="K259" s="5" t="s">
        <v>21</v>
      </c>
      <c r="L259" s="5" t="s">
        <v>1079</v>
      </c>
      <c r="M259" s="5" t="s">
        <v>1038</v>
      </c>
      <c r="N259" s="7" t="str">
        <f>HYPERLINK("C:\Users\alexa\YandexDisk\Книги\Анализ данных\Наука о данных\Data Science Bookcamp.pdf","Data Science Bookcamp.pdf")</f>
        <v>Data Science Bookcamp.pdf</v>
      </c>
      <c r="O259" s="5" t="s">
        <v>1080</v>
      </c>
    </row>
    <row r="260" spans="1:15" ht="193.2" x14ac:dyDescent="0.3">
      <c r="A260" s="2">
        <v>259</v>
      </c>
      <c r="B260" s="3" t="s">
        <v>1081</v>
      </c>
      <c r="C260" s="3" t="s">
        <v>1082</v>
      </c>
      <c r="D260" s="3"/>
      <c r="E260" s="3"/>
      <c r="F260" s="3" t="s">
        <v>1035</v>
      </c>
      <c r="G260" s="3" t="s">
        <v>926</v>
      </c>
      <c r="H260" s="3" t="s">
        <v>1036</v>
      </c>
      <c r="I260" s="3" t="s">
        <v>20</v>
      </c>
      <c r="J260" s="3">
        <v>42.29</v>
      </c>
      <c r="K260" s="3" t="s">
        <v>21</v>
      </c>
      <c r="L260" s="3" t="s">
        <v>1083</v>
      </c>
      <c r="M260" s="3" t="s">
        <v>1038</v>
      </c>
      <c r="N260" s="6" t="str">
        <f>HYPERLINK("C:\Users\alexa\YandexDisk\Книги\Анализ данных\Наука о данных\Data Science in Practice.pdf","Data Science in Practice.pdf")</f>
        <v>Data Science in Practice.pdf</v>
      </c>
      <c r="O260" s="3" t="s">
        <v>1084</v>
      </c>
    </row>
    <row r="261" spans="1:15" ht="193.2" x14ac:dyDescent="0.3">
      <c r="A261" s="4">
        <v>260</v>
      </c>
      <c r="B261" s="5" t="s">
        <v>1085</v>
      </c>
      <c r="C261" s="5" t="s">
        <v>1086</v>
      </c>
      <c r="D261" s="5" t="s">
        <v>27</v>
      </c>
      <c r="E261" s="5" t="s">
        <v>18</v>
      </c>
      <c r="F261" s="5" t="s">
        <v>1035</v>
      </c>
      <c r="G261" s="5" t="s">
        <v>926</v>
      </c>
      <c r="H261" s="5" t="s">
        <v>1036</v>
      </c>
      <c r="I261" s="5" t="s">
        <v>20</v>
      </c>
      <c r="J261" s="5">
        <v>13.71</v>
      </c>
      <c r="K261" s="5" t="s">
        <v>21</v>
      </c>
      <c r="L261" s="5" t="s">
        <v>1087</v>
      </c>
      <c r="M261" s="5" t="s">
        <v>1038</v>
      </c>
      <c r="N261" s="7" t="str">
        <f>HYPERLINK("C:\Users\alexa\YandexDisk\Книги\Анализ данных\Наука о данных\Data Science в действии.pdf","Data Science в действии.pdf")</f>
        <v>Data Science в действии.pdf</v>
      </c>
      <c r="O261" s="5" t="s">
        <v>1088</v>
      </c>
    </row>
    <row r="262" spans="1:15" ht="207" x14ac:dyDescent="0.3">
      <c r="A262" s="2">
        <v>261</v>
      </c>
      <c r="B262" s="3" t="s">
        <v>1089</v>
      </c>
      <c r="C262" s="3" t="s">
        <v>1090</v>
      </c>
      <c r="D262" s="3" t="s">
        <v>17</v>
      </c>
      <c r="E262" s="3" t="s">
        <v>402</v>
      </c>
      <c r="F262" s="3" t="s">
        <v>1035</v>
      </c>
      <c r="G262" s="3" t="s">
        <v>926</v>
      </c>
      <c r="H262" s="3" t="s">
        <v>1036</v>
      </c>
      <c r="I262" s="3" t="s">
        <v>20</v>
      </c>
      <c r="J262" s="3">
        <v>25.05</v>
      </c>
      <c r="K262" s="3" t="s">
        <v>21</v>
      </c>
      <c r="L262" s="3" t="s">
        <v>1091</v>
      </c>
      <c r="M262" s="3" t="s">
        <v>1038</v>
      </c>
      <c r="N262" s="6" t="str">
        <f>HYPERLINK("C:\Users\alexa\YandexDisk\Книги\Анализ данных\Наука о данных\Data Science Наука о данных с нуля.pdf","Data Science Наука о данных с нуля.pdf")</f>
        <v>Data Science Наука о данных с нуля.pdf</v>
      </c>
      <c r="O262" s="3" t="s">
        <v>1092</v>
      </c>
    </row>
    <row r="263" spans="1:15" ht="179.4" x14ac:dyDescent="0.3">
      <c r="A263" s="4">
        <v>262</v>
      </c>
      <c r="B263" s="5" t="s">
        <v>1093</v>
      </c>
      <c r="C263" s="5" t="s">
        <v>1094</v>
      </c>
      <c r="D263" s="5"/>
      <c r="E263" s="5"/>
      <c r="F263" s="5" t="s">
        <v>1035</v>
      </c>
      <c r="G263" s="5" t="s">
        <v>926</v>
      </c>
      <c r="H263" s="5" t="s">
        <v>1036</v>
      </c>
      <c r="I263" s="5" t="s">
        <v>20</v>
      </c>
      <c r="J263" s="5">
        <v>25.01</v>
      </c>
      <c r="K263" s="5" t="s">
        <v>21</v>
      </c>
      <c r="L263" s="5" t="s">
        <v>1095</v>
      </c>
      <c r="M263" s="5" t="s">
        <v>1038</v>
      </c>
      <c r="N263" s="7" t="str">
        <f>HYPERLINK("C:\Users\alexa\YandexDisk\Книги\Анализ данных\Наука о данных\Data Visualization for People of All Ages.pdf","Data Visualization for People of All Ages.pdf")</f>
        <v>Data Visualization for People of All Ages.pdf</v>
      </c>
      <c r="O263" s="5" t="s">
        <v>1096</v>
      </c>
    </row>
    <row r="264" spans="1:15" ht="207" x14ac:dyDescent="0.3">
      <c r="A264" s="2">
        <v>263</v>
      </c>
      <c r="B264" s="3" t="s">
        <v>1097</v>
      </c>
      <c r="C264" s="3" t="s">
        <v>1098</v>
      </c>
      <c r="D264" s="3"/>
      <c r="E264" s="3"/>
      <c r="F264" s="3" t="s">
        <v>1035</v>
      </c>
      <c r="G264" s="3" t="s">
        <v>926</v>
      </c>
      <c r="H264" s="3" t="s">
        <v>1036</v>
      </c>
      <c r="I264" s="3" t="s">
        <v>20</v>
      </c>
      <c r="J264" s="3">
        <v>12.76</v>
      </c>
      <c r="K264" s="3" t="s">
        <v>21</v>
      </c>
      <c r="L264" s="3" t="s">
        <v>1099</v>
      </c>
      <c r="M264" s="3" t="s">
        <v>1038</v>
      </c>
      <c r="N264" s="6" t="str">
        <f>HYPERLINK("C:\Users\alexa\YandexDisk\Книги\Анализ данных\Наука о данных\Data Visualization with Python and JavaScript, 2nd Edition.pdf","Data Visualization with Python and JavaScript, 2nd Edition.pdf")</f>
        <v>Data Visualization with Python and JavaScript, 2nd Edition.pdf</v>
      </c>
      <c r="O264" s="3" t="s">
        <v>1100</v>
      </c>
    </row>
    <row r="265" spans="1:15" ht="151.80000000000001" x14ac:dyDescent="0.3">
      <c r="A265" s="4">
        <v>264</v>
      </c>
      <c r="B265" s="5" t="s">
        <v>1101</v>
      </c>
      <c r="C265" s="5" t="s">
        <v>1102</v>
      </c>
      <c r="D265" s="5"/>
      <c r="E265" s="5"/>
      <c r="F265" s="5" t="s">
        <v>1035</v>
      </c>
      <c r="G265" s="5" t="s">
        <v>926</v>
      </c>
      <c r="H265" s="5" t="s">
        <v>1036</v>
      </c>
      <c r="I265" s="5" t="s">
        <v>280</v>
      </c>
      <c r="J265" s="5">
        <v>9.49</v>
      </c>
      <c r="K265" s="5" t="s">
        <v>21</v>
      </c>
      <c r="L265" s="5" t="s">
        <v>1103</v>
      </c>
      <c r="M265" s="5" t="s">
        <v>1038</v>
      </c>
      <c r="N265" s="7" t="str">
        <f>HYPERLINK("C:\Users\alexa\YandexDisk\Книги\Анализ данных\Наука о данных\Data.Analysis.with.Python.epub","Data.Analysis.with.Python.epub")</f>
        <v>Data.Analysis.with.Python.epub</v>
      </c>
      <c r="O265" s="5" t="s">
        <v>1104</v>
      </c>
    </row>
    <row r="266" spans="1:15" ht="179.4" x14ac:dyDescent="0.3">
      <c r="A266" s="2">
        <v>265</v>
      </c>
      <c r="B266" s="3" t="s">
        <v>1105</v>
      </c>
      <c r="C266" s="3" t="s">
        <v>1106</v>
      </c>
      <c r="D266" s="3"/>
      <c r="E266" s="3"/>
      <c r="F266" s="3" t="s">
        <v>1035</v>
      </c>
      <c r="G266" s="3" t="s">
        <v>926</v>
      </c>
      <c r="H266" s="3" t="s">
        <v>1036</v>
      </c>
      <c r="I266" s="3" t="s">
        <v>20</v>
      </c>
      <c r="J266" s="3">
        <v>20.41</v>
      </c>
      <c r="K266" s="3" t="s">
        <v>21</v>
      </c>
      <c r="L266" s="3" t="s">
        <v>1107</v>
      </c>
      <c r="M266" s="3" t="s">
        <v>1038</v>
      </c>
      <c r="N266" s="6" t="str">
        <f>HYPERLINK("C:\Users\alexa\YandexDisk\Книги\Анализ данных\Наука о данных\Data_Governance_The_Definitive_Guide_People,_Processes,_and_Tool.pdf","Data_Governance_The_Definitive_Guide_People,_Processes,_and_Tool.pdf")</f>
        <v>Data_Governance_The_Definitive_Guide_People,_Processes,_and_Tool.pdf</v>
      </c>
      <c r="O266" s="3" t="s">
        <v>1108</v>
      </c>
    </row>
    <row r="267" spans="1:15" ht="165.6" x14ac:dyDescent="0.3">
      <c r="A267" s="4">
        <v>266</v>
      </c>
      <c r="B267" s="5" t="s">
        <v>1109</v>
      </c>
      <c r="C267" s="5" t="s">
        <v>1110</v>
      </c>
      <c r="D267" s="5"/>
      <c r="E267" s="5"/>
      <c r="F267" s="5" t="s">
        <v>1035</v>
      </c>
      <c r="G267" s="5" t="s">
        <v>926</v>
      </c>
      <c r="H267" s="5" t="s">
        <v>1036</v>
      </c>
      <c r="I267" s="5" t="s">
        <v>280</v>
      </c>
      <c r="J267" s="5">
        <v>0.89</v>
      </c>
      <c r="K267" s="5" t="s">
        <v>21</v>
      </c>
      <c r="L267" s="5" t="s">
        <v>1111</v>
      </c>
      <c r="M267" s="5" t="s">
        <v>1038</v>
      </c>
      <c r="N267" s="7" t="str">
        <f>HYPERLINK("C:\Users\alexa\YandexDisk\Книги\Анализ данных\Наука о данных\Data_Science_for_Beginners_4_Books_in_1_Python_Programming.epub","Data_Science_for_Beginners_4_Books_in_1_Python_Programming.epub")</f>
        <v>Data_Science_for_Beginners_4_Books_in_1_Python_Programming.epub</v>
      </c>
      <c r="O267" s="5" t="s">
        <v>1112</v>
      </c>
    </row>
    <row r="268" spans="1:15" ht="165.6" x14ac:dyDescent="0.3">
      <c r="A268" s="2">
        <v>267</v>
      </c>
      <c r="B268" s="3" t="s">
        <v>1113</v>
      </c>
      <c r="C268" s="3" t="s">
        <v>1090</v>
      </c>
      <c r="D268" s="3" t="s">
        <v>77</v>
      </c>
      <c r="E268" s="3" t="s">
        <v>260</v>
      </c>
      <c r="F268" s="3" t="s">
        <v>1035</v>
      </c>
      <c r="G268" s="3" t="s">
        <v>926</v>
      </c>
      <c r="H268" s="3" t="s">
        <v>1036</v>
      </c>
      <c r="I268" s="3" t="s">
        <v>20</v>
      </c>
      <c r="J268" s="3">
        <v>10.39</v>
      </c>
      <c r="K268" s="3" t="s">
        <v>21</v>
      </c>
      <c r="L268" s="3" t="s">
        <v>1114</v>
      </c>
      <c r="M268" s="3" t="s">
        <v>1038</v>
      </c>
      <c r="N268" s="6" t="str">
        <f>HYPERLINK("C:\Users\alexa\YandexDisk\Книги\Анализ данных\Наука о данных\Data_Science_from_Scratch 2019.pdf","Data_Science_from_Scratch 2019.pdf")</f>
        <v>Data_Science_from_Scratch 2019.pdf</v>
      </c>
      <c r="O268" s="3" t="s">
        <v>1115</v>
      </c>
    </row>
    <row r="269" spans="1:15" ht="165.6" x14ac:dyDescent="0.3">
      <c r="A269" s="4">
        <v>268</v>
      </c>
      <c r="B269" s="5" t="s">
        <v>1033</v>
      </c>
      <c r="C269" s="5" t="s">
        <v>1116</v>
      </c>
      <c r="D269" s="5" t="s">
        <v>17</v>
      </c>
      <c r="E269" s="5" t="s">
        <v>18</v>
      </c>
      <c r="F269" s="5" t="s">
        <v>1035</v>
      </c>
      <c r="G269" s="5" t="s">
        <v>926</v>
      </c>
      <c r="H269" s="5" t="s">
        <v>1036</v>
      </c>
      <c r="I269" s="5" t="s">
        <v>20</v>
      </c>
      <c r="J269" s="5">
        <v>7.68</v>
      </c>
      <c r="K269" s="5" t="s">
        <v>21</v>
      </c>
      <c r="L269" s="5" t="s">
        <v>1117</v>
      </c>
      <c r="M269" s="5" t="s">
        <v>1038</v>
      </c>
      <c r="N269" s="7" t="str">
        <f>HYPERLINK("C:\Users\alexa\YandexDisk\Книги\Анализ данных\Наука о данных\Data_Science_для_карьериста_2021_Нолис_Жаклин,_Робинсон_Эмили.pdf","Data_Science_для_карьериста_2021_Нолис_Жаклин,_Робинсон_Эмили.pdf")</f>
        <v>Data_Science_для_карьериста_2021_Нолис_Жаклин,_Робинсон_Эмили.pdf</v>
      </c>
      <c r="O269" s="5" t="s">
        <v>1118</v>
      </c>
    </row>
    <row r="270" spans="1:15" ht="151.80000000000001" x14ac:dyDescent="0.3">
      <c r="A270" s="2">
        <v>269</v>
      </c>
      <c r="B270" s="3" t="s">
        <v>1119</v>
      </c>
      <c r="C270" s="3" t="s">
        <v>1120</v>
      </c>
      <c r="D270" s="3" t="s">
        <v>77</v>
      </c>
      <c r="E270" s="3" t="s">
        <v>18</v>
      </c>
      <c r="F270" s="3" t="s">
        <v>1035</v>
      </c>
      <c r="G270" s="3" t="s">
        <v>926</v>
      </c>
      <c r="H270" s="3" t="s">
        <v>1036</v>
      </c>
      <c r="I270" s="3" t="s">
        <v>20</v>
      </c>
      <c r="J270" s="3">
        <v>9.7899999999999991</v>
      </c>
      <c r="K270" s="3" t="s">
        <v>21</v>
      </c>
      <c r="L270" s="3" t="s">
        <v>1121</v>
      </c>
      <c r="M270" s="3" t="s">
        <v>1038</v>
      </c>
      <c r="N270" s="6" t="str">
        <f>HYPERLINK("C:\Users\alexa\YandexDisk\Книги\Анализ данных\Наука о данных\Data_Science_Инсайдерская_информация_для_новичков.pdf","Data_Science_Инсайдерская_информация_для_новичков.pdf")</f>
        <v>Data_Science_Инсайдерская_информация_для_новичков.pdf</v>
      </c>
      <c r="O270" s="3" t="s">
        <v>1122</v>
      </c>
    </row>
    <row r="271" spans="1:15" ht="220.8" x14ac:dyDescent="0.3">
      <c r="A271" s="4">
        <v>270</v>
      </c>
      <c r="B271" s="5" t="s">
        <v>1113</v>
      </c>
      <c r="C271" s="5" t="s">
        <v>1090</v>
      </c>
      <c r="D271" s="5" t="s">
        <v>17</v>
      </c>
      <c r="E271" s="5" t="s">
        <v>442</v>
      </c>
      <c r="F271" s="5" t="s">
        <v>1035</v>
      </c>
      <c r="G271" s="5" t="s">
        <v>926</v>
      </c>
      <c r="H271" s="5" t="s">
        <v>1036</v>
      </c>
      <c r="I271" s="5" t="s">
        <v>20</v>
      </c>
      <c r="J271" s="5">
        <v>24.81</v>
      </c>
      <c r="K271" s="5" t="s">
        <v>21</v>
      </c>
      <c r="L271" s="5" t="s">
        <v>1123</v>
      </c>
      <c r="M271" s="5" t="s">
        <v>1038</v>
      </c>
      <c r="N271" s="7" t="str">
        <f>HYPERLINK("C:\Users\alexa\YandexDisk\Книги\Анализ данных\Наука о данных\Data_Science_Наука_о_данных_с_нуля_Грас_2021.pdf","Data_Science_Наука_о_данных_с_нуля_Грас_2021.pdf")</f>
        <v>Data_Science_Наука_о_данных_с_нуля_Грас_2021.pdf</v>
      </c>
      <c r="O271" s="5" t="s">
        <v>1124</v>
      </c>
    </row>
    <row r="272" spans="1:15" ht="165.6" x14ac:dyDescent="0.3">
      <c r="A272" s="2">
        <v>271</v>
      </c>
      <c r="B272" s="3" t="s">
        <v>1125</v>
      </c>
      <c r="C272" s="3" t="s">
        <v>1126</v>
      </c>
      <c r="D272" s="3" t="s">
        <v>59</v>
      </c>
      <c r="E272" s="3" t="s">
        <v>1127</v>
      </c>
      <c r="F272" s="3" t="s">
        <v>1035</v>
      </c>
      <c r="G272" s="3" t="s">
        <v>926</v>
      </c>
      <c r="H272" s="3" t="s">
        <v>1036</v>
      </c>
      <c r="I272" s="3" t="s">
        <v>20</v>
      </c>
      <c r="J272" s="3">
        <v>1.05</v>
      </c>
      <c r="K272" s="3" t="s">
        <v>21</v>
      </c>
      <c r="L272" s="3" t="s">
        <v>1128</v>
      </c>
      <c r="M272" s="3" t="s">
        <v>1038</v>
      </c>
      <c r="N272" s="6" t="str">
        <f>HYPERLINK("C:\Users\alexa\YandexDisk\Книги\Анализ данных\Наука о данных\Devpractice_Team_Pandas_Работа_с_данными_2_е_изд_2020.pdf","Devpractice_Team_Pandas_Работа_с_данными_2_е_изд_2020.pdf")</f>
        <v>Devpractice_Team_Pandas_Работа_с_данными_2_е_изд_2020.pdf</v>
      </c>
      <c r="O272" s="3" t="s">
        <v>1129</v>
      </c>
    </row>
    <row r="273" spans="1:15" ht="179.4" x14ac:dyDescent="0.3">
      <c r="A273" s="4">
        <v>272</v>
      </c>
      <c r="B273" s="5" t="s">
        <v>1130</v>
      </c>
      <c r="C273" s="5" t="s">
        <v>1131</v>
      </c>
      <c r="D273" s="5" t="s">
        <v>335</v>
      </c>
      <c r="E273" s="5" t="s">
        <v>536</v>
      </c>
      <c r="F273" s="5" t="s">
        <v>1035</v>
      </c>
      <c r="G273" s="5" t="s">
        <v>926</v>
      </c>
      <c r="H273" s="5" t="s">
        <v>1036</v>
      </c>
      <c r="I273" s="5" t="s">
        <v>20</v>
      </c>
      <c r="J273" s="5">
        <v>40.31</v>
      </c>
      <c r="K273" s="5" t="s">
        <v>21</v>
      </c>
      <c r="L273" s="5" t="s">
        <v>1132</v>
      </c>
      <c r="M273" s="5" t="s">
        <v>1038</v>
      </c>
      <c r="N273" s="7" t="str">
        <f>HYPERLINK("C:\Users\alexa\YandexDisk\Книги\Анализ данных\Наука о данных\Effective Data Analysis_Final.pdf","Effective Data Analysis_Final.pdf")</f>
        <v>Effective Data Analysis_Final.pdf</v>
      </c>
      <c r="O273" s="5" t="s">
        <v>1133</v>
      </c>
    </row>
    <row r="274" spans="1:15" ht="207" x14ac:dyDescent="0.3">
      <c r="A274" s="2">
        <v>273</v>
      </c>
      <c r="B274" s="3" t="s">
        <v>1134</v>
      </c>
      <c r="C274" s="3" t="s">
        <v>1135</v>
      </c>
      <c r="D274" s="3" t="s">
        <v>71</v>
      </c>
      <c r="E274" s="3" t="s">
        <v>536</v>
      </c>
      <c r="F274" s="3" t="s">
        <v>1035</v>
      </c>
      <c r="G274" s="3" t="s">
        <v>926</v>
      </c>
      <c r="H274" s="3" t="s">
        <v>1036</v>
      </c>
      <c r="I274" s="3" t="s">
        <v>20</v>
      </c>
      <c r="J274" s="3">
        <v>10.33</v>
      </c>
      <c r="K274" s="3" t="s">
        <v>21</v>
      </c>
      <c r="L274" s="3" t="s">
        <v>1136</v>
      </c>
      <c r="M274" s="3" t="s">
        <v>1038</v>
      </c>
      <c r="N274" s="6" t="str">
        <f>HYPERLINK("C:\Users\alexa\YandexDisk\Книги\Анализ данных\Наука о данных\Effective Data Science Infrastructure How to make data scien 2022.pdf","Effective Data Science Infrastructure How to make data scien 2022.pdf")</f>
        <v>Effective Data Science Infrastructure How to make data scien 2022.pdf</v>
      </c>
      <c r="O274" s="3" t="s">
        <v>1137</v>
      </c>
    </row>
    <row r="275" spans="1:15" ht="165.6" x14ac:dyDescent="0.3">
      <c r="A275" s="4">
        <v>274</v>
      </c>
      <c r="B275" s="5" t="s">
        <v>1138</v>
      </c>
      <c r="C275" s="5" t="s">
        <v>1139</v>
      </c>
      <c r="D275" s="5" t="s">
        <v>71</v>
      </c>
      <c r="E275" s="5" t="s">
        <v>536</v>
      </c>
      <c r="F275" s="5" t="s">
        <v>1035</v>
      </c>
      <c r="G275" s="5" t="s">
        <v>926</v>
      </c>
      <c r="H275" s="5" t="s">
        <v>1036</v>
      </c>
      <c r="I275" s="5" t="s">
        <v>20</v>
      </c>
      <c r="J275" s="5">
        <v>6.56</v>
      </c>
      <c r="K275" s="5" t="s">
        <v>21</v>
      </c>
      <c r="L275" s="5" t="s">
        <v>1140</v>
      </c>
      <c r="M275" s="5" t="s">
        <v>1038</v>
      </c>
      <c r="N275" s="7" t="str">
        <f>HYPERLINK("C:\Users\alexa\YandexDisk\Книги\Анализ данных\Наука о данных\Experimentation for Engineers 2022.pdf","Experimentation for Engineers 2022.pdf")</f>
        <v>Experimentation for Engineers 2022.pdf</v>
      </c>
      <c r="O275" s="5" t="s">
        <v>1141</v>
      </c>
    </row>
    <row r="276" spans="1:15" ht="207" x14ac:dyDescent="0.3">
      <c r="A276" s="2">
        <v>275</v>
      </c>
      <c r="B276" s="3" t="s">
        <v>1142</v>
      </c>
      <c r="C276" s="3" t="s">
        <v>1143</v>
      </c>
      <c r="D276" s="3"/>
      <c r="E276" s="3" t="s">
        <v>442</v>
      </c>
      <c r="F276" s="3" t="s">
        <v>1035</v>
      </c>
      <c r="G276" s="3" t="s">
        <v>926</v>
      </c>
      <c r="H276" s="3" t="s">
        <v>1036</v>
      </c>
      <c r="I276" s="3" t="s">
        <v>20</v>
      </c>
      <c r="J276" s="3">
        <v>42.55</v>
      </c>
      <c r="K276" s="3" t="s">
        <v>21</v>
      </c>
      <c r="L276" s="3" t="s">
        <v>1144</v>
      </c>
      <c r="M276" s="3" t="s">
        <v>1038</v>
      </c>
      <c r="N276" s="6" t="str">
        <f>HYPERLINK("C:\Users\alexa\YandexDisk\Книги\Анализ данных\Наука о данных\Fundamentals_of_Data_Visualization_A_Primer_on_Making_Informativ.pdf","Fundamentals_of_Data_Visualization_A_Primer_on_Making_Informativ.pdf")</f>
        <v>Fundamentals_of_Data_Visualization_A_Primer_on_Making_Informativ.pdf</v>
      </c>
      <c r="O276" s="3" t="s">
        <v>1145</v>
      </c>
    </row>
    <row r="277" spans="1:15" ht="151.80000000000001" x14ac:dyDescent="0.3">
      <c r="A277" s="4">
        <v>276</v>
      </c>
      <c r="B277" s="5" t="s">
        <v>1146</v>
      </c>
      <c r="C277" s="5"/>
      <c r="D277" s="5"/>
      <c r="E277" s="5"/>
      <c r="F277" s="5" t="s">
        <v>1035</v>
      </c>
      <c r="G277" s="5" t="s">
        <v>926</v>
      </c>
      <c r="H277" s="5" t="s">
        <v>1036</v>
      </c>
      <c r="I277" s="5" t="s">
        <v>1147</v>
      </c>
      <c r="J277" s="5">
        <v>0.14000000000000001</v>
      </c>
      <c r="K277" s="5" t="s">
        <v>21</v>
      </c>
      <c r="L277" s="5" t="s">
        <v>1148</v>
      </c>
      <c r="M277" s="5" t="s">
        <v>1038</v>
      </c>
      <c r="N277" s="7" t="str">
        <f>HYPERLINK("C:\Users\alexa\YandexDisk\Книги\Анализ данных\Наука о данных\GArtner.docx","GArtner.docx")</f>
        <v>GArtner.docx</v>
      </c>
      <c r="O277" s="5" t="s">
        <v>1149</v>
      </c>
    </row>
    <row r="278" spans="1:15" ht="179.4" x14ac:dyDescent="0.3">
      <c r="A278" s="2">
        <v>277</v>
      </c>
      <c r="B278" s="3" t="s">
        <v>1150</v>
      </c>
      <c r="C278" s="3" t="s">
        <v>1151</v>
      </c>
      <c r="D278" s="3" t="s">
        <v>71</v>
      </c>
      <c r="E278" s="3" t="s">
        <v>536</v>
      </c>
      <c r="F278" s="3" t="s">
        <v>1035</v>
      </c>
      <c r="G278" s="3" t="s">
        <v>926</v>
      </c>
      <c r="H278" s="3" t="s">
        <v>1036</v>
      </c>
      <c r="I278" s="3" t="s">
        <v>20</v>
      </c>
      <c r="J278" s="3">
        <v>8.56</v>
      </c>
      <c r="K278" s="3" t="s">
        <v>21</v>
      </c>
      <c r="L278" s="3" t="s">
        <v>1152</v>
      </c>
      <c r="M278" s="3" t="s">
        <v>1038</v>
      </c>
      <c r="N278" s="6" t="str">
        <f>HYPERLINK("C:\Users\alexa\YandexDisk\Книги\Анализ данных\Наука о данных\Graph_Algorithms_for_Data_Science_MEAP6.pdf","Graph_Algorithms_for_Data_Science_MEAP6.pdf")</f>
        <v>Graph_Algorithms_for_Data_Science_MEAP6.pdf</v>
      </c>
      <c r="O278" s="3" t="s">
        <v>1153</v>
      </c>
    </row>
    <row r="279" spans="1:15" ht="207" x14ac:dyDescent="0.3">
      <c r="A279" s="4">
        <v>278</v>
      </c>
      <c r="B279" s="5" t="s">
        <v>1089</v>
      </c>
      <c r="C279" s="5" t="s">
        <v>1090</v>
      </c>
      <c r="D279" s="5" t="s">
        <v>1022</v>
      </c>
      <c r="E279" s="5" t="s">
        <v>442</v>
      </c>
      <c r="F279" s="5" t="s">
        <v>1035</v>
      </c>
      <c r="G279" s="5" t="s">
        <v>926</v>
      </c>
      <c r="H279" s="5" t="s">
        <v>1036</v>
      </c>
      <c r="I279" s="5" t="s">
        <v>20</v>
      </c>
      <c r="J279" s="5">
        <v>6.49</v>
      </c>
      <c r="K279" s="5" t="s">
        <v>21</v>
      </c>
      <c r="L279" s="5" t="s">
        <v>1154</v>
      </c>
      <c r="M279" s="5" t="s">
        <v>1038</v>
      </c>
      <c r="N279" s="7" t="str">
        <f>HYPERLINK("C:\Users\alexa\YandexDisk\Книги\Анализ данных\Наука о данных\Gras Data_Science_from_Scratch 2015.pdf","Gras Data_Science_from_Scratch 2015.pdf")</f>
        <v>Gras Data_Science_from_Scratch 2015.pdf</v>
      </c>
      <c r="O279" s="5" t="s">
        <v>1155</v>
      </c>
    </row>
    <row r="280" spans="1:15" ht="165.6" x14ac:dyDescent="0.3">
      <c r="A280" s="2">
        <v>279</v>
      </c>
      <c r="B280" s="3" t="s">
        <v>1156</v>
      </c>
      <c r="C280" s="3" t="s">
        <v>1157</v>
      </c>
      <c r="D280" s="3" t="s">
        <v>27</v>
      </c>
      <c r="E280" s="3" t="s">
        <v>1158</v>
      </c>
      <c r="F280" s="3" t="s">
        <v>1035</v>
      </c>
      <c r="G280" s="3" t="s">
        <v>926</v>
      </c>
      <c r="H280" s="3" t="s">
        <v>1036</v>
      </c>
      <c r="I280" s="3" t="s">
        <v>20</v>
      </c>
      <c r="J280" s="3">
        <v>1.56</v>
      </c>
      <c r="K280" s="3" t="s">
        <v>21</v>
      </c>
      <c r="L280" s="3" t="s">
        <v>1159</v>
      </c>
      <c r="M280" s="3" t="s">
        <v>1038</v>
      </c>
      <c r="N280" s="6" t="str">
        <f>HYPERLINK("C:\Users\alexa\YandexDisk\Книги\Анализ данных\Наука о данных\Learnig Pandas 2-0.pdf","Learnig Pandas 2-0.pdf")</f>
        <v>Learnig Pandas 2-0.pdf</v>
      </c>
      <c r="O280" s="3" t="s">
        <v>1160</v>
      </c>
    </row>
    <row r="281" spans="1:15" ht="207" x14ac:dyDescent="0.3">
      <c r="A281" s="4">
        <v>280</v>
      </c>
      <c r="B281" s="5" t="s">
        <v>1161</v>
      </c>
      <c r="C281" s="5" t="s">
        <v>1162</v>
      </c>
      <c r="D281" s="5"/>
      <c r="E281" s="5"/>
      <c r="F281" s="5" t="s">
        <v>1035</v>
      </c>
      <c r="G281" s="5" t="s">
        <v>926</v>
      </c>
      <c r="H281" s="5" t="s">
        <v>1036</v>
      </c>
      <c r="I281" s="5" t="s">
        <v>20</v>
      </c>
      <c r="J281" s="5">
        <v>21.7</v>
      </c>
      <c r="K281" s="5" t="s">
        <v>21</v>
      </c>
      <c r="L281" s="5" t="s">
        <v>1163</v>
      </c>
      <c r="M281" s="5" t="s">
        <v>1038</v>
      </c>
      <c r="N281" s="7" t="str">
        <f>HYPERLINK("C:\Users\alexa\YandexDisk\Книги\Анализ данных\Наука о данных\Learning_AI_Tools_in_Tableau_True.pdf","Learning_AI_Tools_in_Tableau_True.pdf")</f>
        <v>Learning_AI_Tools_in_Tableau_True.pdf</v>
      </c>
      <c r="O281" s="5" t="s">
        <v>1164</v>
      </c>
    </row>
    <row r="282" spans="1:15" ht="179.4" x14ac:dyDescent="0.3">
      <c r="A282" s="2">
        <v>281</v>
      </c>
      <c r="B282" s="3" t="s">
        <v>1150</v>
      </c>
      <c r="C282" s="3" t="s">
        <v>1165</v>
      </c>
      <c r="D282" s="3" t="s">
        <v>109</v>
      </c>
      <c r="E282" s="3" t="s">
        <v>536</v>
      </c>
      <c r="F282" s="3" t="s">
        <v>1035</v>
      </c>
      <c r="G282" s="3" t="s">
        <v>926</v>
      </c>
      <c r="H282" s="3" t="s">
        <v>1036</v>
      </c>
      <c r="I282" s="3" t="s">
        <v>20</v>
      </c>
      <c r="J282" s="3">
        <v>35.74</v>
      </c>
      <c r="K282" s="3" t="s">
        <v>21</v>
      </c>
      <c r="L282" s="3" t="s">
        <v>1166</v>
      </c>
      <c r="M282" s="3" t="s">
        <v>1038</v>
      </c>
      <c r="N282" s="6" t="str">
        <f>HYPERLINK("C:\Users\alexa\YandexDisk\Книги\Анализ данных\Наука о данных\Manning.Graph.Algorithms.for.Data.Science.pdf","Manning.Graph.Algorithms.for.Data.Science.pdf")</f>
        <v>Manning.Graph.Algorithms.for.Data.Science.pdf</v>
      </c>
      <c r="O282" s="3" t="s">
        <v>1167</v>
      </c>
    </row>
    <row r="283" spans="1:15" ht="179.4" x14ac:dyDescent="0.3">
      <c r="A283" s="4">
        <v>282</v>
      </c>
      <c r="B283" s="5" t="s">
        <v>1168</v>
      </c>
      <c r="C283" s="5" t="s">
        <v>1169</v>
      </c>
      <c r="D283" s="5" t="s">
        <v>27</v>
      </c>
      <c r="E283" s="5"/>
      <c r="F283" s="5" t="s">
        <v>1035</v>
      </c>
      <c r="G283" s="5" t="s">
        <v>926</v>
      </c>
      <c r="H283" s="5" t="s">
        <v>1036</v>
      </c>
      <c r="I283" s="5" t="s">
        <v>20</v>
      </c>
      <c r="J283" s="5">
        <v>4.12</v>
      </c>
      <c r="K283" s="5" t="s">
        <v>21</v>
      </c>
      <c r="L283" s="5" t="s">
        <v>1170</v>
      </c>
      <c r="M283" s="5" t="s">
        <v>1038</v>
      </c>
      <c r="N283" s="7" t="str">
        <f>HYPERLINK("C:\Users\alexa\YandexDisk\Книги\Анализ данных\Наука о данных\Mastering.Data.Analysis.with.Python.pdf","Mastering.Data.Analysis.with.Python.pdf")</f>
        <v>Mastering.Data.Analysis.with.Python.pdf</v>
      </c>
      <c r="O283" s="5" t="s">
        <v>1171</v>
      </c>
    </row>
    <row r="284" spans="1:15" ht="124.2" x14ac:dyDescent="0.3">
      <c r="A284" s="2">
        <v>283</v>
      </c>
      <c r="B284" s="3" t="s">
        <v>1125</v>
      </c>
      <c r="C284" s="3" t="s">
        <v>1126</v>
      </c>
      <c r="D284" s="3" t="s">
        <v>59</v>
      </c>
      <c r="E284" s="3" t="s">
        <v>1127</v>
      </c>
      <c r="F284" s="3" t="s">
        <v>1035</v>
      </c>
      <c r="G284" s="3" t="s">
        <v>926</v>
      </c>
      <c r="H284" s="3" t="s">
        <v>1036</v>
      </c>
      <c r="I284" s="3" t="s">
        <v>20</v>
      </c>
      <c r="J284" s="3">
        <v>1.18</v>
      </c>
      <c r="K284" s="3" t="s">
        <v>21</v>
      </c>
      <c r="L284" s="3" t="s">
        <v>1172</v>
      </c>
      <c r="M284" s="3" t="s">
        <v>1038</v>
      </c>
      <c r="N284" s="6" t="str">
        <f>HYPERLINK("C:\Users\alexa\YandexDisk\Книги\Анализ данных\Наука о данных\Pandas. Работа с данными.pdf","Pandas. Работа с данными.pdf")</f>
        <v>Pandas. Работа с данными.pdf</v>
      </c>
      <c r="O284" s="3" t="s">
        <v>1173</v>
      </c>
    </row>
    <row r="285" spans="1:15" ht="179.4" x14ac:dyDescent="0.3">
      <c r="A285" s="4">
        <v>284</v>
      </c>
      <c r="B285" s="5" t="s">
        <v>1174</v>
      </c>
      <c r="C285" s="5" t="s">
        <v>1175</v>
      </c>
      <c r="D285" s="5"/>
      <c r="E285" s="5"/>
      <c r="F285" s="5" t="s">
        <v>1035</v>
      </c>
      <c r="G285" s="5" t="s">
        <v>926</v>
      </c>
      <c r="H285" s="5" t="s">
        <v>1036</v>
      </c>
      <c r="I285" s="5" t="s">
        <v>280</v>
      </c>
      <c r="J285" s="5">
        <v>57.3</v>
      </c>
      <c r="K285" s="5" t="s">
        <v>21</v>
      </c>
      <c r="L285" s="5" t="s">
        <v>1176</v>
      </c>
      <c r="M285" s="5" t="s">
        <v>1038</v>
      </c>
      <c r="N285" s="7" t="str">
        <f>HYPERLINK("C:\Users\alexa\YandexDisk\Книги\Анализ данных\Наука о данных\Pandas.for.Everyone.Python.Data.Analysis.epub","Pandas.for.Everyone.Python.Data.Analysis.epub")</f>
        <v>Pandas.for.Everyone.Python.Data.Analysis.epub</v>
      </c>
      <c r="O285" s="5" t="s">
        <v>1177</v>
      </c>
    </row>
    <row r="286" spans="1:15" ht="165.6" x14ac:dyDescent="0.3">
      <c r="A286" s="2">
        <v>285</v>
      </c>
      <c r="B286" s="3" t="s">
        <v>1174</v>
      </c>
      <c r="C286" s="3" t="s">
        <v>1175</v>
      </c>
      <c r="D286" s="3"/>
      <c r="E286" s="3"/>
      <c r="F286" s="3" t="s">
        <v>1035</v>
      </c>
      <c r="G286" s="3" t="s">
        <v>926</v>
      </c>
      <c r="H286" s="3" t="s">
        <v>1036</v>
      </c>
      <c r="I286" s="3" t="s">
        <v>20</v>
      </c>
      <c r="J286" s="3">
        <v>73.989999999999995</v>
      </c>
      <c r="K286" s="3" t="s">
        <v>21</v>
      </c>
      <c r="L286" s="3" t="s">
        <v>1178</v>
      </c>
      <c r="M286" s="3" t="s">
        <v>1038</v>
      </c>
      <c r="N286" s="6" t="str">
        <f>HYPERLINK("C:\Users\alexa\YandexDisk\Книги\Анализ данных\Наука о данных\Pandas.for.Everyone.Python.Data.Analysis.pdf","Pandas.for.Everyone.Python.Data.Analysis.pdf")</f>
        <v>Pandas.for.Everyone.Python.Data.Analysis.pdf</v>
      </c>
      <c r="O286" s="3" t="s">
        <v>1179</v>
      </c>
    </row>
    <row r="287" spans="1:15" ht="151.80000000000001" x14ac:dyDescent="0.3">
      <c r="A287" s="4">
        <v>286</v>
      </c>
      <c r="B287" s="5" t="s">
        <v>1125</v>
      </c>
      <c r="C287" s="5" t="s">
        <v>1126</v>
      </c>
      <c r="D287" s="5" t="s">
        <v>59</v>
      </c>
      <c r="E287" s="5" t="s">
        <v>1127</v>
      </c>
      <c r="F287" s="5" t="s">
        <v>1035</v>
      </c>
      <c r="G287" s="5" t="s">
        <v>926</v>
      </c>
      <c r="H287" s="5" t="s">
        <v>1036</v>
      </c>
      <c r="I287" s="5" t="s">
        <v>20</v>
      </c>
      <c r="J287" s="5">
        <v>1.05</v>
      </c>
      <c r="K287" s="5" t="s">
        <v>21</v>
      </c>
      <c r="L287" s="5" t="s">
        <v>1180</v>
      </c>
      <c r="M287" s="5" t="s">
        <v>1038</v>
      </c>
      <c r="N287" s="7" t="str">
        <f>HYPERLINK("C:\Users\alexa\YandexDisk\Книги\Анализ данных\Наука о данных\Pandas_Работа с данными-_2020.pdf","Pandas_Работа с данными-_2020.pdf")</f>
        <v>Pandas_Работа с данными-_2020.pdf</v>
      </c>
      <c r="O287" s="5" t="s">
        <v>1181</v>
      </c>
    </row>
    <row r="288" spans="1:15" ht="193.2" x14ac:dyDescent="0.3">
      <c r="A288" s="2">
        <v>287</v>
      </c>
      <c r="B288" s="3" t="s">
        <v>1182</v>
      </c>
      <c r="C288" s="3" t="s">
        <v>1183</v>
      </c>
      <c r="D288" s="3" t="s">
        <v>59</v>
      </c>
      <c r="E288" s="3" t="s">
        <v>442</v>
      </c>
      <c r="F288" s="3" t="s">
        <v>1035</v>
      </c>
      <c r="G288" s="3" t="s">
        <v>926</v>
      </c>
      <c r="H288" s="3" t="s">
        <v>1036</v>
      </c>
      <c r="I288" s="3" t="s">
        <v>20</v>
      </c>
      <c r="J288" s="3">
        <v>16.12</v>
      </c>
      <c r="K288" s="3" t="s">
        <v>21</v>
      </c>
      <c r="L288" s="3" t="s">
        <v>1184</v>
      </c>
      <c r="M288" s="3" t="s">
        <v>1038</v>
      </c>
      <c r="N288" s="6" t="str">
        <f>HYPERLINK("C:\Users\alexa\YandexDisk\Книги\Анализ данных\Наука о данных\Practical Statistics... by Peter Bruce  Andrew.pdf","Practical Statistics... by Peter Bruce  Andrew.pdf")</f>
        <v>Practical Statistics... by Peter Bruce  Andrew.pdf</v>
      </c>
      <c r="O288" s="3" t="s">
        <v>1185</v>
      </c>
    </row>
    <row r="289" spans="1:15" ht="179.4" x14ac:dyDescent="0.3">
      <c r="A289" s="4">
        <v>288</v>
      </c>
      <c r="B289" s="5" t="s">
        <v>1186</v>
      </c>
      <c r="C289" s="5" t="s">
        <v>1187</v>
      </c>
      <c r="D289" s="5" t="s">
        <v>27</v>
      </c>
      <c r="E289" s="5" t="s">
        <v>1188</v>
      </c>
      <c r="F289" s="5" t="s">
        <v>1035</v>
      </c>
      <c r="G289" s="5" t="s">
        <v>926</v>
      </c>
      <c r="H289" s="5" t="s">
        <v>1036</v>
      </c>
      <c r="I289" s="5" t="s">
        <v>20</v>
      </c>
      <c r="J289" s="5">
        <v>30.84</v>
      </c>
      <c r="K289" s="5" t="s">
        <v>21</v>
      </c>
      <c r="L289" s="5" t="s">
        <v>1189</v>
      </c>
      <c r="M289" s="5" t="s">
        <v>1038</v>
      </c>
      <c r="N289" s="7" t="str">
        <f>HYPERLINK("C:\Users\alexa\YandexDisk\Книги\Анализ данных\Наука о данных\Practice R_An interactive textbook.pdf","Practice R_An interactive textbook.pdf")</f>
        <v>Practice R_An interactive textbook.pdf</v>
      </c>
      <c r="O289" s="5" t="s">
        <v>1190</v>
      </c>
    </row>
    <row r="290" spans="1:15" ht="207" x14ac:dyDescent="0.3">
      <c r="A290" s="2">
        <v>289</v>
      </c>
      <c r="B290" s="3" t="s">
        <v>1191</v>
      </c>
      <c r="C290" s="3" t="s">
        <v>1192</v>
      </c>
      <c r="D290" s="3" t="s">
        <v>17</v>
      </c>
      <c r="E290" s="3"/>
      <c r="F290" s="3" t="s">
        <v>1035</v>
      </c>
      <c r="G290" s="3" t="s">
        <v>926</v>
      </c>
      <c r="H290" s="3" t="s">
        <v>1036</v>
      </c>
      <c r="I290" s="3" t="s">
        <v>280</v>
      </c>
      <c r="J290" s="3">
        <v>20.39</v>
      </c>
      <c r="K290" s="3" t="s">
        <v>21</v>
      </c>
      <c r="L290" s="3" t="s">
        <v>1193</v>
      </c>
      <c r="M290" s="3" t="s">
        <v>1038</v>
      </c>
      <c r="N290" s="6" t="str">
        <f>HYPERLINK("C:\Users\alexa\YandexDisk\Книги\Анализ данных\Наука о данных\Python and R for the Modern Data Scientist The Best of Both Worlds (Fourth Early Release) [2021] Rick J. Scavetta, Boyan Angelov.epub","Python and R for the Modern Data Scientist The Best of Both Worlds (Fourth Early Release) [2021] Rick J. Scavetta, Boyan Angelov.epub")</f>
        <v>Python and R for the Modern Data Scientist The Best of Both Worlds (Fourth Early Release) [2021] Rick J. Scavetta, Boyan Angelov.epub</v>
      </c>
      <c r="O290" s="3" t="s">
        <v>1194</v>
      </c>
    </row>
    <row r="291" spans="1:15" ht="138" x14ac:dyDescent="0.3">
      <c r="A291" s="4">
        <v>290</v>
      </c>
      <c r="B291" s="5" t="s">
        <v>1195</v>
      </c>
      <c r="C291" s="5" t="s">
        <v>1196</v>
      </c>
      <c r="D291" s="5" t="s">
        <v>27</v>
      </c>
      <c r="E291" s="5" t="s">
        <v>1197</v>
      </c>
      <c r="F291" s="5" t="s">
        <v>1035</v>
      </c>
      <c r="G291" s="5" t="s">
        <v>926</v>
      </c>
      <c r="H291" s="5" t="s">
        <v>1036</v>
      </c>
      <c r="I291" s="5" t="s">
        <v>20</v>
      </c>
      <c r="J291" s="5">
        <v>36.4</v>
      </c>
      <c r="K291" s="5" t="s">
        <v>21</v>
      </c>
      <c r="L291" s="5" t="s">
        <v>1198</v>
      </c>
      <c r="M291" s="5" t="s">
        <v>1038</v>
      </c>
      <c r="N291" s="7" t="str">
        <f>HYPERLINK("C:\Users\alexa\YandexDisk\Книги\Анализ данных\Наука о данных\Python Data Science 2023.pdf","Python Data Science 2023.pdf")</f>
        <v>Python Data Science 2023.pdf</v>
      </c>
      <c r="O291" s="5" t="s">
        <v>1199</v>
      </c>
    </row>
    <row r="292" spans="1:15" ht="165.6" x14ac:dyDescent="0.3">
      <c r="A292" s="2">
        <v>291</v>
      </c>
      <c r="B292" s="3" t="s">
        <v>1200</v>
      </c>
      <c r="C292" s="3" t="s">
        <v>1201</v>
      </c>
      <c r="D292" s="3" t="s">
        <v>335</v>
      </c>
      <c r="E292" s="3" t="s">
        <v>442</v>
      </c>
      <c r="F292" s="3" t="s">
        <v>1035</v>
      </c>
      <c r="G292" s="3" t="s">
        <v>926</v>
      </c>
      <c r="H292" s="3" t="s">
        <v>1036</v>
      </c>
      <c r="I292" s="3" t="s">
        <v>20</v>
      </c>
      <c r="J292" s="3">
        <v>17.25</v>
      </c>
      <c r="K292" s="3" t="s">
        <v>21</v>
      </c>
      <c r="L292" s="3" t="s">
        <v>1202</v>
      </c>
      <c r="M292" s="3" t="s">
        <v>1038</v>
      </c>
      <c r="N292" s="6" t="str">
        <f>HYPERLINK("C:\Users\alexa\YandexDisk\Книги\Анализ данных\Наука о данных\Python Polars подробное руководство.pdf","Python Polars подробное руководство.pdf")</f>
        <v>Python Polars подробное руководство.pdf</v>
      </c>
      <c r="O292" s="3" t="s">
        <v>1203</v>
      </c>
    </row>
    <row r="293" spans="1:15" ht="207" x14ac:dyDescent="0.3">
      <c r="A293" s="4">
        <v>292</v>
      </c>
      <c r="B293" s="5" t="s">
        <v>1204</v>
      </c>
      <c r="C293" s="5" t="s">
        <v>1205</v>
      </c>
      <c r="D293" s="5" t="s">
        <v>27</v>
      </c>
      <c r="E293" s="5" t="s">
        <v>18</v>
      </c>
      <c r="F293" s="5" t="s">
        <v>1035</v>
      </c>
      <c r="G293" s="5" t="s">
        <v>926</v>
      </c>
      <c r="H293" s="5" t="s">
        <v>1036</v>
      </c>
      <c r="I293" s="5" t="s">
        <v>20</v>
      </c>
      <c r="J293" s="5">
        <v>6.89</v>
      </c>
      <c r="K293" s="5" t="s">
        <v>21</v>
      </c>
      <c r="L293" s="5" t="s">
        <v>1206</v>
      </c>
      <c r="M293" s="5" t="s">
        <v>1038</v>
      </c>
      <c r="N293" s="7" t="str">
        <f>HYPERLINK("C:\Users\alexa\YandexDisk\Книги\Анализ данных\Наука о данных\Python для data science.pdf","Python для data science.pdf")</f>
        <v>Python для data science.pdf</v>
      </c>
      <c r="O293" s="5" t="s">
        <v>1207</v>
      </c>
    </row>
    <row r="294" spans="1:15" ht="193.2" x14ac:dyDescent="0.3">
      <c r="A294" s="2">
        <v>293</v>
      </c>
      <c r="B294" s="3" t="s">
        <v>1208</v>
      </c>
      <c r="C294" s="3" t="s">
        <v>1209</v>
      </c>
      <c r="D294" s="3" t="s">
        <v>109</v>
      </c>
      <c r="E294" s="3" t="s">
        <v>336</v>
      </c>
      <c r="F294" s="3" t="s">
        <v>1035</v>
      </c>
      <c r="G294" s="3" t="s">
        <v>926</v>
      </c>
      <c r="H294" s="3" t="s">
        <v>1036</v>
      </c>
      <c r="I294" s="3" t="s">
        <v>20</v>
      </c>
      <c r="J294" s="3">
        <v>13.76</v>
      </c>
      <c r="K294" s="3" t="s">
        <v>21</v>
      </c>
      <c r="L294" s="3" t="s">
        <v>1210</v>
      </c>
      <c r="M294" s="3" t="s">
        <v>1038</v>
      </c>
      <c r="N294" s="6" t="str">
        <f>HYPERLINK("C:\Users\alexa\YandexDisk\Книги\Анализ данных\Наука о данных\Python для сложных задач.pdf","Python для сложных задач.pdf")</f>
        <v>Python для сложных задач.pdf</v>
      </c>
      <c r="O294" s="3" t="s">
        <v>1211</v>
      </c>
    </row>
    <row r="295" spans="1:15" ht="138" x14ac:dyDescent="0.3">
      <c r="A295" s="4">
        <v>294</v>
      </c>
      <c r="B295" s="5" t="s">
        <v>1212</v>
      </c>
      <c r="C295" s="5" t="s">
        <v>1213</v>
      </c>
      <c r="D295" s="5" t="s">
        <v>1022</v>
      </c>
      <c r="E295" s="5" t="s">
        <v>442</v>
      </c>
      <c r="F295" s="5" t="s">
        <v>1035</v>
      </c>
      <c r="G295" s="5" t="s">
        <v>926</v>
      </c>
      <c r="H295" s="5" t="s">
        <v>1036</v>
      </c>
      <c r="I295" s="5" t="s">
        <v>20</v>
      </c>
      <c r="J295" s="5">
        <v>41.76</v>
      </c>
      <c r="K295" s="5" t="s">
        <v>21</v>
      </c>
      <c r="L295" s="5" t="s">
        <v>1214</v>
      </c>
      <c r="M295" s="5" t="s">
        <v>1038</v>
      </c>
      <c r="N295" s="7" t="str">
        <f>HYPERLINK("C:\Users\alexa\YandexDisk\Книги\Анализ данных\Наука о данных\Python и анализ данных.pdf","Python и анализ данных.pdf")</f>
        <v>Python и анализ данных.pdf</v>
      </c>
      <c r="O295" s="5" t="s">
        <v>1215</v>
      </c>
    </row>
    <row r="296" spans="1:15" ht="165.6" x14ac:dyDescent="0.3">
      <c r="A296" s="2">
        <v>295</v>
      </c>
      <c r="B296" s="3" t="s">
        <v>1216</v>
      </c>
      <c r="C296" s="3"/>
      <c r="D296" s="3"/>
      <c r="E296" s="3"/>
      <c r="F296" s="3" t="s">
        <v>1035</v>
      </c>
      <c r="G296" s="3" t="s">
        <v>926</v>
      </c>
      <c r="H296" s="3" t="s">
        <v>1036</v>
      </c>
      <c r="I296" s="3" t="s">
        <v>721</v>
      </c>
      <c r="J296" s="3">
        <v>31.87</v>
      </c>
      <c r="K296" s="3" t="s">
        <v>21</v>
      </c>
      <c r="L296" s="3" t="s">
        <v>1217</v>
      </c>
      <c r="M296" s="3" t="s">
        <v>1038</v>
      </c>
      <c r="N296" s="6" t="str">
        <f>HYPERLINK("C:\Users\alexa\YandexDisk\Книги\Анализ данных\Наука о данных\python и наука о данных для чайников.djvu","python и наука о данных для чайников.djvu")</f>
        <v>python и наука о данных для чайников.djvu</v>
      </c>
      <c r="O296" s="3" t="s">
        <v>1218</v>
      </c>
    </row>
    <row r="297" spans="1:15" ht="138" x14ac:dyDescent="0.3">
      <c r="A297" s="4">
        <v>296</v>
      </c>
      <c r="B297" s="5" t="s">
        <v>1216</v>
      </c>
      <c r="C297" s="5"/>
      <c r="D297" s="5"/>
      <c r="E297" s="5"/>
      <c r="F297" s="5" t="s">
        <v>1035</v>
      </c>
      <c r="G297" s="5" t="s">
        <v>926</v>
      </c>
      <c r="H297" s="5" t="s">
        <v>1036</v>
      </c>
      <c r="I297" s="5" t="s">
        <v>20</v>
      </c>
      <c r="J297" s="5">
        <v>94.66</v>
      </c>
      <c r="K297" s="5" t="s">
        <v>21</v>
      </c>
      <c r="L297" s="5" t="s">
        <v>1219</v>
      </c>
      <c r="M297" s="5" t="s">
        <v>1038</v>
      </c>
      <c r="N297" s="7" t="str">
        <f>HYPERLINK("C:\Users\alexa\YandexDisk\Книги\Анализ данных\Наука о данных\Python и наука о данных для чайников.pdf","Python и наука о данных для чайников.pdf")</f>
        <v>Python и наука о данных для чайников.pdf</v>
      </c>
      <c r="O297" s="5" t="s">
        <v>1220</v>
      </c>
    </row>
    <row r="298" spans="1:15" ht="151.80000000000001" x14ac:dyDescent="0.3">
      <c r="A298" s="2">
        <v>297</v>
      </c>
      <c r="B298" s="3" t="s">
        <v>1221</v>
      </c>
      <c r="C298" s="3" t="s">
        <v>1222</v>
      </c>
      <c r="D298" s="3"/>
      <c r="E298" s="3" t="s">
        <v>442</v>
      </c>
      <c r="F298" s="3" t="s">
        <v>1035</v>
      </c>
      <c r="G298" s="3" t="s">
        <v>926</v>
      </c>
      <c r="H298" s="3" t="s">
        <v>1036</v>
      </c>
      <c r="I298" s="3" t="s">
        <v>20</v>
      </c>
      <c r="J298" s="3">
        <v>19.079999999999998</v>
      </c>
      <c r="K298" s="3" t="s">
        <v>21</v>
      </c>
      <c r="L298" s="3" t="s">
        <v>1223</v>
      </c>
      <c r="M298" s="3" t="s">
        <v>1038</v>
      </c>
      <c r="N298" s="6" t="str">
        <f>HYPERLINK("C:\Users\alexa\YandexDisk\Книги\Анализ данных\Наука о данных\Python.Data.Science.Handbook.pdf","Python.Data.Science.Handbook.pdf")</f>
        <v>Python.Data.Science.Handbook.pdf</v>
      </c>
      <c r="O298" s="3" t="s">
        <v>1224</v>
      </c>
    </row>
    <row r="299" spans="1:15" ht="193.2" x14ac:dyDescent="0.3">
      <c r="A299" s="4">
        <v>298</v>
      </c>
      <c r="B299" s="5" t="s">
        <v>1225</v>
      </c>
      <c r="C299" s="5" t="s">
        <v>1226</v>
      </c>
      <c r="D299" s="5"/>
      <c r="E299" s="5"/>
      <c r="F299" s="5" t="s">
        <v>1035</v>
      </c>
      <c r="G299" s="5" t="s">
        <v>926</v>
      </c>
      <c r="H299" s="5" t="s">
        <v>1036</v>
      </c>
      <c r="I299" s="5" t="s">
        <v>280</v>
      </c>
      <c r="J299" s="5">
        <v>6.21</v>
      </c>
      <c r="K299" s="5" t="s">
        <v>21</v>
      </c>
      <c r="L299" s="5" t="s">
        <v>1227</v>
      </c>
      <c r="M299" s="5" t="s">
        <v>1038</v>
      </c>
      <c r="N299" s="7" t="str">
        <f>HYPERLINK("C:\Users\alexa\YandexDisk\Книги\Анализ данных\Наука о данных\Python.for.Data.Science.A.Hands-On.Introduction.epub","Python.for.Data.Science.A.Hands-On.Introduction.epub")</f>
        <v>Python.for.Data.Science.A.Hands-On.Introduction.epub</v>
      </c>
      <c r="O299" s="5" t="s">
        <v>1228</v>
      </c>
    </row>
    <row r="300" spans="1:15" ht="207" x14ac:dyDescent="0.3">
      <c r="A300" s="2">
        <v>299</v>
      </c>
      <c r="B300" s="3" t="s">
        <v>1229</v>
      </c>
      <c r="C300" s="3" t="s">
        <v>1230</v>
      </c>
      <c r="D300" s="3" t="s">
        <v>71</v>
      </c>
      <c r="E300" s="3"/>
      <c r="F300" s="3" t="s">
        <v>1035</v>
      </c>
      <c r="G300" s="3" t="s">
        <v>926</v>
      </c>
      <c r="H300" s="3" t="s">
        <v>1036</v>
      </c>
      <c r="I300" s="3" t="s">
        <v>20</v>
      </c>
      <c r="J300" s="3">
        <v>14.06</v>
      </c>
      <c r="K300" s="3" t="s">
        <v>21</v>
      </c>
      <c r="L300" s="3" t="s">
        <v>1231</v>
      </c>
      <c r="M300" s="3" t="s">
        <v>1038</v>
      </c>
      <c r="N300" s="6" t="str">
        <f>HYPERLINK("C:\Users\alexa\YandexDisk\Книги\Анализ данных\Наука о данных\R in Action, Third Edition 2022.pdf","R in Action, Third Edition 2022.pdf")</f>
        <v>R in Action, Third Edition 2022.pdf</v>
      </c>
      <c r="O300" s="3" t="s">
        <v>1232</v>
      </c>
    </row>
    <row r="301" spans="1:15" ht="207" x14ac:dyDescent="0.3">
      <c r="A301" s="4">
        <v>300</v>
      </c>
      <c r="B301" s="5" t="s">
        <v>1233</v>
      </c>
      <c r="C301" s="5" t="s">
        <v>1230</v>
      </c>
      <c r="D301" s="5" t="s">
        <v>27</v>
      </c>
      <c r="E301" s="5" t="s">
        <v>1234</v>
      </c>
      <c r="F301" s="5" t="s">
        <v>1035</v>
      </c>
      <c r="G301" s="5" t="s">
        <v>926</v>
      </c>
      <c r="H301" s="5" t="s">
        <v>1036</v>
      </c>
      <c r="I301" s="5" t="s">
        <v>20</v>
      </c>
      <c r="J301" s="5">
        <v>38.979999999999997</v>
      </c>
      <c r="K301" s="5" t="s">
        <v>21</v>
      </c>
      <c r="L301" s="5" t="s">
        <v>1235</v>
      </c>
      <c r="M301" s="5" t="s">
        <v>1038</v>
      </c>
      <c r="N301" s="7" t="str">
        <f>HYPERLINK("C:\Users\alexa\YandexDisk\Книги\Анализ данных\Наука о данных\R в действии.pdf","R в действии.pdf")</f>
        <v>R в действии.pdf</v>
      </c>
      <c r="O301" s="5" t="s">
        <v>1236</v>
      </c>
    </row>
    <row r="302" spans="1:15" ht="179.4" x14ac:dyDescent="0.3">
      <c r="A302" s="2">
        <v>301</v>
      </c>
      <c r="B302" s="3" t="s">
        <v>1237</v>
      </c>
      <c r="C302" s="3" t="s">
        <v>1238</v>
      </c>
      <c r="D302" s="3" t="s">
        <v>27</v>
      </c>
      <c r="E302" s="3"/>
      <c r="F302" s="3" t="s">
        <v>1035</v>
      </c>
      <c r="G302" s="3" t="s">
        <v>926</v>
      </c>
      <c r="H302" s="3" t="s">
        <v>1036</v>
      </c>
      <c r="I302" s="3" t="s">
        <v>20</v>
      </c>
      <c r="J302" s="3">
        <v>19.91</v>
      </c>
      <c r="K302" s="3" t="s">
        <v>21</v>
      </c>
      <c r="L302" s="3" t="s">
        <v>1239</v>
      </c>
      <c r="M302" s="3" t="s">
        <v>1038</v>
      </c>
      <c r="N302" s="6" t="str">
        <f>HYPERLINK("C:\Users\alexa\YandexDisk\Книги\Анализ данных\Наука о данных\R-прогнозирование_принципы_и_практика.pdf","R-прогнозирование_принципы_и_практика.pdf")</f>
        <v>R-прогнозирование_принципы_и_практика.pdf</v>
      </c>
      <c r="O302" s="3" t="s">
        <v>1240</v>
      </c>
    </row>
    <row r="303" spans="1:15" ht="179.4" x14ac:dyDescent="0.3">
      <c r="A303" s="4">
        <v>302</v>
      </c>
      <c r="B303" s="5" t="s">
        <v>1241</v>
      </c>
      <c r="C303" s="5" t="s">
        <v>1242</v>
      </c>
      <c r="D303" s="5"/>
      <c r="E303" s="5" t="s">
        <v>102</v>
      </c>
      <c r="F303" s="5" t="s">
        <v>1035</v>
      </c>
      <c r="G303" s="5" t="s">
        <v>926</v>
      </c>
      <c r="H303" s="5" t="s">
        <v>1036</v>
      </c>
      <c r="I303" s="5" t="s">
        <v>20</v>
      </c>
      <c r="J303" s="5">
        <v>19.16</v>
      </c>
      <c r="K303" s="5" t="s">
        <v>21</v>
      </c>
      <c r="L303" s="5" t="s">
        <v>1243</v>
      </c>
      <c r="M303" s="5" t="s">
        <v>1038</v>
      </c>
      <c r="N303" s="7" t="str">
        <f>HYPERLINK("C:\Users\alexa\YandexDisk\Книги\Анализ данных\Наука о данных\R_Книга_рецептов_Проверенные_рецепты_для_статистики,_анализа_и_визуализации.pdf","R_Книга_рецептов_Проверенные_рецепты_для_статистики,_анализа_и_визуализации.pdf")</f>
        <v>R_Книга_рецептов_Проверенные_рецепты_для_статистики,_анализа_и_визуализации.pdf</v>
      </c>
      <c r="O303" s="5" t="s">
        <v>1244</v>
      </c>
    </row>
    <row r="304" spans="1:15" ht="165.6" x14ac:dyDescent="0.3">
      <c r="A304" s="2">
        <v>303</v>
      </c>
      <c r="B304" s="3" t="s">
        <v>1245</v>
      </c>
      <c r="C304" s="3" t="s">
        <v>1246</v>
      </c>
      <c r="D304" s="3" t="s">
        <v>27</v>
      </c>
      <c r="E304" s="3" t="s">
        <v>678</v>
      </c>
      <c r="F304" s="3" t="s">
        <v>1035</v>
      </c>
      <c r="G304" s="3" t="s">
        <v>926</v>
      </c>
      <c r="H304" s="3" t="s">
        <v>1036</v>
      </c>
      <c r="I304" s="3" t="s">
        <v>20</v>
      </c>
      <c r="J304" s="3">
        <v>41.1</v>
      </c>
      <c r="K304" s="3" t="s">
        <v>21</v>
      </c>
      <c r="L304" s="3" t="s">
        <v>1247</v>
      </c>
      <c r="M304" s="3" t="s">
        <v>1038</v>
      </c>
      <c r="N304" s="6" t="str">
        <f>HYPERLINK("C:\Users\alexa\YandexDisk\Книги\Анализ данных\Наука о данных\Springer.Data.Science.Concepts.and.Techniques.pdf","Springer.Data.Science.Concepts.and.Techniques.pdf")</f>
        <v>Springer.Data.Science.Concepts.and.Techniques.pdf</v>
      </c>
      <c r="O304" s="3" t="s">
        <v>1248</v>
      </c>
    </row>
    <row r="305" spans="1:15" ht="234.6" x14ac:dyDescent="0.3">
      <c r="A305" s="4">
        <v>304</v>
      </c>
      <c r="B305" s="5" t="s">
        <v>1249</v>
      </c>
      <c r="C305" s="5" t="s">
        <v>1250</v>
      </c>
      <c r="D305" s="5"/>
      <c r="E305" s="5" t="s">
        <v>678</v>
      </c>
      <c r="F305" s="5" t="s">
        <v>1035</v>
      </c>
      <c r="G305" s="5" t="s">
        <v>926</v>
      </c>
      <c r="H305" s="5" t="s">
        <v>1036</v>
      </c>
      <c r="I305" s="5" t="s">
        <v>20</v>
      </c>
      <c r="J305" s="5">
        <v>3.81</v>
      </c>
      <c r="K305" s="5" t="s">
        <v>21</v>
      </c>
      <c r="L305" s="5" t="s">
        <v>1251</v>
      </c>
      <c r="M305" s="5" t="s">
        <v>1038</v>
      </c>
      <c r="N305" s="7" t="str">
        <f>HYPERLINK("C:\Users\alexa\YandexDisk\Книги\Анализ данных\Наука о данных\Springer.Mathematical.Foundations.of.Data.Science.pdf","Springer.Mathematical.Foundations.of.Data.Science.pdf")</f>
        <v>Springer.Mathematical.Foundations.of.Data.Science.pdf</v>
      </c>
      <c r="O305" s="5" t="s">
        <v>1252</v>
      </c>
    </row>
    <row r="306" spans="1:15" ht="179.4" x14ac:dyDescent="0.3">
      <c r="A306" s="2">
        <v>305</v>
      </c>
      <c r="B306" s="3" t="s">
        <v>1253</v>
      </c>
      <c r="C306" s="3" t="s">
        <v>1254</v>
      </c>
      <c r="D306" s="3"/>
      <c r="E306" s="3"/>
      <c r="F306" s="3" t="s">
        <v>1035</v>
      </c>
      <c r="G306" s="3" t="s">
        <v>926</v>
      </c>
      <c r="H306" s="3" t="s">
        <v>1036</v>
      </c>
      <c r="I306" s="3" t="s">
        <v>20</v>
      </c>
      <c r="J306" s="3">
        <v>5.89</v>
      </c>
      <c r="K306" s="3" t="s">
        <v>21</v>
      </c>
      <c r="L306" s="3" t="s">
        <v>1255</v>
      </c>
      <c r="M306" s="3" t="s">
        <v>1038</v>
      </c>
      <c r="N306" s="6" t="str">
        <f>HYPERLINK("C:\Users\alexa\YandexDisk\Книги\Анализ данных\Наука о данных\The Discipline of Data.pdf","The Discipline of Data.pdf")</f>
        <v>The Discipline of Data.pdf</v>
      </c>
      <c r="O306" s="3" t="s">
        <v>1256</v>
      </c>
    </row>
    <row r="307" spans="1:15" ht="151.80000000000001" x14ac:dyDescent="0.3">
      <c r="A307" s="4">
        <v>306</v>
      </c>
      <c r="B307" s="5" t="s">
        <v>1257</v>
      </c>
      <c r="C307" s="5" t="s">
        <v>1258</v>
      </c>
      <c r="D307" s="5" t="s">
        <v>71</v>
      </c>
      <c r="E307" s="5" t="s">
        <v>205</v>
      </c>
      <c r="F307" s="5" t="s">
        <v>1035</v>
      </c>
      <c r="G307" s="5" t="s">
        <v>926</v>
      </c>
      <c r="H307" s="5" t="s">
        <v>1036</v>
      </c>
      <c r="I307" s="5" t="s">
        <v>20</v>
      </c>
      <c r="J307" s="5">
        <v>10.67</v>
      </c>
      <c r="K307" s="5" t="s">
        <v>21</v>
      </c>
      <c r="L307" s="5" t="s">
        <v>1259</v>
      </c>
      <c r="M307" s="5" t="s">
        <v>1038</v>
      </c>
      <c r="N307" s="7" t="str">
        <f>HYPERLINK("C:\Users\alexa\YandexDisk\Книги\Анализ данных\Наука о данных\The_Kaggle_Book_Data_analysis_and_machine_learning.pdf","The_Kaggle_Book_Data_analysis_and_machine_learning.pdf")</f>
        <v>The_Kaggle_Book_Data_analysis_and_machine_learning.pdf</v>
      </c>
      <c r="O307" s="5" t="s">
        <v>1260</v>
      </c>
    </row>
    <row r="308" spans="1:15" ht="179.4" x14ac:dyDescent="0.3">
      <c r="A308" s="2">
        <v>307</v>
      </c>
      <c r="B308" s="3" t="s">
        <v>1261</v>
      </c>
      <c r="C308" s="3" t="s">
        <v>1262</v>
      </c>
      <c r="D308" s="3"/>
      <c r="E308" s="3" t="s">
        <v>557</v>
      </c>
      <c r="F308" s="3" t="s">
        <v>1035</v>
      </c>
      <c r="G308" s="3" t="s">
        <v>926</v>
      </c>
      <c r="H308" s="3" t="s">
        <v>1036</v>
      </c>
      <c r="I308" s="3" t="s">
        <v>20</v>
      </c>
      <c r="J308" s="3">
        <v>21.31</v>
      </c>
      <c r="K308" s="3" t="s">
        <v>21</v>
      </c>
      <c r="L308" s="3" t="s">
        <v>1263</v>
      </c>
      <c r="M308" s="3" t="s">
        <v>1038</v>
      </c>
      <c r="N308" s="6" t="str">
        <f>HYPERLINK("C:\Users\alexa\YandexDisk\Книги\Анализ данных\Наука о данных\Time Series Forecasting in Python.pdf","Time Series Forecasting in Python.pdf")</f>
        <v>Time Series Forecasting in Python.pdf</v>
      </c>
      <c r="O308" s="3" t="s">
        <v>1264</v>
      </c>
    </row>
    <row r="309" spans="1:15" ht="207" x14ac:dyDescent="0.3">
      <c r="A309" s="4">
        <v>308</v>
      </c>
      <c r="B309" s="5" t="s">
        <v>1265</v>
      </c>
      <c r="C309" s="5" t="s">
        <v>1266</v>
      </c>
      <c r="D309" s="5" t="s">
        <v>27</v>
      </c>
      <c r="E309" s="5" t="s">
        <v>1267</v>
      </c>
      <c r="F309" s="5" t="s">
        <v>1035</v>
      </c>
      <c r="G309" s="5" t="s">
        <v>926</v>
      </c>
      <c r="H309" s="5" t="s">
        <v>1036</v>
      </c>
      <c r="I309" s="5" t="s">
        <v>20</v>
      </c>
      <c r="J309" s="5">
        <v>29.59</v>
      </c>
      <c r="K309" s="5" t="s">
        <v>21</v>
      </c>
      <c r="L309" s="5" t="s">
        <v>1268</v>
      </c>
      <c r="M309" s="5" t="s">
        <v>1038</v>
      </c>
      <c r="N309" s="7" t="str">
        <f>HYPERLINK("C:\Users\alexa\YandexDisk\Книги\Анализ данных\Наука о данных\Visualization Techniques for Climate Change with ML and AI.pdf","Visualization Techniques for Climate Change with ML and AI.pdf")</f>
        <v>Visualization Techniques for Climate Change with ML and AI.pdf</v>
      </c>
      <c r="O309" s="5" t="s">
        <v>1269</v>
      </c>
    </row>
    <row r="310" spans="1:15" ht="151.80000000000001" x14ac:dyDescent="0.3">
      <c r="A310" s="2">
        <v>309</v>
      </c>
      <c r="B310" s="3" t="s">
        <v>1270</v>
      </c>
      <c r="C310" s="3" t="s">
        <v>1271</v>
      </c>
      <c r="D310" s="3" t="s">
        <v>59</v>
      </c>
      <c r="E310" s="3" t="s">
        <v>1272</v>
      </c>
      <c r="F310" s="3" t="s">
        <v>1035</v>
      </c>
      <c r="G310" s="3" t="s">
        <v>926</v>
      </c>
      <c r="H310" s="3" t="s">
        <v>1036</v>
      </c>
      <c r="I310" s="3" t="s">
        <v>20</v>
      </c>
      <c r="J310" s="3">
        <v>2.4700000000000002</v>
      </c>
      <c r="K310" s="3" t="s">
        <v>21</v>
      </c>
      <c r="L310" s="3" t="s">
        <v>1273</v>
      </c>
      <c r="M310" s="3" t="s">
        <v>1038</v>
      </c>
      <c r="N310" s="6" t="str">
        <f>HYPERLINK("C:\Users\alexa\YandexDisk\Книги\Анализ данных\Наука о данных\WEB-АНАЛИТИКА НА PYTHON.pdf","WEB-АНАЛИТИКА НА PYTHON.pdf")</f>
        <v>WEB-АНАЛИТИКА НА PYTHON.pdf</v>
      </c>
      <c r="O310" s="3" t="s">
        <v>1274</v>
      </c>
    </row>
    <row r="311" spans="1:15" ht="165.6" x14ac:dyDescent="0.3">
      <c r="A311" s="4">
        <v>310</v>
      </c>
      <c r="B311" s="5" t="s">
        <v>1275</v>
      </c>
      <c r="C311" s="5" t="s">
        <v>1276</v>
      </c>
      <c r="D311" s="5" t="s">
        <v>17</v>
      </c>
      <c r="E311" s="5"/>
      <c r="F311" s="5" t="s">
        <v>1035</v>
      </c>
      <c r="G311" s="5" t="s">
        <v>926</v>
      </c>
      <c r="H311" s="5" t="s">
        <v>1036</v>
      </c>
      <c r="I311" s="5" t="s">
        <v>20</v>
      </c>
      <c r="J311" s="5">
        <v>3.54</v>
      </c>
      <c r="K311" s="5" t="s">
        <v>21</v>
      </c>
      <c r="L311" s="5" t="s">
        <v>1277</v>
      </c>
      <c r="M311" s="5" t="s">
        <v>1038</v>
      </c>
      <c r="N311" s="7" t="str">
        <f>HYPERLINK("C:\Users\alexa\YandexDisk\Книги\Анализ данных\Наука о данных\_! Руководство по подготовке к DS.pdf","_! Руководство по подготовке к DS.pdf")</f>
        <v>_! Руководство по подготовке к DS.pdf</v>
      </c>
      <c r="O311" s="5" t="s">
        <v>1278</v>
      </c>
    </row>
    <row r="312" spans="1:15" ht="179.4" x14ac:dyDescent="0.3">
      <c r="A312" s="2">
        <v>311</v>
      </c>
      <c r="B312" s="3" t="s">
        <v>1279</v>
      </c>
      <c r="C312" s="3" t="s">
        <v>1280</v>
      </c>
      <c r="D312" s="3" t="s">
        <v>27</v>
      </c>
      <c r="E312" s="3" t="s">
        <v>102</v>
      </c>
      <c r="F312" s="3" t="s">
        <v>1035</v>
      </c>
      <c r="G312" s="3" t="s">
        <v>926</v>
      </c>
      <c r="H312" s="3" t="s">
        <v>1036</v>
      </c>
      <c r="I312" s="3" t="s">
        <v>20</v>
      </c>
      <c r="J312" s="3">
        <v>80.88</v>
      </c>
      <c r="K312" s="3" t="s">
        <v>21</v>
      </c>
      <c r="L312" s="3" t="s">
        <v>1281</v>
      </c>
      <c r="M312" s="3" t="s">
        <v>1038</v>
      </c>
      <c r="N312" s="6" t="str">
        <f>HYPERLINK("C:\Users\alexa\YandexDisk\Книги\Анализ данных\Наука о данных\А_Груздев_Предварительная_подготовка_данных_в_Python,_1_том.pdf","А_Груздев_Предварительная_подготовка_данных_в_Python,_1_том.pdf")</f>
        <v>А_Груздев_Предварительная_подготовка_данных_в_Python,_1_том.pdf</v>
      </c>
      <c r="O312" s="3" t="s">
        <v>1282</v>
      </c>
    </row>
    <row r="313" spans="1:15" ht="207" x14ac:dyDescent="0.3">
      <c r="A313" s="4">
        <v>312</v>
      </c>
      <c r="B313" s="5" t="s">
        <v>1283</v>
      </c>
      <c r="C313" s="5" t="s">
        <v>1284</v>
      </c>
      <c r="D313" s="5" t="s">
        <v>32</v>
      </c>
      <c r="E313" s="5" t="s">
        <v>18</v>
      </c>
      <c r="F313" s="5" t="s">
        <v>1035</v>
      </c>
      <c r="G313" s="5" t="s">
        <v>926</v>
      </c>
      <c r="H313" s="5" t="s">
        <v>1036</v>
      </c>
      <c r="I313" s="5" t="s">
        <v>20</v>
      </c>
      <c r="J313" s="5">
        <v>10.47</v>
      </c>
      <c r="K313" s="5" t="s">
        <v>21</v>
      </c>
      <c r="L313" s="5" t="s">
        <v>1285</v>
      </c>
      <c r="M313" s="5" t="s">
        <v>1038</v>
      </c>
      <c r="N313" s="7" t="str">
        <f>HYPERLINK("C:\Users\alexa\YandexDisk\Книги\Анализ данных\Наука о данных\А_С_Петроченков_Введение_в_Google аналитику.pdf","А_С_Петроченков_Введение_в_Google аналитику.pdf")</f>
        <v>А_С_Петроченков_Введение_в_Google аналитику.pdf</v>
      </c>
      <c r="O313" s="5" t="s">
        <v>1286</v>
      </c>
    </row>
    <row r="314" spans="1:15" ht="165.6" x14ac:dyDescent="0.3">
      <c r="A314" s="2">
        <v>313</v>
      </c>
      <c r="B314" s="3" t="s">
        <v>1287</v>
      </c>
      <c r="C314" s="3" t="s">
        <v>1288</v>
      </c>
      <c r="D314" s="3"/>
      <c r="E314" s="3"/>
      <c r="F314" s="3" t="s">
        <v>1035</v>
      </c>
      <c r="G314" s="3" t="s">
        <v>926</v>
      </c>
      <c r="H314" s="3" t="s">
        <v>1036</v>
      </c>
      <c r="I314" s="3" t="s">
        <v>20</v>
      </c>
      <c r="J314" s="3">
        <v>38.83</v>
      </c>
      <c r="K314" s="3" t="s">
        <v>21</v>
      </c>
      <c r="L314" s="3" t="s">
        <v>1289</v>
      </c>
      <c r="M314" s="3" t="s">
        <v>1038</v>
      </c>
      <c r="N314" s="6" t="str">
        <f>HYPERLINK("C:\Users\alexa\YandexDisk\Книги\Анализ данных\Наука о данных\Алгоритмы Data Science и их реализация на Python.pdf","Алгоритмы Data Science и их реализация на Python.pdf")</f>
        <v>Алгоритмы Data Science и их реализация на Python.pdf</v>
      </c>
      <c r="O314" s="3" t="s">
        <v>1290</v>
      </c>
    </row>
    <row r="315" spans="1:15" ht="165.6" x14ac:dyDescent="0.3">
      <c r="A315" s="4">
        <v>314</v>
      </c>
      <c r="B315" s="5" t="s">
        <v>1287</v>
      </c>
      <c r="C315" s="5" t="s">
        <v>1288</v>
      </c>
      <c r="D315" s="5" t="s">
        <v>71</v>
      </c>
      <c r="E315" s="5" t="s">
        <v>1291</v>
      </c>
      <c r="F315" s="5" t="s">
        <v>1035</v>
      </c>
      <c r="G315" s="5" t="s">
        <v>926</v>
      </c>
      <c r="H315" s="5" t="s">
        <v>1036</v>
      </c>
      <c r="I315" s="5" t="s">
        <v>20</v>
      </c>
      <c r="J315" s="5">
        <v>38.6</v>
      </c>
      <c r="K315" s="5" t="s">
        <v>21</v>
      </c>
      <c r="L315" s="5" t="s">
        <v>1292</v>
      </c>
      <c r="M315" s="5" t="s">
        <v>1038</v>
      </c>
      <c r="N315" s="7" t="str">
        <f>HYPERLINK("C:\Users\alexa\YandexDisk\Книги\Анализ данных\Наука о данных\Алгоритмы_Data_Science_и_их_практическая_реализация_на_Python_2022.pdf","Алгоритмы_Data_Science_и_их_практическая_реализация_на_Python_2022.pdf")</f>
        <v>Алгоритмы_Data_Science_и_их_практическая_реализация_на_Python_2022.pdf</v>
      </c>
      <c r="O315" s="5" t="s">
        <v>1293</v>
      </c>
    </row>
    <row r="316" spans="1:15" ht="151.80000000000001" x14ac:dyDescent="0.3">
      <c r="A316" s="2">
        <v>315</v>
      </c>
      <c r="B316" s="3" t="s">
        <v>1294</v>
      </c>
      <c r="C316" s="3" t="s">
        <v>1295</v>
      </c>
      <c r="D316" s="3" t="s">
        <v>59</v>
      </c>
      <c r="E316" s="3" t="s">
        <v>102</v>
      </c>
      <c r="F316" s="3" t="s">
        <v>1035</v>
      </c>
      <c r="G316" s="3" t="s">
        <v>926</v>
      </c>
      <c r="H316" s="3" t="s">
        <v>1036</v>
      </c>
      <c r="I316" s="3" t="s">
        <v>20</v>
      </c>
      <c r="J316" s="3">
        <v>22.9</v>
      </c>
      <c r="K316" s="3" t="s">
        <v>21</v>
      </c>
      <c r="L316" s="3" t="s">
        <v>1296</v>
      </c>
      <c r="M316" s="3" t="s">
        <v>1038</v>
      </c>
      <c r="N316" s="6" t="str">
        <f>HYPERLINK("C:\Users\alexa\YandexDisk\Книги\Анализ данных\Наука о данных\Анализ данных Exxcel Pivot.pdf","Анализ данных Exxcel Pivot.pdf")</f>
        <v>Анализ данных Exxcel Pivot.pdf</v>
      </c>
      <c r="O316" s="3" t="s">
        <v>1297</v>
      </c>
    </row>
    <row r="317" spans="1:15" ht="151.80000000000001" x14ac:dyDescent="0.3">
      <c r="A317" s="4">
        <v>316</v>
      </c>
      <c r="B317" s="5" t="s">
        <v>1298</v>
      </c>
      <c r="C317" s="5" t="s">
        <v>1299</v>
      </c>
      <c r="D317" s="5" t="s">
        <v>17</v>
      </c>
      <c r="E317" s="5" t="s">
        <v>102</v>
      </c>
      <c r="F317" s="5" t="s">
        <v>1035</v>
      </c>
      <c r="G317" s="5" t="s">
        <v>926</v>
      </c>
      <c r="H317" s="5" t="s">
        <v>1036</v>
      </c>
      <c r="I317" s="5" t="s">
        <v>20</v>
      </c>
      <c r="J317" s="5">
        <v>28.41</v>
      </c>
      <c r="K317" s="5" t="s">
        <v>21</v>
      </c>
      <c r="L317" s="5" t="s">
        <v>1300</v>
      </c>
      <c r="M317" s="5" t="s">
        <v>1038</v>
      </c>
      <c r="N317" s="7" t="str">
        <f>HYPERLINK("C:\Users\alexa\YandexDisk\Книги\Анализ данных\Наука о данных\Анализ данных_.pdf","Анализ данных_.pdf")</f>
        <v>Анализ данных_.pdf</v>
      </c>
      <c r="O317" s="5" t="s">
        <v>1301</v>
      </c>
    </row>
    <row r="318" spans="1:15" ht="138" x14ac:dyDescent="0.3">
      <c r="A318" s="2">
        <v>317</v>
      </c>
      <c r="B318" s="3" t="s">
        <v>1302</v>
      </c>
      <c r="C318" s="3" t="s">
        <v>1303</v>
      </c>
      <c r="D318" s="3" t="s">
        <v>71</v>
      </c>
      <c r="E318" s="3" t="s">
        <v>102</v>
      </c>
      <c r="F318" s="3" t="s">
        <v>1035</v>
      </c>
      <c r="G318" s="3" t="s">
        <v>926</v>
      </c>
      <c r="H318" s="3" t="s">
        <v>1036</v>
      </c>
      <c r="I318" s="3" t="s">
        <v>20</v>
      </c>
      <c r="J318" s="3">
        <v>14.72</v>
      </c>
      <c r="K318" s="3" t="s">
        <v>21</v>
      </c>
      <c r="L318" s="3" t="s">
        <v>1304</v>
      </c>
      <c r="M318" s="3" t="s">
        <v>1038</v>
      </c>
      <c r="N318" s="6" t="str">
        <f>HYPERLINK("C:\Users\alexa\YandexDisk\Книги\Анализ данных\Наука о данных\Анализ поведенческих данных.pdf","Анализ поведенческих данных.pdf")</f>
        <v>Анализ поведенческих данных.pdf</v>
      </c>
      <c r="O318" s="3" t="s">
        <v>1305</v>
      </c>
    </row>
    <row r="319" spans="1:15" ht="165.6" x14ac:dyDescent="0.3">
      <c r="A319" s="4">
        <v>318</v>
      </c>
      <c r="B319" s="5" t="s">
        <v>1306</v>
      </c>
      <c r="C319" s="5"/>
      <c r="D319" s="5"/>
      <c r="E319" s="5"/>
      <c r="F319" s="5" t="s">
        <v>1035</v>
      </c>
      <c r="G319" s="5" t="s">
        <v>926</v>
      </c>
      <c r="H319" s="5" t="s">
        <v>1036</v>
      </c>
      <c r="I319" s="5" t="s">
        <v>20</v>
      </c>
      <c r="J319" s="5">
        <v>57.33</v>
      </c>
      <c r="K319" s="5" t="s">
        <v>21</v>
      </c>
      <c r="L319" s="5" t="s">
        <v>1307</v>
      </c>
      <c r="M319" s="5" t="s">
        <v>1038</v>
      </c>
      <c r="N319" s="7" t="str">
        <f>HYPERLINK("C:\Users\alexa\YandexDisk\Книги\Анализ данных\Наука о данных\Анализ социальных медиа на Python.pdf","Анализ социальных медиа на Python.pdf")</f>
        <v>Анализ социальных медиа на Python.pdf</v>
      </c>
      <c r="O319" s="5" t="s">
        <v>1308</v>
      </c>
    </row>
    <row r="320" spans="1:15" ht="165.6" x14ac:dyDescent="0.3">
      <c r="A320" s="2">
        <v>319</v>
      </c>
      <c r="B320" s="3" t="s">
        <v>1309</v>
      </c>
      <c r="C320" s="3" t="s">
        <v>1310</v>
      </c>
      <c r="D320" s="3" t="s">
        <v>59</v>
      </c>
      <c r="E320" s="3" t="s">
        <v>102</v>
      </c>
      <c r="F320" s="3" t="s">
        <v>1035</v>
      </c>
      <c r="G320" s="3" t="s">
        <v>926</v>
      </c>
      <c r="H320" s="3" t="s">
        <v>1036</v>
      </c>
      <c r="I320" s="3" t="s">
        <v>20</v>
      </c>
      <c r="J320" s="3">
        <v>18.440000000000001</v>
      </c>
      <c r="K320" s="3" t="s">
        <v>21</v>
      </c>
      <c r="L320" s="3" t="s">
        <v>1311</v>
      </c>
      <c r="M320" s="3" t="s">
        <v>1038</v>
      </c>
      <c r="N320" s="6" t="str">
        <f>HYPERLINK("C:\Users\alexa\YandexDisk\Книги\Анализ данных\Наука о данных\Байесовский_анализ_на_Python_2020_Освальдо_Мартин.pdf","Байесовский_анализ_на_Python_2020_Освальдо_Мартин.pdf")</f>
        <v>Байесовский_анализ_на_Python_2020_Освальдо_Мартин.pdf</v>
      </c>
      <c r="O320" s="3" t="s">
        <v>1312</v>
      </c>
    </row>
    <row r="321" spans="1:15" ht="151.80000000000001" x14ac:dyDescent="0.3">
      <c r="A321" s="4">
        <v>320</v>
      </c>
      <c r="B321" s="5" t="s">
        <v>1313</v>
      </c>
      <c r="C321" s="5" t="s">
        <v>1314</v>
      </c>
      <c r="D321" s="5" t="s">
        <v>600</v>
      </c>
      <c r="E321" s="5" t="s">
        <v>102</v>
      </c>
      <c r="F321" s="5" t="s">
        <v>1035</v>
      </c>
      <c r="G321" s="5" t="s">
        <v>926</v>
      </c>
      <c r="H321" s="5" t="s">
        <v>1036</v>
      </c>
      <c r="I321" s="5" t="s">
        <v>20</v>
      </c>
      <c r="J321" s="5">
        <v>53.38</v>
      </c>
      <c r="K321" s="5" t="s">
        <v>21</v>
      </c>
      <c r="L321" s="5" t="s">
        <v>1315</v>
      </c>
      <c r="M321" s="5" t="s">
        <v>1038</v>
      </c>
      <c r="N321" s="7" t="str">
        <f>HYPERLINK("C:\Users\alexa\YandexDisk\Книги\Анализ данных\Наука о данных\Большая книга дашбордов.pdf","Большая книга дашбордов.pdf")</f>
        <v>Большая книга дашбордов.pdf</v>
      </c>
      <c r="O321" s="5" t="s">
        <v>1316</v>
      </c>
    </row>
    <row r="322" spans="1:15" ht="151.80000000000001" x14ac:dyDescent="0.3">
      <c r="A322" s="2">
        <v>321</v>
      </c>
      <c r="B322" s="3" t="s">
        <v>1317</v>
      </c>
      <c r="C322" s="3" t="s">
        <v>1318</v>
      </c>
      <c r="D322" s="3" t="s">
        <v>1022</v>
      </c>
      <c r="E322" s="3"/>
      <c r="F322" s="3" t="s">
        <v>1035</v>
      </c>
      <c r="G322" s="3" t="s">
        <v>926</v>
      </c>
      <c r="H322" s="3" t="s">
        <v>1036</v>
      </c>
      <c r="I322" s="3" t="s">
        <v>20</v>
      </c>
      <c r="J322" s="3">
        <v>21.77</v>
      </c>
      <c r="K322" s="3" t="s">
        <v>21</v>
      </c>
      <c r="L322" s="3" t="s">
        <v>1319</v>
      </c>
      <c r="M322" s="3" t="s">
        <v>1038</v>
      </c>
      <c r="N322" s="6" t="str">
        <f>HYPERLINK("C:\Users\alexa\YandexDisk\Книги\Анализ данных\Наука о данных\Грас Наука о данных с нуля (Python) - превод издания 2015.pdf","Грас Наука о данных с нуля (Python) - превод издания 2015.pdf")</f>
        <v>Грас Наука о данных с нуля (Python) - превод издания 2015.pdf</v>
      </c>
      <c r="O322" s="3" t="s">
        <v>1320</v>
      </c>
    </row>
    <row r="323" spans="1:15" ht="151.80000000000001" x14ac:dyDescent="0.3">
      <c r="A323" s="4">
        <v>322</v>
      </c>
      <c r="B323" s="5" t="s">
        <v>1321</v>
      </c>
      <c r="C323" s="5" t="s">
        <v>1322</v>
      </c>
      <c r="D323" s="5" t="s">
        <v>59</v>
      </c>
      <c r="E323" s="5" t="s">
        <v>303</v>
      </c>
      <c r="F323" s="5" t="s">
        <v>1035</v>
      </c>
      <c r="G323" s="5" t="s">
        <v>926</v>
      </c>
      <c r="H323" s="5" t="s">
        <v>1036</v>
      </c>
      <c r="I323" s="5" t="s">
        <v>20</v>
      </c>
      <c r="J323" s="5">
        <v>8.18</v>
      </c>
      <c r="K323" s="5" t="s">
        <v>21</v>
      </c>
      <c r="L323" s="5" t="s">
        <v>1323</v>
      </c>
      <c r="M323" s="5" t="s">
        <v>1038</v>
      </c>
      <c r="N323" s="7" t="str">
        <f>HYPERLINK("C:\Users\alexa\YandexDisk\Книги\Анализ данных\Наука о данных\Данные визуализируй расскажи.pdf","Данные визуализируй расскажи.pdf")</f>
        <v>Данные визуализируй расскажи.pdf</v>
      </c>
      <c r="O323" s="5" t="s">
        <v>1324</v>
      </c>
    </row>
    <row r="324" spans="1:15" ht="179.4" x14ac:dyDescent="0.3">
      <c r="A324" s="2">
        <v>323</v>
      </c>
      <c r="B324" s="3" t="s">
        <v>1325</v>
      </c>
      <c r="C324" s="3" t="s">
        <v>1326</v>
      </c>
      <c r="D324" s="3"/>
      <c r="E324" s="3"/>
      <c r="F324" s="3" t="s">
        <v>1035</v>
      </c>
      <c r="G324" s="3" t="s">
        <v>926</v>
      </c>
      <c r="H324" s="3" t="s">
        <v>1036</v>
      </c>
      <c r="I324" s="3" t="s">
        <v>280</v>
      </c>
      <c r="J324" s="3">
        <v>3.43</v>
      </c>
      <c r="K324" s="3" t="s">
        <v>21</v>
      </c>
      <c r="L324" s="3" t="s">
        <v>1327</v>
      </c>
      <c r="M324" s="3" t="s">
        <v>1038</v>
      </c>
      <c r="N324" s="6" t="str">
        <f>HYPERLINK("C:\Users\alexa\YandexDisk\Книги\Анализ данных\Наука о данных\Джон_Келлехер_Наука_о_данных_Базовый_курс.epub","Джон_Келлехер_Наука_о_данных_Базовый_курс.epub")</f>
        <v>Джон_Келлехер_Наука_о_данных_Базовый_курс.epub</v>
      </c>
      <c r="O324" s="3" t="s">
        <v>1328</v>
      </c>
    </row>
    <row r="325" spans="1:15" ht="179.4" x14ac:dyDescent="0.3">
      <c r="A325" s="4">
        <v>324</v>
      </c>
      <c r="B325" s="5" t="s">
        <v>1329</v>
      </c>
      <c r="C325" s="5" t="s">
        <v>1330</v>
      </c>
      <c r="D325" s="5" t="s">
        <v>335</v>
      </c>
      <c r="E325" s="5" t="s">
        <v>515</v>
      </c>
      <c r="F325" s="5" t="s">
        <v>1035</v>
      </c>
      <c r="G325" s="5" t="s">
        <v>926</v>
      </c>
      <c r="H325" s="5" t="s">
        <v>1036</v>
      </c>
      <c r="I325" s="5" t="s">
        <v>20</v>
      </c>
      <c r="J325" s="5">
        <v>61.61</v>
      </c>
      <c r="K325" s="5" t="s">
        <v>21</v>
      </c>
      <c r="L325" s="5" t="s">
        <v>1331</v>
      </c>
      <c r="M325" s="5" t="s">
        <v>1038</v>
      </c>
      <c r="N325" s="7" t="str">
        <f>HYPERLINK("C:\Users\alexa\YandexDisk\Книги\Анализ данных\Наука о данных\Изучаем Data Science.pdf","Изучаем Data Science.pdf")</f>
        <v>Изучаем Data Science.pdf</v>
      </c>
      <c r="O325" s="5" t="s">
        <v>1332</v>
      </c>
    </row>
    <row r="326" spans="1:15" ht="151.80000000000001" x14ac:dyDescent="0.3">
      <c r="A326" s="2">
        <v>325</v>
      </c>
      <c r="B326" s="3" t="s">
        <v>1333</v>
      </c>
      <c r="C326" s="3"/>
      <c r="D326" s="3" t="s">
        <v>77</v>
      </c>
      <c r="E326" s="3"/>
      <c r="F326" s="3" t="s">
        <v>1035</v>
      </c>
      <c r="G326" s="3" t="s">
        <v>926</v>
      </c>
      <c r="H326" s="3" t="s">
        <v>1036</v>
      </c>
      <c r="I326" s="3" t="s">
        <v>20</v>
      </c>
      <c r="J326" s="3">
        <v>20.59</v>
      </c>
      <c r="K326" s="3" t="s">
        <v>21</v>
      </c>
      <c r="L326" s="3" t="s">
        <v>1334</v>
      </c>
      <c r="M326" s="3" t="s">
        <v>1038</v>
      </c>
      <c r="N326" s="6" t="str">
        <f>HYPERLINK("C:\Users\alexa\YandexDisk\Книги\Анализ данных\Наука о данных\Изучаем Pandas 2019.pdf","Изучаем Pandas 2019.pdf")</f>
        <v>Изучаем Pandas 2019.pdf</v>
      </c>
      <c r="O326" s="3" t="s">
        <v>1335</v>
      </c>
    </row>
    <row r="327" spans="1:15" ht="151.80000000000001" x14ac:dyDescent="0.3">
      <c r="A327" s="4">
        <v>326</v>
      </c>
      <c r="B327" s="5" t="s">
        <v>1336</v>
      </c>
      <c r="C327" s="5"/>
      <c r="D327" s="5" t="s">
        <v>335</v>
      </c>
      <c r="E327" s="5" t="s">
        <v>102</v>
      </c>
      <c r="F327" s="5" t="s">
        <v>1035</v>
      </c>
      <c r="G327" s="5" t="s">
        <v>926</v>
      </c>
      <c r="H327" s="5" t="s">
        <v>1036</v>
      </c>
      <c r="I327" s="5" t="s">
        <v>20</v>
      </c>
      <c r="J327" s="5">
        <v>30.27</v>
      </c>
      <c r="K327" s="5" t="s">
        <v>21</v>
      </c>
      <c r="L327" s="5" t="s">
        <v>1337</v>
      </c>
      <c r="M327" s="5" t="s">
        <v>1038</v>
      </c>
      <c r="N327" s="7" t="str">
        <f>HYPERLINK("C:\Users\alexa\YandexDisk\Книги\Анализ данных\Наука о данных\Инженерия данных в Python.pdf","Инженерия данных в Python.pdf")</f>
        <v>Инженерия данных в Python.pdf</v>
      </c>
      <c r="O327" s="5" t="s">
        <v>1338</v>
      </c>
    </row>
    <row r="328" spans="1:15" ht="165.6" x14ac:dyDescent="0.3">
      <c r="A328" s="2">
        <v>327</v>
      </c>
      <c r="B328" s="3" t="s">
        <v>1339</v>
      </c>
      <c r="C328" s="3" t="s">
        <v>1340</v>
      </c>
      <c r="D328" s="3" t="s">
        <v>17</v>
      </c>
      <c r="E328" s="3" t="s">
        <v>1341</v>
      </c>
      <c r="F328" s="3" t="s">
        <v>1035</v>
      </c>
      <c r="G328" s="3" t="s">
        <v>926</v>
      </c>
      <c r="H328" s="3" t="s">
        <v>1036</v>
      </c>
      <c r="I328" s="3" t="s">
        <v>20</v>
      </c>
      <c r="J328" s="3">
        <v>7.66</v>
      </c>
      <c r="K328" s="3" t="s">
        <v>21</v>
      </c>
      <c r="L328" s="3" t="s">
        <v>1342</v>
      </c>
      <c r="M328" s="3" t="s">
        <v>1038</v>
      </c>
      <c r="N328" s="6" t="str">
        <f>HYPERLINK("C:\Users\alexa\YandexDisk\Книги\Анализ данных\Наука о данных\Интеллектуальный анализ данных на языке Python.pdf","Интеллектуальный анализ данных на языке Python.pdf")</f>
        <v>Интеллектуальный анализ данных на языке Python.pdf</v>
      </c>
      <c r="O328" s="3" t="s">
        <v>1343</v>
      </c>
    </row>
    <row r="329" spans="1:15" ht="193.2" x14ac:dyDescent="0.3">
      <c r="A329" s="4">
        <v>328</v>
      </c>
      <c r="B329" s="5" t="s">
        <v>1344</v>
      </c>
      <c r="C329" s="5" t="s">
        <v>1345</v>
      </c>
      <c r="D329" s="5" t="s">
        <v>17</v>
      </c>
      <c r="E329" s="5" t="s">
        <v>1346</v>
      </c>
      <c r="F329" s="5" t="s">
        <v>1035</v>
      </c>
      <c r="G329" s="5" t="s">
        <v>926</v>
      </c>
      <c r="H329" s="5" t="s">
        <v>1036</v>
      </c>
      <c r="I329" s="5" t="s">
        <v>20</v>
      </c>
      <c r="J329" s="5">
        <v>2.31</v>
      </c>
      <c r="K329" s="5" t="s">
        <v>21</v>
      </c>
      <c r="L329" s="5" t="s">
        <v>1347</v>
      </c>
      <c r="M329" s="5" t="s">
        <v>1038</v>
      </c>
      <c r="N329" s="7" t="str">
        <f>HYPERLINK("C:\Users\alexa\YandexDisk\Книги\Анализ данных\Наука о данных\Как вытащить из данных максимум.pdf","Как вытащить из данных максимум.pdf")</f>
        <v>Как вытащить из данных максимум.pdf</v>
      </c>
      <c r="O329" s="5" t="s">
        <v>1348</v>
      </c>
    </row>
    <row r="330" spans="1:15" ht="207" x14ac:dyDescent="0.3">
      <c r="A330" s="2">
        <v>329</v>
      </c>
      <c r="B330" s="3" t="s">
        <v>1036</v>
      </c>
      <c r="C330" s="3" t="s">
        <v>1349</v>
      </c>
      <c r="D330" s="3"/>
      <c r="E330" s="3"/>
      <c r="F330" s="3" t="s">
        <v>1035</v>
      </c>
      <c r="G330" s="3" t="s">
        <v>926</v>
      </c>
      <c r="H330" s="3" t="s">
        <v>1036</v>
      </c>
      <c r="I330" s="3" t="s">
        <v>20</v>
      </c>
      <c r="J330" s="3">
        <v>6.38</v>
      </c>
      <c r="K330" s="3" t="s">
        <v>21</v>
      </c>
      <c r="L330" s="3" t="s">
        <v>1350</v>
      </c>
      <c r="M330" s="3" t="s">
        <v>1038</v>
      </c>
      <c r="N330" s="6" t="str">
        <f>HYPERLINK("C:\Users\alexa\YandexDisk\Книги\Анализ данных\Наука о данных\Келлехер_Тирни-Наука о данных.pdf","Келлехер_Тирни-Наука о данных.pdf")</f>
        <v>Келлехер_Тирни-Наука о данных.pdf</v>
      </c>
      <c r="O330" s="3" t="s">
        <v>1351</v>
      </c>
    </row>
    <row r="331" spans="1:15" ht="165.6" x14ac:dyDescent="0.3">
      <c r="A331" s="4">
        <v>330</v>
      </c>
      <c r="B331" s="5" t="s">
        <v>1352</v>
      </c>
      <c r="C331" s="5" t="s">
        <v>677</v>
      </c>
      <c r="D331" s="5" t="s">
        <v>50</v>
      </c>
      <c r="E331" s="5" t="s">
        <v>678</v>
      </c>
      <c r="F331" s="5" t="s">
        <v>1035</v>
      </c>
      <c r="G331" s="5" t="s">
        <v>926</v>
      </c>
      <c r="H331" s="5" t="s">
        <v>1036</v>
      </c>
      <c r="I331" s="5" t="s">
        <v>20</v>
      </c>
      <c r="J331" s="5">
        <v>67.400000000000006</v>
      </c>
      <c r="K331" s="5" t="s">
        <v>21</v>
      </c>
      <c r="L331" s="5" t="s">
        <v>1353</v>
      </c>
      <c r="M331" s="5" t="s">
        <v>1038</v>
      </c>
      <c r="N331" s="7" t="str">
        <f>HYPERLINK("C:\Users\alexa\YandexDisk\Книги\Анализ данных\Наука о данных\Наука о данных учебный курс.pdf","Наука о данных учебный курс.pdf")</f>
        <v>Наука о данных учебный курс.pdf</v>
      </c>
      <c r="O331" s="5" t="s">
        <v>1354</v>
      </c>
    </row>
    <row r="332" spans="1:15" ht="165.6" x14ac:dyDescent="0.3">
      <c r="A332" s="2">
        <v>331</v>
      </c>
      <c r="B332" s="3" t="s">
        <v>1119</v>
      </c>
      <c r="C332" s="3" t="s">
        <v>1355</v>
      </c>
      <c r="D332" s="3" t="s">
        <v>77</v>
      </c>
      <c r="E332" s="3" t="s">
        <v>18</v>
      </c>
      <c r="F332" s="3" t="s">
        <v>1035</v>
      </c>
      <c r="G332" s="3" t="s">
        <v>926</v>
      </c>
      <c r="H332" s="3" t="s">
        <v>1036</v>
      </c>
      <c r="I332" s="3" t="s">
        <v>20</v>
      </c>
      <c r="J332" s="3">
        <v>9.7899999999999991</v>
      </c>
      <c r="K332" s="3" t="s">
        <v>21</v>
      </c>
      <c r="L332" s="3" t="s">
        <v>1356</v>
      </c>
      <c r="M332" s="3" t="s">
        <v>1038</v>
      </c>
      <c r="N332" s="6" t="str">
        <f>HYPERLINK("C:\Users\alexa\YandexDisk\Книги\Анализ данных\Наука о данных\О НИЛ Data Science Инсайдерская информация для новичков.pdf","О НИЛ Data Science Инсайдерская информация для новичков.pdf")</f>
        <v>О НИЛ Data Science Инсайдерская информация для новичков.pdf</v>
      </c>
      <c r="O332" s="3" t="s">
        <v>1357</v>
      </c>
    </row>
    <row r="333" spans="1:15" ht="179.4" x14ac:dyDescent="0.3">
      <c r="A333" s="4">
        <v>332</v>
      </c>
      <c r="B333" s="5" t="s">
        <v>1045</v>
      </c>
      <c r="C333" s="5" t="s">
        <v>1358</v>
      </c>
      <c r="D333" s="5" t="s">
        <v>27</v>
      </c>
      <c r="E333" s="5" t="s">
        <v>402</v>
      </c>
      <c r="F333" s="5" t="s">
        <v>1035</v>
      </c>
      <c r="G333" s="5" t="s">
        <v>926</v>
      </c>
      <c r="H333" s="5" t="s">
        <v>1036</v>
      </c>
      <c r="I333" s="5" t="s">
        <v>20</v>
      </c>
      <c r="J333" s="5">
        <v>9.17</v>
      </c>
      <c r="K333" s="5" t="s">
        <v>21</v>
      </c>
      <c r="L333" s="5" t="s">
        <v>1359</v>
      </c>
      <c r="M333" s="5" t="s">
        <v>1038</v>
      </c>
      <c r="N333" s="7" t="str">
        <f>HYPERLINK("C:\Users\alexa\YandexDisk\Книги\Анализ данных\Наука о данных\Погружение в аналитику данных.pdf","Погружение в аналитику данных.pdf")</f>
        <v>Погружение в аналитику данных.pdf</v>
      </c>
      <c r="O333" s="5" t="s">
        <v>1360</v>
      </c>
    </row>
    <row r="334" spans="1:15" ht="110.4" x14ac:dyDescent="0.3">
      <c r="A334" s="2">
        <v>333</v>
      </c>
      <c r="B334" s="3" t="s">
        <v>1361</v>
      </c>
      <c r="C334" s="3"/>
      <c r="D334" s="3"/>
      <c r="E334" s="3"/>
      <c r="F334" s="3" t="s">
        <v>1035</v>
      </c>
      <c r="G334" s="3" t="s">
        <v>926</v>
      </c>
      <c r="H334" s="3" t="s">
        <v>1036</v>
      </c>
      <c r="I334" s="3" t="s">
        <v>1147</v>
      </c>
      <c r="J334" s="3">
        <v>0.04</v>
      </c>
      <c r="K334" s="3" t="s">
        <v>21</v>
      </c>
      <c r="L334" s="3" t="s">
        <v>1362</v>
      </c>
      <c r="M334" s="3" t="s">
        <v>1038</v>
      </c>
      <c r="N334" s="6" t="str">
        <f>HYPERLINK("C:\Users\alexa\YandexDisk\Книги\Анализ данных\Наука о данных\построение индекса.docx","построение индекса.docx")</f>
        <v>построение индекса.docx</v>
      </c>
      <c r="O334" s="3" t="s">
        <v>1363</v>
      </c>
    </row>
    <row r="335" spans="1:15" ht="151.80000000000001" x14ac:dyDescent="0.3">
      <c r="A335" s="4">
        <v>334</v>
      </c>
      <c r="B335" s="5" t="s">
        <v>1364</v>
      </c>
      <c r="C335" s="5"/>
      <c r="D335" s="5"/>
      <c r="E335" s="5"/>
      <c r="F335" s="5" t="s">
        <v>1365</v>
      </c>
      <c r="G335" s="5" t="s">
        <v>926</v>
      </c>
      <c r="H335" s="5" t="s">
        <v>1366</v>
      </c>
      <c r="I335" s="5" t="s">
        <v>20</v>
      </c>
      <c r="J335" s="5">
        <v>43.93</v>
      </c>
      <c r="K335" s="5" t="s">
        <v>21</v>
      </c>
      <c r="L335" s="5" t="s">
        <v>1367</v>
      </c>
      <c r="M335" s="5" t="s">
        <v>1038</v>
      </c>
      <c r="N335" s="7" t="str">
        <f>HYPERLINK("C:\Users\alexa\YandexDisk\Книги\Анализ данных\Наука о данных\Потоковая_обработка_данных_Конвейер.pdf","Потоковая_обработка_данных_Конвейер.pdf")</f>
        <v>Потоковая_обработка_данных_Конвейер.pdf</v>
      </c>
      <c r="O335" s="5" t="s">
        <v>1368</v>
      </c>
    </row>
    <row r="336" spans="1:15" ht="151.80000000000001" x14ac:dyDescent="0.3">
      <c r="A336" s="2">
        <v>335</v>
      </c>
      <c r="B336" s="3" t="s">
        <v>1182</v>
      </c>
      <c r="C336" s="3" t="s">
        <v>1183</v>
      </c>
      <c r="D336" s="3" t="s">
        <v>17</v>
      </c>
      <c r="E336" s="3" t="s">
        <v>442</v>
      </c>
      <c r="F336" s="3" t="s">
        <v>1035</v>
      </c>
      <c r="G336" s="3" t="s">
        <v>926</v>
      </c>
      <c r="H336" s="3" t="s">
        <v>1036</v>
      </c>
      <c r="I336" s="3" t="s">
        <v>20</v>
      </c>
      <c r="J336" s="3">
        <v>24.57</v>
      </c>
      <c r="K336" s="3" t="s">
        <v>21</v>
      </c>
      <c r="L336" s="3" t="s">
        <v>1369</v>
      </c>
      <c r="M336" s="3" t="s">
        <v>1038</v>
      </c>
      <c r="N336" s="6" t="str">
        <f>HYPERLINK("C:\Users\alexa\YandexDisk\Книги\Анализ данных\Наука о данных\Практическая_статистика_для_специалистов_Data_Science_2_е_изд 2021.pdf","Практическая_статистика_для_специалистов_Data_Science_2_е_изд 2021.pdf")</f>
        <v>Практическая_статистика_для_специалистов_Data_Science_2_е_изд 2021.pdf</v>
      </c>
      <c r="O336" s="3" t="s">
        <v>1370</v>
      </c>
    </row>
    <row r="337" spans="1:15" ht="179.4" x14ac:dyDescent="0.3">
      <c r="A337" s="4">
        <v>336</v>
      </c>
      <c r="B337" s="5" t="s">
        <v>1371</v>
      </c>
      <c r="C337" s="5" t="s">
        <v>1372</v>
      </c>
      <c r="D337" s="5" t="s">
        <v>17</v>
      </c>
      <c r="E337" s="5" t="s">
        <v>442</v>
      </c>
      <c r="F337" s="5" t="s">
        <v>1035</v>
      </c>
      <c r="G337" s="5" t="s">
        <v>926</v>
      </c>
      <c r="H337" s="5" t="s">
        <v>1036</v>
      </c>
      <c r="I337" s="5" t="s">
        <v>20</v>
      </c>
      <c r="J337" s="5">
        <v>37.99</v>
      </c>
      <c r="K337" s="5" t="s">
        <v>21</v>
      </c>
      <c r="L337" s="5" t="s">
        <v>1373</v>
      </c>
      <c r="M337" s="5" t="s">
        <v>1038</v>
      </c>
      <c r="N337" s="7" t="str">
        <f>HYPERLINK("C:\Users\alexa\YandexDisk\Книги\Анализ данных\Наука о данных\Практический_анализ_временных_рядов_Прогнозирование_со_статистикой.pdf","Практический_анализ_временных_рядов_Прогнозирование_со_статистикой.pdf")</f>
        <v>Практический_анализ_временных_рядов_Прогнозирование_со_статистикой.pdf</v>
      </c>
      <c r="O337" s="5" t="s">
        <v>1374</v>
      </c>
    </row>
    <row r="338" spans="1:15" ht="138" x14ac:dyDescent="0.3">
      <c r="A338" s="2">
        <v>337</v>
      </c>
      <c r="B338" s="3" t="s">
        <v>1279</v>
      </c>
      <c r="C338" s="3" t="s">
        <v>1280</v>
      </c>
      <c r="D338" s="3" t="s">
        <v>27</v>
      </c>
      <c r="E338" s="3" t="s">
        <v>102</v>
      </c>
      <c r="F338" s="3" t="s">
        <v>1035</v>
      </c>
      <c r="G338" s="3" t="s">
        <v>926</v>
      </c>
      <c r="H338" s="3" t="s">
        <v>1036</v>
      </c>
      <c r="I338" s="3" t="s">
        <v>20</v>
      </c>
      <c r="J338" s="3">
        <v>80.88</v>
      </c>
      <c r="K338" s="3" t="s">
        <v>21</v>
      </c>
      <c r="L338" s="3" t="s">
        <v>1375</v>
      </c>
      <c r="M338" s="3" t="s">
        <v>1038</v>
      </c>
      <c r="N338" s="6" t="str">
        <f>HYPERLINK("C:\Users\alexa\YandexDisk\Книги\Анализ данных\Наука о данных\Предварительная_подготовка_данных_в_Python_1_том_2023_Артем_Груздев.pdf","Предварительная_подготовка_данных_в_Python_1_том_2023_Артем_Груздев.pdf")</f>
        <v>Предварительная_подготовка_данных_в_Python_1_том_2023_Артем_Груздев.pdf</v>
      </c>
      <c r="O338" s="3" t="s">
        <v>1376</v>
      </c>
    </row>
    <row r="339" spans="1:15" ht="41.4" x14ac:dyDescent="0.3">
      <c r="A339" s="4">
        <v>338</v>
      </c>
      <c r="B339" s="5" t="s">
        <v>1377</v>
      </c>
      <c r="C339" s="5"/>
      <c r="D339" s="5"/>
      <c r="E339" s="5"/>
      <c r="F339" s="5" t="s">
        <v>1035</v>
      </c>
      <c r="G339" s="5" t="s">
        <v>926</v>
      </c>
      <c r="H339" s="5" t="s">
        <v>1036</v>
      </c>
      <c r="I339" s="5" t="s">
        <v>20</v>
      </c>
      <c r="J339" s="5">
        <v>133.03</v>
      </c>
      <c r="K339" s="5" t="s">
        <v>21</v>
      </c>
      <c r="L339" s="5" t="s">
        <v>1378</v>
      </c>
      <c r="M339" s="5" t="s">
        <v>1038</v>
      </c>
      <c r="N339" s="7" t="str">
        <f>HYPERLINK("C:\Users\alexa\YandexDisk\Книги\Анализ данных\Наука о данных\Предиктивное_моделирование_на_практике.pdf","Предиктивное_моделирование_на_практике.pdf")</f>
        <v>Предиктивное_моделирование_на_практике.pdf</v>
      </c>
      <c r="O339" s="5" t="s">
        <v>930</v>
      </c>
    </row>
    <row r="340" spans="1:15" ht="179.4" x14ac:dyDescent="0.3">
      <c r="A340" s="2">
        <v>339</v>
      </c>
      <c r="B340" s="3" t="s">
        <v>1379</v>
      </c>
      <c r="C340" s="3" t="s">
        <v>1380</v>
      </c>
      <c r="D340" s="3" t="s">
        <v>335</v>
      </c>
      <c r="E340" s="3" t="s">
        <v>102</v>
      </c>
      <c r="F340" s="3" t="s">
        <v>1035</v>
      </c>
      <c r="G340" s="3" t="s">
        <v>926</v>
      </c>
      <c r="H340" s="3" t="s">
        <v>1036</v>
      </c>
      <c r="I340" s="3" t="s">
        <v>20</v>
      </c>
      <c r="J340" s="3">
        <v>30.97</v>
      </c>
      <c r="K340" s="3" t="s">
        <v>21</v>
      </c>
      <c r="L340" s="3" t="s">
        <v>1381</v>
      </c>
      <c r="M340" s="3" t="s">
        <v>1038</v>
      </c>
      <c r="N340" s="6" t="str">
        <f>HYPERLINK("C:\Users\alexa\YandexDisk\Книги\Анализ данных\Наука о данных\Причинно-следственный анализ для смелых и честных.pdf","Причинно-следственный анализ для смелых и честных.pdf")</f>
        <v>Причинно-следственный анализ для смелых и честных.pdf</v>
      </c>
      <c r="O340" s="3" t="s">
        <v>1382</v>
      </c>
    </row>
    <row r="341" spans="1:15" ht="165.6" x14ac:dyDescent="0.3">
      <c r="A341" s="4">
        <v>340</v>
      </c>
      <c r="B341" s="5" t="s">
        <v>1383</v>
      </c>
      <c r="C341" s="5"/>
      <c r="D341" s="5"/>
      <c r="E341" s="5"/>
      <c r="F341" s="5" t="s">
        <v>1035</v>
      </c>
      <c r="G341" s="5" t="s">
        <v>926</v>
      </c>
      <c r="H341" s="5" t="s">
        <v>1036</v>
      </c>
      <c r="I341" s="5" t="s">
        <v>20</v>
      </c>
      <c r="J341" s="5">
        <v>9.81</v>
      </c>
      <c r="K341" s="5" t="s">
        <v>21</v>
      </c>
      <c r="L341" s="5" t="s">
        <v>1384</v>
      </c>
      <c r="M341" s="5" t="s">
        <v>1038</v>
      </c>
      <c r="N341" s="7" t="str">
        <f>HYPERLINK("C:\Users\alexa\YandexDisk\Книги\Анализ данных\Наука о данных\Работа с данными.pdf","Работа с данными.pdf")</f>
        <v>Работа с данными.pdf</v>
      </c>
      <c r="O341" s="5" t="s">
        <v>1385</v>
      </c>
    </row>
    <row r="342" spans="1:15" ht="138" x14ac:dyDescent="0.3">
      <c r="A342" s="2">
        <v>341</v>
      </c>
      <c r="B342" s="3" t="s">
        <v>1386</v>
      </c>
      <c r="C342" s="3" t="s">
        <v>1387</v>
      </c>
      <c r="D342" s="3" t="s">
        <v>17</v>
      </c>
      <c r="E342" s="3" t="s">
        <v>1388</v>
      </c>
      <c r="F342" s="3" t="s">
        <v>1035</v>
      </c>
      <c r="G342" s="3" t="s">
        <v>926</v>
      </c>
      <c r="H342" s="3" t="s">
        <v>1036</v>
      </c>
      <c r="I342" s="3" t="s">
        <v>20</v>
      </c>
      <c r="J342" s="3">
        <v>2.11</v>
      </c>
      <c r="K342" s="3" t="s">
        <v>21</v>
      </c>
      <c r="L342" s="3" t="s">
        <v>1389</v>
      </c>
      <c r="M342" s="3" t="s">
        <v>1038</v>
      </c>
      <c r="N342" s="6" t="str">
        <f>HYPERLINK("C:\Users\alexa\YandexDisk\Книги\Анализ данных\Наука о данных\Разберись в Data Science.pdf","Разберись в Data Science.pdf")</f>
        <v>Разберись в Data Science.pdf</v>
      </c>
      <c r="O342" s="3" t="s">
        <v>1390</v>
      </c>
    </row>
    <row r="343" spans="1:15" ht="179.4" x14ac:dyDescent="0.3">
      <c r="A343" s="4">
        <v>342</v>
      </c>
      <c r="B343" s="5" t="s">
        <v>1391</v>
      </c>
      <c r="C343" s="5" t="s">
        <v>1392</v>
      </c>
      <c r="D343" s="5" t="s">
        <v>59</v>
      </c>
      <c r="E343" s="5" t="s">
        <v>102</v>
      </c>
      <c r="F343" s="5" t="s">
        <v>1035</v>
      </c>
      <c r="G343" s="5" t="s">
        <v>926</v>
      </c>
      <c r="H343" s="5" t="s">
        <v>1036</v>
      </c>
      <c r="I343" s="5" t="s">
        <v>20</v>
      </c>
      <c r="J343" s="5">
        <v>35.92</v>
      </c>
      <c r="K343" s="5" t="s">
        <v>21</v>
      </c>
      <c r="L343" s="5" t="s">
        <v>1393</v>
      </c>
      <c r="M343" s="5" t="s">
        <v>1038</v>
      </c>
      <c r="N343" s="7" t="str">
        <f>HYPERLINK("C:\Users\alexa\YandexDisk\Книги\Анализ данных\Наука о данных\Рекомендательные_системы_на_практике_2020_Ким_Фальк.pdf","Рекомендательные_системы_на_практике_2020_Ким_Фальк.pdf")</f>
        <v>Рекомендательные_системы_на_практике_2020_Ким_Фальк.pdf</v>
      </c>
      <c r="O343" s="5" t="s">
        <v>1394</v>
      </c>
    </row>
    <row r="344" spans="1:15" ht="165.6" x14ac:dyDescent="0.3">
      <c r="A344" s="2">
        <v>343</v>
      </c>
      <c r="B344" s="3" t="s">
        <v>1395</v>
      </c>
      <c r="C344" s="3" t="s">
        <v>1396</v>
      </c>
      <c r="D344" s="3" t="s">
        <v>17</v>
      </c>
      <c r="E344" s="3" t="s">
        <v>18</v>
      </c>
      <c r="F344" s="3" t="s">
        <v>1035</v>
      </c>
      <c r="G344" s="3" t="s">
        <v>926</v>
      </c>
      <c r="H344" s="3" t="s">
        <v>1036</v>
      </c>
      <c r="I344" s="3" t="s">
        <v>20</v>
      </c>
      <c r="J344" s="3">
        <v>4.6500000000000004</v>
      </c>
      <c r="K344" s="3" t="s">
        <v>21</v>
      </c>
      <c r="L344" s="3" t="s">
        <v>1397</v>
      </c>
      <c r="M344" s="3" t="s">
        <v>1038</v>
      </c>
      <c r="N344" s="6" t="str">
        <f>HYPERLINK("C:\Users\alexa\YandexDisk\Книги\Анализ данных\Наука о данных\Роман_с_Data_Science_Как_монетизировать_большие_данные.pdf","Роман_с_Data_Science_Как_монетизировать_большие_данные.pdf")</f>
        <v>Роман_с_Data_Science_Как_монетизировать_большие_данные.pdf</v>
      </c>
      <c r="O344" s="3" t="s">
        <v>1398</v>
      </c>
    </row>
    <row r="345" spans="1:15" ht="96.6" x14ac:dyDescent="0.3">
      <c r="A345" s="4">
        <v>344</v>
      </c>
      <c r="B345" s="5" t="s">
        <v>1399</v>
      </c>
      <c r="C345" s="5" t="s">
        <v>1400</v>
      </c>
      <c r="D345" s="5" t="s">
        <v>50</v>
      </c>
      <c r="E345" s="5"/>
      <c r="F345" s="5" t="s">
        <v>1035</v>
      </c>
      <c r="G345" s="5" t="s">
        <v>926</v>
      </c>
      <c r="H345" s="5" t="s">
        <v>1036</v>
      </c>
      <c r="I345" s="5" t="s">
        <v>20</v>
      </c>
      <c r="J345" s="5">
        <v>108.39</v>
      </c>
      <c r="K345" s="5" t="s">
        <v>21</v>
      </c>
      <c r="L345" s="5" t="s">
        <v>1401</v>
      </c>
      <c r="M345" s="5" t="s">
        <v>1038</v>
      </c>
      <c r="N345" s="7" t="str">
        <f>HYPERLINK("C:\Users\alexa\YandexDisk\Книги\Анализ данных\Наука о данных\Силен Основы Data_Science и Big_Data Python 2017.pdf","Силен Основы Data_Science и Big_Data Python 2017.pdf")</f>
        <v>Силен Основы Data_Science и Big_Data Python 2017.pdf</v>
      </c>
      <c r="O345" s="5" t="s">
        <v>1402</v>
      </c>
    </row>
    <row r="346" spans="1:15" ht="138" x14ac:dyDescent="0.3">
      <c r="A346" s="2">
        <v>345</v>
      </c>
      <c r="B346" s="3" t="s">
        <v>1403</v>
      </c>
      <c r="C346" s="3" t="s">
        <v>1400</v>
      </c>
      <c r="D346" s="3"/>
      <c r="E346" s="3"/>
      <c r="F346" s="3" t="s">
        <v>1035</v>
      </c>
      <c r="G346" s="3" t="s">
        <v>926</v>
      </c>
      <c r="H346" s="3" t="s">
        <v>1036</v>
      </c>
      <c r="I346" s="3" t="s">
        <v>20</v>
      </c>
      <c r="J346" s="3">
        <v>108.39</v>
      </c>
      <c r="K346" s="3" t="s">
        <v>21</v>
      </c>
      <c r="L346" s="3" t="s">
        <v>1404</v>
      </c>
      <c r="M346" s="3" t="s">
        <v>1038</v>
      </c>
      <c r="N346" s="6" t="str">
        <f>HYPERLINK("C:\Users\alexa\YandexDisk\Книги\Анализ данных\Наука о данных\Силен Основы Data_Science_i_Big_Data_Python.pdf","Силен Основы Data_Science_i_Big_Data_Python.pdf")</f>
        <v>Силен Основы Data_Science_i_Big_Data_Python.pdf</v>
      </c>
      <c r="O346" s="3" t="s">
        <v>1405</v>
      </c>
    </row>
    <row r="347" spans="1:15" ht="179.4" x14ac:dyDescent="0.3">
      <c r="A347" s="4">
        <v>346</v>
      </c>
      <c r="B347" s="5" t="s">
        <v>1406</v>
      </c>
      <c r="C347" s="5" t="s">
        <v>1407</v>
      </c>
      <c r="D347" s="5"/>
      <c r="E347" s="5" t="s">
        <v>303</v>
      </c>
      <c r="F347" s="5" t="s">
        <v>1035</v>
      </c>
      <c r="G347" s="5" t="s">
        <v>926</v>
      </c>
      <c r="H347" s="5" t="s">
        <v>1036</v>
      </c>
      <c r="I347" s="5" t="s">
        <v>280</v>
      </c>
      <c r="J347" s="5">
        <v>7.83</v>
      </c>
      <c r="K347" s="5" t="s">
        <v>21</v>
      </c>
      <c r="L347" s="5" t="s">
        <v>1408</v>
      </c>
      <c r="M347" s="5" t="s">
        <v>1038</v>
      </c>
      <c r="N347" s="7" t="str">
        <f>HYPERLINK("C:\Users\alexa\YandexDisk\Книги\Анализ данных\Наука о данных\Скотт_Пейдж_Модельное_мышление_Как_анализировать_сложные_явления.epub","Скотт_Пейдж_Модельное_мышление_Как_анализировать_сложные_явления.epub")</f>
        <v>Скотт_Пейдж_Модельное_мышление_Как_анализировать_сложные_явления.epub</v>
      </c>
      <c r="O347" s="5" t="s">
        <v>1409</v>
      </c>
    </row>
    <row r="348" spans="1:15" ht="179.4" x14ac:dyDescent="0.3">
      <c r="A348" s="2">
        <v>347</v>
      </c>
      <c r="B348" s="3" t="s">
        <v>1410</v>
      </c>
      <c r="C348" s="3" t="s">
        <v>1411</v>
      </c>
      <c r="D348" s="3" t="s">
        <v>1022</v>
      </c>
      <c r="E348" s="3" t="s">
        <v>102</v>
      </c>
      <c r="F348" s="3" t="s">
        <v>1035</v>
      </c>
      <c r="G348" s="3" t="s">
        <v>926</v>
      </c>
      <c r="H348" s="3" t="s">
        <v>1036</v>
      </c>
      <c r="I348" s="3" t="s">
        <v>20</v>
      </c>
      <c r="J348" s="3">
        <v>29.36</v>
      </c>
      <c r="K348" s="3" t="s">
        <v>21</v>
      </c>
      <c r="L348" s="3" t="s">
        <v>1412</v>
      </c>
      <c r="M348" s="3" t="s">
        <v>1038</v>
      </c>
      <c r="N348" s="6" t="str">
        <f>HYPERLINK("C:\Users\alexa\YandexDisk\Книги\Анализ данных\Наука о данных\Статистический_анализ_и_визуализация_данных_с_помощью_R.pdf","Статистический_анализ_и_визуализация_данных_с_помощью_R.pdf")</f>
        <v>Статистический_анализ_и_визуализация_данных_с_помощью_R.pdf</v>
      </c>
      <c r="O348" s="3" t="s">
        <v>1413</v>
      </c>
    </row>
    <row r="349" spans="1:15" ht="207" x14ac:dyDescent="0.3">
      <c r="A349" s="4">
        <v>348</v>
      </c>
      <c r="B349" s="5" t="s">
        <v>1414</v>
      </c>
      <c r="C349" s="5" t="s">
        <v>1415</v>
      </c>
      <c r="D349" s="5" t="s">
        <v>17</v>
      </c>
      <c r="E349" s="5" t="s">
        <v>1416</v>
      </c>
      <c r="F349" s="5" t="s">
        <v>1035</v>
      </c>
      <c r="G349" s="5" t="s">
        <v>926</v>
      </c>
      <c r="H349" s="5" t="s">
        <v>1036</v>
      </c>
      <c r="I349" s="5" t="s">
        <v>20</v>
      </c>
      <c r="J349" s="5">
        <v>1.7</v>
      </c>
      <c r="K349" s="5" t="s">
        <v>21</v>
      </c>
      <c r="L349" s="5" t="s">
        <v>1417</v>
      </c>
      <c r="M349" s="5" t="s">
        <v>1038</v>
      </c>
      <c r="N349" s="7" t="str">
        <f>HYPERLINK("C:\Users\alexa\YandexDisk\Книги\Анализ данных\Наука о данных\Тёмные данные. 2021.pdf","Тёмные данные. 2021.pdf")</f>
        <v>Тёмные данные. 2021.pdf</v>
      </c>
      <c r="O349" s="5" t="s">
        <v>1418</v>
      </c>
    </row>
    <row r="350" spans="1:15" ht="179.4" x14ac:dyDescent="0.3">
      <c r="A350" s="2">
        <v>349</v>
      </c>
      <c r="B350" s="3" t="s">
        <v>1419</v>
      </c>
      <c r="C350" s="3" t="s">
        <v>1420</v>
      </c>
      <c r="D350" s="3" t="s">
        <v>17</v>
      </c>
      <c r="E350" s="3" t="s">
        <v>1421</v>
      </c>
      <c r="F350" s="3" t="s">
        <v>1035</v>
      </c>
      <c r="G350" s="3" t="s">
        <v>926</v>
      </c>
      <c r="H350" s="3" t="s">
        <v>1036</v>
      </c>
      <c r="I350" s="3" t="s">
        <v>20</v>
      </c>
      <c r="J350" s="3">
        <v>2.36</v>
      </c>
      <c r="K350" s="3" t="s">
        <v>21</v>
      </c>
      <c r="L350" s="3" t="s">
        <v>1422</v>
      </c>
      <c r="M350" s="3" t="s">
        <v>1038</v>
      </c>
      <c r="N350" s="6" t="str">
        <f>HYPERLINK("C:\Users\alexa\YandexDisk\Книги\Анализ данных\Наука о данных\Технологии извлечения и интеллектуального анализа.pdf","Технологии извлечения и интеллектуального анализа.pdf")</f>
        <v>Технологии извлечения и интеллектуального анализа.pdf</v>
      </c>
      <c r="O350" s="3" t="s">
        <v>1423</v>
      </c>
    </row>
    <row r="351" spans="1:15" ht="179.4" x14ac:dyDescent="0.3">
      <c r="A351" s="4">
        <v>350</v>
      </c>
      <c r="B351" s="5" t="s">
        <v>1424</v>
      </c>
      <c r="C351" s="5" t="s">
        <v>1425</v>
      </c>
      <c r="D351" s="5" t="s">
        <v>71</v>
      </c>
      <c r="E351" s="5" t="s">
        <v>1426</v>
      </c>
      <c r="F351" s="5" t="s">
        <v>1035</v>
      </c>
      <c r="G351" s="5" t="s">
        <v>926</v>
      </c>
      <c r="H351" s="5" t="s">
        <v>1036</v>
      </c>
      <c r="I351" s="5" t="s">
        <v>20</v>
      </c>
      <c r="J351" s="5">
        <v>10.36</v>
      </c>
      <c r="K351" s="5" t="s">
        <v>21</v>
      </c>
      <c r="L351" s="5" t="s">
        <v>1427</v>
      </c>
      <c r="M351" s="5" t="s">
        <v>1038</v>
      </c>
      <c r="N351" s="7" t="str">
        <f>HYPERLINK("C:\Users\alexa\YandexDisk\Книги\Анализ данных\Наука о данных\Ценность ваших данных.pdf","Ценность ваших данных.pdf")</f>
        <v>Ценность ваших данных.pdf</v>
      </c>
      <c r="O351" s="5" t="s">
        <v>1428</v>
      </c>
    </row>
    <row r="352" spans="1:15" ht="193.2" x14ac:dyDescent="0.3">
      <c r="A352" s="2">
        <v>351</v>
      </c>
      <c r="B352" s="3" t="s">
        <v>1429</v>
      </c>
      <c r="C352" s="3" t="s">
        <v>1430</v>
      </c>
      <c r="D352" s="3" t="s">
        <v>32</v>
      </c>
      <c r="E352" s="3" t="s">
        <v>1431</v>
      </c>
      <c r="F352" s="3" t="s">
        <v>1035</v>
      </c>
      <c r="G352" s="3" t="s">
        <v>926</v>
      </c>
      <c r="H352" s="3" t="s">
        <v>1036</v>
      </c>
      <c r="I352" s="3" t="s">
        <v>20</v>
      </c>
      <c r="J352" s="3">
        <v>31.7</v>
      </c>
      <c r="K352" s="3" t="s">
        <v>21</v>
      </c>
      <c r="L352" s="3" t="s">
        <v>1432</v>
      </c>
      <c r="M352" s="3" t="s">
        <v>1038</v>
      </c>
      <c r="N352" s="6" t="str">
        <f>HYPERLINK("C:\Users\alexa\YandexDisk\Книги\Анализ данных\Наука о данных\Язык R в задачах науки о данных.pdf","Язык R в задачах науки о данных.pdf")</f>
        <v>Язык R в задачах науки о данных.pdf</v>
      </c>
      <c r="O352" s="3" t="s">
        <v>1433</v>
      </c>
    </row>
    <row r="353" spans="1:15" ht="179.4" x14ac:dyDescent="0.3">
      <c r="A353" s="4">
        <v>352</v>
      </c>
      <c r="B353" s="5" t="s">
        <v>1434</v>
      </c>
      <c r="C353" s="5" t="s">
        <v>1435</v>
      </c>
      <c r="D353" s="5" t="s">
        <v>32</v>
      </c>
      <c r="E353" s="5"/>
      <c r="F353" s="5" t="s">
        <v>1035</v>
      </c>
      <c r="G353" s="5" t="s">
        <v>926</v>
      </c>
      <c r="H353" s="5" t="s">
        <v>1036</v>
      </c>
      <c r="I353" s="5" t="s">
        <v>20</v>
      </c>
      <c r="J353" s="5">
        <v>40.840000000000003</v>
      </c>
      <c r="K353" s="5" t="s">
        <v>21</v>
      </c>
      <c r="L353" s="5" t="s">
        <v>1436</v>
      </c>
      <c r="M353" s="5" t="s">
        <v>1038</v>
      </c>
      <c r="N353" s="7" t="str">
        <f>HYPERLINK("C:\Users\alexa\YandexDisk\Книги\Анализ данных\Наука о данных\Яков_Осипенков_Google_Analytics.pdf","Яков_Осипенков_Google_Analytics.pdf")</f>
        <v>Яков_Осипенков_Google_Analytics.pdf</v>
      </c>
      <c r="O353" s="5" t="s">
        <v>1437</v>
      </c>
    </row>
    <row r="354" spans="1:15" ht="234.6" x14ac:dyDescent="0.3">
      <c r="A354" s="2">
        <v>353</v>
      </c>
      <c r="B354" s="3" t="s">
        <v>1438</v>
      </c>
      <c r="C354" s="3" t="s">
        <v>1439</v>
      </c>
      <c r="D354" s="3" t="s">
        <v>71</v>
      </c>
      <c r="E354" s="3" t="s">
        <v>536</v>
      </c>
      <c r="F354" s="3" t="s">
        <v>1440</v>
      </c>
      <c r="G354" s="3" t="s">
        <v>926</v>
      </c>
      <c r="H354" s="3" t="s">
        <v>1441</v>
      </c>
      <c r="I354" s="3" t="s">
        <v>20</v>
      </c>
      <c r="J354" s="3">
        <v>12.47</v>
      </c>
      <c r="K354" s="3" t="s">
        <v>21</v>
      </c>
      <c r="L354" s="3" t="s">
        <v>1442</v>
      </c>
      <c r="M354" s="3" t="s">
        <v>1443</v>
      </c>
      <c r="N354" s="6" t="str">
        <f>HYPERLINK("C:\Users\alexa\YandexDisk\Книги\Анализ данных\Построение систем обработки данных\Data Mesh in Action (MEAP V04) 2022.pdf","Data Mesh in Action (MEAP V04) 2022.pdf")</f>
        <v>Data Mesh in Action (MEAP V04) 2022.pdf</v>
      </c>
      <c r="O354" s="3" t="s">
        <v>1444</v>
      </c>
    </row>
    <row r="355" spans="1:15" ht="193.2" x14ac:dyDescent="0.3">
      <c r="A355" s="4">
        <v>354</v>
      </c>
      <c r="B355" s="5" t="s">
        <v>1445</v>
      </c>
      <c r="C355" s="5" t="s">
        <v>1446</v>
      </c>
      <c r="D355" s="5"/>
      <c r="E355" s="5" t="s">
        <v>1447</v>
      </c>
      <c r="F355" s="5" t="s">
        <v>1440</v>
      </c>
      <c r="G355" s="5" t="s">
        <v>926</v>
      </c>
      <c r="H355" s="5" t="s">
        <v>1441</v>
      </c>
      <c r="I355" s="5" t="s">
        <v>20</v>
      </c>
      <c r="J355" s="5">
        <v>6.58</v>
      </c>
      <c r="K355" s="5" t="s">
        <v>21</v>
      </c>
      <c r="L355" s="5" t="s">
        <v>1448</v>
      </c>
      <c r="M355" s="5" t="s">
        <v>1443</v>
      </c>
      <c r="N355" s="7" t="str">
        <f>HYPERLINK("C:\Users\alexa\YandexDisk\Книги\Анализ данных\Построение систем обработки данных\Data Quality Fundamentals.pdf","Data Quality Fundamentals.pdf")</f>
        <v>Data Quality Fundamentals.pdf</v>
      </c>
      <c r="O355" s="5" t="s">
        <v>1449</v>
      </c>
    </row>
    <row r="356" spans="1:15" ht="220.8" x14ac:dyDescent="0.3">
      <c r="A356" s="2">
        <v>355</v>
      </c>
      <c r="B356" s="3" t="s">
        <v>1450</v>
      </c>
      <c r="C356" s="3" t="s">
        <v>1451</v>
      </c>
      <c r="D356" s="3" t="s">
        <v>59</v>
      </c>
      <c r="E356" s="3" t="s">
        <v>260</v>
      </c>
      <c r="F356" s="3" t="s">
        <v>1440</v>
      </c>
      <c r="G356" s="3" t="s">
        <v>926</v>
      </c>
      <c r="H356" s="3" t="s">
        <v>1441</v>
      </c>
      <c r="I356" s="3" t="s">
        <v>20</v>
      </c>
      <c r="J356" s="3">
        <v>15.63</v>
      </c>
      <c r="K356" s="3" t="s">
        <v>21</v>
      </c>
      <c r="L356" s="3" t="s">
        <v>1452</v>
      </c>
      <c r="M356" s="3" t="s">
        <v>1443</v>
      </c>
      <c r="N356" s="6" t="str">
        <f>HYPERLINK("C:\Users\alexa\YandexDisk\Книги\Анализ данных\Построение систем обработки данных\Data_Management_at_Scale_Best_Practices_for_Enterprise_Architecture.pdf","Data_Management_at_Scale_Best_Practices_for_Enterprise_Architecture.pdf")</f>
        <v>Data_Management_at_Scale_Best_Practices_for_Enterprise_Architecture.pdf</v>
      </c>
      <c r="O356" s="3" t="s">
        <v>1453</v>
      </c>
    </row>
    <row r="357" spans="1:15" ht="179.4" x14ac:dyDescent="0.3">
      <c r="A357" s="4">
        <v>356</v>
      </c>
      <c r="B357" s="5" t="s">
        <v>1454</v>
      </c>
      <c r="C357" s="5" t="s">
        <v>1455</v>
      </c>
      <c r="D357" s="5" t="s">
        <v>77</v>
      </c>
      <c r="E357" s="5" t="s">
        <v>536</v>
      </c>
      <c r="F357" s="5" t="s">
        <v>1440</v>
      </c>
      <c r="G357" s="5" t="s">
        <v>926</v>
      </c>
      <c r="H357" s="5" t="s">
        <v>1441</v>
      </c>
      <c r="I357" s="5" t="s">
        <v>20</v>
      </c>
      <c r="J357" s="5">
        <v>13.09</v>
      </c>
      <c r="K357" s="5" t="s">
        <v>21</v>
      </c>
      <c r="L357" s="5" t="s">
        <v>1456</v>
      </c>
      <c r="M357" s="5" t="s">
        <v>1443</v>
      </c>
      <c r="N357" s="7" t="str">
        <f>HYPERLINK("C:\Users\alexa\YandexDisk\Книги\Анализ данных\Построение систем обработки данных\Event Streams in Action Real-time event systems with Kafka 2022.pdf","Event Streams in Action Real-time event systems with Kafka 2022.pdf")</f>
        <v>Event Streams in Action Real-time event systems with Kafka 2022.pdf</v>
      </c>
      <c r="O357" s="5" t="s">
        <v>1457</v>
      </c>
    </row>
    <row r="358" spans="1:15" ht="179.4" x14ac:dyDescent="0.3">
      <c r="A358" s="2">
        <v>357</v>
      </c>
      <c r="B358" s="3" t="s">
        <v>1458</v>
      </c>
      <c r="C358" s="3" t="s">
        <v>1459</v>
      </c>
      <c r="D358" s="3" t="s">
        <v>71</v>
      </c>
      <c r="E358" s="3" t="s">
        <v>260</v>
      </c>
      <c r="F358" s="3" t="s">
        <v>1440</v>
      </c>
      <c r="G358" s="3" t="s">
        <v>926</v>
      </c>
      <c r="H358" s="3" t="s">
        <v>1441</v>
      </c>
      <c r="I358" s="3" t="s">
        <v>20</v>
      </c>
      <c r="J358" s="3">
        <v>6.28</v>
      </c>
      <c r="K358" s="3" t="s">
        <v>21</v>
      </c>
      <c r="L358" s="3" t="s">
        <v>1460</v>
      </c>
      <c r="M358" s="3" t="s">
        <v>1443</v>
      </c>
      <c r="N358" s="6" t="str">
        <f>HYPERLINK("C:\Users\alexa\YandexDisk\Книги\Анализ данных\Построение систем обработки данных\Fundamentals_of_Data_Engineering_Plan_and_Build_Robust_Data_Systems.pdf","Fundamentals_of_Data_Engineering_Plan_and_Build_Robust_Data_Systems.pdf")</f>
        <v>Fundamentals_of_Data_Engineering_Plan_and_Build_Robust_Data_Systems.pdf</v>
      </c>
      <c r="O358" s="3" t="s">
        <v>1461</v>
      </c>
    </row>
    <row r="359" spans="1:15" ht="151.80000000000001" x14ac:dyDescent="0.3">
      <c r="A359" s="4">
        <v>358</v>
      </c>
      <c r="B359" s="5" t="s">
        <v>1462</v>
      </c>
      <c r="C359" s="5" t="s">
        <v>1463</v>
      </c>
      <c r="D359" s="5" t="s">
        <v>71</v>
      </c>
      <c r="E359" s="5" t="s">
        <v>536</v>
      </c>
      <c r="F359" s="5" t="s">
        <v>1440</v>
      </c>
      <c r="G359" s="5" t="s">
        <v>926</v>
      </c>
      <c r="H359" s="5" t="s">
        <v>1441</v>
      </c>
      <c r="I359" s="5" t="s">
        <v>20</v>
      </c>
      <c r="J359" s="5">
        <v>23.15</v>
      </c>
      <c r="K359" s="5" t="s">
        <v>21</v>
      </c>
      <c r="L359" s="5" t="s">
        <v>1464</v>
      </c>
      <c r="M359" s="5" t="s">
        <v>1443</v>
      </c>
      <c r="N359" s="7" t="str">
        <f>HYPERLINK("C:\Users\alexa\YandexDisk\Книги\Анализ данных\Построение систем обработки данных\Grokking Streaming Systems Real-time event processing.pdf","Grokking Streaming Systems Real-time event processing.pdf")</f>
        <v>Grokking Streaming Systems Real-time event processing.pdf</v>
      </c>
      <c r="O359" s="5" t="s">
        <v>1465</v>
      </c>
    </row>
    <row r="360" spans="1:15" ht="179.4" x14ac:dyDescent="0.3">
      <c r="A360" s="2">
        <v>359</v>
      </c>
      <c r="B360" s="3" t="s">
        <v>1466</v>
      </c>
      <c r="C360" s="3" t="s">
        <v>1467</v>
      </c>
      <c r="D360" s="3" t="s">
        <v>71</v>
      </c>
      <c r="E360" s="3" t="s">
        <v>102</v>
      </c>
      <c r="F360" s="3" t="s">
        <v>1440</v>
      </c>
      <c r="G360" s="3" t="s">
        <v>926</v>
      </c>
      <c r="H360" s="3" t="s">
        <v>1441</v>
      </c>
      <c r="I360" s="3" t="s">
        <v>20</v>
      </c>
      <c r="J360" s="3">
        <v>8.85</v>
      </c>
      <c r="K360" s="3" t="s">
        <v>21</v>
      </c>
      <c r="L360" s="3" t="s">
        <v>1468</v>
      </c>
      <c r="M360" s="3" t="s">
        <v>1443</v>
      </c>
      <c r="N360" s="6" t="str">
        <f>HYPERLINK("C:\Users\alexa\YandexDisk\Книги\Анализ данных\Построение систем обработки данных\Kafka в действии.pdf","Kafka в действии.pdf")</f>
        <v>Kafka в действии.pdf</v>
      </c>
      <c r="O360" s="3" t="s">
        <v>1469</v>
      </c>
    </row>
    <row r="361" spans="1:15" ht="248.4" x14ac:dyDescent="0.3">
      <c r="A361" s="4">
        <v>360</v>
      </c>
      <c r="B361" s="5" t="s">
        <v>1470</v>
      </c>
      <c r="C361" s="5" t="s">
        <v>1471</v>
      </c>
      <c r="D361" s="5"/>
      <c r="E361" s="5" t="s">
        <v>442</v>
      </c>
      <c r="F361" s="5" t="s">
        <v>1440</v>
      </c>
      <c r="G361" s="5" t="s">
        <v>926</v>
      </c>
      <c r="H361" s="5" t="s">
        <v>1441</v>
      </c>
      <c r="I361" s="5" t="s">
        <v>20</v>
      </c>
      <c r="J361" s="5">
        <v>3.88</v>
      </c>
      <c r="K361" s="5" t="s">
        <v>21</v>
      </c>
      <c r="L361" s="5" t="s">
        <v>1472</v>
      </c>
      <c r="M361" s="5" t="s">
        <v>1443</v>
      </c>
      <c r="N361" s="7" t="str">
        <f>HYPERLINK("C:\Users\alexa\YandexDisk\Книги\Анализ данных\Построение систем обработки данных\OReilly.Kafka.Connect.Build.and.Run.pdf","OReilly.Kafka.Connect.Build.and.Run.pdf")</f>
        <v>OReilly.Kafka.Connect.Build.and.Run.pdf</v>
      </c>
      <c r="O361" s="5" t="s">
        <v>1473</v>
      </c>
    </row>
    <row r="362" spans="1:15" ht="207" x14ac:dyDescent="0.3">
      <c r="A362" s="2">
        <v>361</v>
      </c>
      <c r="B362" s="3" t="s">
        <v>1474</v>
      </c>
      <c r="C362" s="3" t="s">
        <v>1475</v>
      </c>
      <c r="D362" s="3" t="s">
        <v>109</v>
      </c>
      <c r="E362" s="3" t="s">
        <v>442</v>
      </c>
      <c r="F362" s="3" t="s">
        <v>1440</v>
      </c>
      <c r="G362" s="3" t="s">
        <v>926</v>
      </c>
      <c r="H362" s="3" t="s">
        <v>1441</v>
      </c>
      <c r="I362" s="3" t="s">
        <v>20</v>
      </c>
      <c r="J362" s="3">
        <v>40.78</v>
      </c>
      <c r="K362" s="3" t="s">
        <v>21</v>
      </c>
      <c r="L362" s="3" t="s">
        <v>1476</v>
      </c>
      <c r="M362" s="3" t="s">
        <v>1443</v>
      </c>
      <c r="N362" s="6" t="str">
        <f>HYPERLINK("C:\Users\alexa\YandexDisk\Книги\Анализ данных\Построение систем обработки данных\Конвейеры данных.pdf","Конвейеры данных.pdf")</f>
        <v>Конвейеры данных.pdf</v>
      </c>
      <c r="O362" s="3" t="s">
        <v>1477</v>
      </c>
    </row>
    <row r="363" spans="1:15" ht="165.6" x14ac:dyDescent="0.3">
      <c r="A363" s="4">
        <v>362</v>
      </c>
      <c r="B363" s="5" t="s">
        <v>1478</v>
      </c>
      <c r="C363" s="5" t="s">
        <v>1479</v>
      </c>
      <c r="D363" s="5" t="s">
        <v>71</v>
      </c>
      <c r="E363" s="5" t="s">
        <v>18</v>
      </c>
      <c r="F363" s="5" t="s">
        <v>1440</v>
      </c>
      <c r="G363" s="5" t="s">
        <v>926</v>
      </c>
      <c r="H363" s="5" t="s">
        <v>1441</v>
      </c>
      <c r="I363" s="5" t="s">
        <v>20</v>
      </c>
      <c r="J363" s="5">
        <v>6.69</v>
      </c>
      <c r="K363" s="5" t="s">
        <v>21</v>
      </c>
      <c r="L363" s="5" t="s">
        <v>1480</v>
      </c>
      <c r="M363" s="5" t="s">
        <v>1443</v>
      </c>
      <c r="N363" s="7" t="str">
        <f>HYPERLINK("C:\Users\alexa\YandexDisk\Книги\Анализ данных\Построение систем обработки данных\Масштабируемые_данные_Лучшие_шаблоны_высоконагруженных_архитектур.pdf","Масштабируемые_данные_Лучшие_шаблоны_высоконагруженных_архитектур.pdf")</f>
        <v>Масштабируемые_данные_Лучшие_шаблоны_высоконагруженных_архитектур.pdf</v>
      </c>
      <c r="O363" s="5" t="s">
        <v>1481</v>
      </c>
    </row>
    <row r="364" spans="1:15" ht="179.4" x14ac:dyDescent="0.3">
      <c r="A364" s="2">
        <v>363</v>
      </c>
      <c r="B364" s="3" t="s">
        <v>1364</v>
      </c>
      <c r="C364" s="3"/>
      <c r="D364" s="3"/>
      <c r="E364" s="3"/>
      <c r="F364" s="3" t="s">
        <v>1440</v>
      </c>
      <c r="G364" s="3" t="s">
        <v>926</v>
      </c>
      <c r="H364" s="3" t="s">
        <v>1441</v>
      </c>
      <c r="I364" s="3" t="s">
        <v>20</v>
      </c>
      <c r="J364" s="3">
        <v>43.93</v>
      </c>
      <c r="K364" s="3" t="s">
        <v>21</v>
      </c>
      <c r="L364" s="3" t="s">
        <v>1367</v>
      </c>
      <c r="M364" s="3" t="s">
        <v>1443</v>
      </c>
      <c r="N364" s="6" t="str">
        <f>HYPERLINK("C:\Users\alexa\YandexDisk\Книги\Анализ данных\Построение систем обработки данных\Потоковая_обработка_данных_Конвейер.pdf","Потоковая_обработка_данных_Конвейер.pdf")</f>
        <v>Потоковая_обработка_данных_Конвейер.pdf</v>
      </c>
      <c r="O364" s="3" t="s">
        <v>1482</v>
      </c>
    </row>
    <row r="365" spans="1:15" ht="179.4" x14ac:dyDescent="0.3">
      <c r="A365" s="4">
        <v>364</v>
      </c>
      <c r="B365" s="5" t="s">
        <v>1483</v>
      </c>
      <c r="C365" s="5" t="s">
        <v>1484</v>
      </c>
      <c r="D365" s="5" t="s">
        <v>27</v>
      </c>
      <c r="E365" s="5" t="s">
        <v>227</v>
      </c>
      <c r="F365" s="5" t="s">
        <v>1485</v>
      </c>
      <c r="G365" s="5" t="s">
        <v>53</v>
      </c>
      <c r="H365" s="5" t="s">
        <v>1486</v>
      </c>
      <c r="I365" s="5" t="s">
        <v>20</v>
      </c>
      <c r="J365" s="5">
        <v>5.91</v>
      </c>
      <c r="K365" s="5" t="s">
        <v>21</v>
      </c>
      <c r="L365" s="5" t="s">
        <v>1487</v>
      </c>
      <c r="M365" s="5" t="s">
        <v>1488</v>
      </c>
      <c r="N365" s="7" t="str">
        <f>HYPERLINK("C:\Users\alexa\YandexDisk\Книги\Архитектура\Архитектура организации\!!!!Getting Started with Enterprise Architecture.pdf","!!!!Getting Started with Enterprise Architecture.pdf")</f>
        <v>!!!!Getting Started with Enterprise Architecture.pdf</v>
      </c>
      <c r="O365" s="5" t="s">
        <v>1489</v>
      </c>
    </row>
    <row r="366" spans="1:15" ht="165.6" x14ac:dyDescent="0.3">
      <c r="A366" s="2">
        <v>365</v>
      </c>
      <c r="B366" s="3" t="s">
        <v>1490</v>
      </c>
      <c r="C366" s="3" t="s">
        <v>1491</v>
      </c>
      <c r="D366" s="3"/>
      <c r="E366" s="3"/>
      <c r="F366" s="3" t="s">
        <v>1485</v>
      </c>
      <c r="G366" s="3" t="s">
        <v>53</v>
      </c>
      <c r="H366" s="3" t="s">
        <v>1486</v>
      </c>
      <c r="I366" s="3" t="s">
        <v>280</v>
      </c>
      <c r="J366" s="3">
        <v>1.1100000000000001</v>
      </c>
      <c r="K366" s="3" t="s">
        <v>21</v>
      </c>
      <c r="L366" s="3" t="s">
        <v>1492</v>
      </c>
      <c r="M366" s="3" t="s">
        <v>1488</v>
      </c>
      <c r="N366" s="6" t="str">
        <f>HYPERLINK("C:\Users\alexa\YandexDisk\Книги\Архитектура\Архитектура организации\Team_Topologies_Organizing_Business_and_Technology_Teams_for_Fast.epub","Team_Topologies_Organizing_Business_and_Technology_Teams_for_Fast.epub")</f>
        <v>Team_Topologies_Organizing_Business_and_Technology_Teams_for_Fast.epub</v>
      </c>
      <c r="O366" s="3" t="s">
        <v>1493</v>
      </c>
    </row>
    <row r="367" spans="1:15" ht="179.4" x14ac:dyDescent="0.3">
      <c r="A367" s="4">
        <v>366</v>
      </c>
      <c r="B367" s="5" t="s">
        <v>1494</v>
      </c>
      <c r="C367" s="5" t="s">
        <v>1495</v>
      </c>
      <c r="D367" s="5" t="s">
        <v>335</v>
      </c>
      <c r="E367" s="5" t="s">
        <v>102</v>
      </c>
      <c r="F367" s="5" t="s">
        <v>1485</v>
      </c>
      <c r="G367" s="5" t="s">
        <v>53</v>
      </c>
      <c r="H367" s="5" t="s">
        <v>1486</v>
      </c>
      <c r="I367" s="5" t="s">
        <v>20</v>
      </c>
      <c r="J367" s="5">
        <v>10.6</v>
      </c>
      <c r="K367" s="5" t="s">
        <v>21</v>
      </c>
      <c r="L367" s="5" t="s">
        <v>1496</v>
      </c>
      <c r="M367" s="5" t="s">
        <v>1488</v>
      </c>
      <c r="N367" s="7" t="str">
        <f>HYPERLINK("C:\Users\alexa\YandexDisk\Книги\Архитектура\Архитектура организации\Большие данные. Современные фреймворки и разработка приложений.pdf","Большие данные. Современные фреймворки и разработка приложений.pdf")</f>
        <v>Большие данные. Современные фреймворки и разработка приложений.pdf</v>
      </c>
      <c r="O367" s="5" t="s">
        <v>1497</v>
      </c>
    </row>
    <row r="368" spans="1:15" ht="165.6" x14ac:dyDescent="0.3">
      <c r="A368" s="2">
        <v>367</v>
      </c>
      <c r="B368" s="3" t="s">
        <v>1498</v>
      </c>
      <c r="C368" s="3" t="s">
        <v>1499</v>
      </c>
      <c r="D368" s="3" t="s">
        <v>32</v>
      </c>
      <c r="E368" s="3" t="s">
        <v>1500</v>
      </c>
      <c r="F368" s="3" t="s">
        <v>1485</v>
      </c>
      <c r="G368" s="3" t="s">
        <v>53</v>
      </c>
      <c r="H368" s="3" t="s">
        <v>1486</v>
      </c>
      <c r="I368" s="3" t="s">
        <v>20</v>
      </c>
      <c r="J368" s="3">
        <v>8</v>
      </c>
      <c r="K368" s="3" t="s">
        <v>21</v>
      </c>
      <c r="L368" s="3" t="s">
        <v>1501</v>
      </c>
      <c r="M368" s="3" t="s">
        <v>1488</v>
      </c>
      <c r="N368" s="6" t="str">
        <f>HYPERLINK("C:\Users\alexa\YandexDisk\Книги\Архитектура\Архитектура организации\ИТ_архитектура_от_А_до_Я_Теоретические_основы.pdf","ИТ_архитектура_от_А_до_Я_Теоретические_основы.pdf")</f>
        <v>ИТ_архитектура_от_А_до_Я_Теоретические_основы.pdf</v>
      </c>
      <c r="O368" s="3" t="s">
        <v>1502</v>
      </c>
    </row>
    <row r="369" spans="1:15" ht="207" x14ac:dyDescent="0.3">
      <c r="A369" s="4">
        <v>368</v>
      </c>
      <c r="B369" s="5" t="s">
        <v>1503</v>
      </c>
      <c r="C369" s="5" t="s">
        <v>1504</v>
      </c>
      <c r="D369" s="5" t="s">
        <v>27</v>
      </c>
      <c r="E369" s="5" t="s">
        <v>18</v>
      </c>
      <c r="F369" s="5" t="s">
        <v>1505</v>
      </c>
      <c r="G369" s="5" t="s">
        <v>53</v>
      </c>
      <c r="H369" s="5" t="s">
        <v>1506</v>
      </c>
      <c r="I369" s="5" t="s">
        <v>20</v>
      </c>
      <c r="J369" s="5">
        <v>9.33</v>
      </c>
      <c r="K369" s="5" t="s">
        <v>21</v>
      </c>
      <c r="L369" s="5" t="s">
        <v>1507</v>
      </c>
      <c r="M369" s="5" t="s">
        <v>1508</v>
      </c>
      <c r="N369" s="7" t="str">
        <f>HYPERLINK("C:\Users\alexa\YandexDisk\Книги\Архитектура\Архитектура ПО\!!!!Фундаментальный_подход_к_программной_архитектуре_Паттерны,_свойства.pdf","!!!!Фундаментальный_подход_к_программной_архитектуре_Паттерны,_свойства.pdf")</f>
        <v>!!!!Фундаментальный_подход_к_программной_архитектуре_Паттерны,_свойства.pdf</v>
      </c>
      <c r="O369" s="5" t="s">
        <v>1509</v>
      </c>
    </row>
    <row r="370" spans="1:15" ht="151.80000000000001" x14ac:dyDescent="0.3">
      <c r="A370" s="2">
        <v>369</v>
      </c>
      <c r="B370" s="3" t="s">
        <v>1510</v>
      </c>
      <c r="C370" s="3"/>
      <c r="D370" s="3"/>
      <c r="E370" s="3"/>
      <c r="F370" s="3" t="s">
        <v>1505</v>
      </c>
      <c r="G370" s="3" t="s">
        <v>53</v>
      </c>
      <c r="H370" s="3" t="s">
        <v>1506</v>
      </c>
      <c r="I370" s="3" t="s">
        <v>519</v>
      </c>
      <c r="J370" s="3">
        <v>0.86</v>
      </c>
      <c r="K370" s="3" t="s">
        <v>21</v>
      </c>
      <c r="L370" s="3" t="s">
        <v>1510</v>
      </c>
      <c r="M370" s="3" t="s">
        <v>1508</v>
      </c>
      <c r="N370" s="6" t="str">
        <f>HYPERLINK("C:\Users\alexa\YandexDisk\Книги\Архитектура\Архитектура ПО\arc42-template-RU-withhelp-asciidoc.zip","arc42-template-RU-withhelp-asciidoc.zip")</f>
        <v>arc42-template-RU-withhelp-asciidoc.zip</v>
      </c>
      <c r="O370" s="3" t="s">
        <v>1511</v>
      </c>
    </row>
    <row r="371" spans="1:15" ht="234.6" x14ac:dyDescent="0.3">
      <c r="A371" s="4">
        <v>370</v>
      </c>
      <c r="B371" s="5" t="s">
        <v>1512</v>
      </c>
      <c r="C371" s="5" t="s">
        <v>1513</v>
      </c>
      <c r="D371" s="5"/>
      <c r="E371" s="5" t="s">
        <v>557</v>
      </c>
      <c r="F371" s="5" t="s">
        <v>1505</v>
      </c>
      <c r="G371" s="5" t="s">
        <v>53</v>
      </c>
      <c r="H371" s="5" t="s">
        <v>1506</v>
      </c>
      <c r="I371" s="5" t="s">
        <v>20</v>
      </c>
      <c r="J371" s="5">
        <v>20.399999999999999</v>
      </c>
      <c r="K371" s="5" t="s">
        <v>21</v>
      </c>
      <c r="L371" s="5" t="s">
        <v>1514</v>
      </c>
      <c r="M371" s="5" t="s">
        <v>1508</v>
      </c>
      <c r="N371" s="7" t="str">
        <f>HYPERLINK("C:\Users\alexa\YandexDisk\Книги\Архитектура\Архитектура ПО\Architecture Modern Socio-technical alignment of software.pdf","Architecture Modern Socio-technical alignment of software.pdf")</f>
        <v>Architecture Modern Socio-technical alignment of software.pdf</v>
      </c>
      <c r="O371" s="5" t="s">
        <v>1515</v>
      </c>
    </row>
    <row r="372" spans="1:15" ht="220.8" x14ac:dyDescent="0.3">
      <c r="A372" s="2">
        <v>371</v>
      </c>
      <c r="B372" s="3" t="s">
        <v>1516</v>
      </c>
      <c r="C372" s="3" t="s">
        <v>1517</v>
      </c>
      <c r="D372" s="3" t="s">
        <v>17</v>
      </c>
      <c r="E372" s="3" t="s">
        <v>442</v>
      </c>
      <c r="F372" s="3" t="s">
        <v>1505</v>
      </c>
      <c r="G372" s="3" t="s">
        <v>53</v>
      </c>
      <c r="H372" s="3" t="s">
        <v>1506</v>
      </c>
      <c r="I372" s="3" t="s">
        <v>20</v>
      </c>
      <c r="J372" s="3">
        <v>11.73</v>
      </c>
      <c r="K372" s="3" t="s">
        <v>21</v>
      </c>
      <c r="L372" s="3" t="s">
        <v>1518</v>
      </c>
      <c r="M372" s="3" t="s">
        <v>1508</v>
      </c>
      <c r="N372" s="6" t="str">
        <f>HYPERLINK("C:\Users\alexa\YandexDisk\Книги\Архитектура\Архитектура ПО\Flow_Architectures_The_Future_of_Streaming_and_Event_Driven_Inte.pdf","Flow_Architectures_The_Future_of_Streaming_and_Event_Driven_Inte.pdf")</f>
        <v>Flow_Architectures_The_Future_of_Streaming_and_Event_Driven_Inte.pdf</v>
      </c>
      <c r="O372" s="3" t="s">
        <v>1519</v>
      </c>
    </row>
    <row r="373" spans="1:15" ht="193.2" x14ac:dyDescent="0.3">
      <c r="A373" s="4">
        <v>372</v>
      </c>
      <c r="B373" s="5" t="s">
        <v>1520</v>
      </c>
      <c r="C373" s="5" t="s">
        <v>1521</v>
      </c>
      <c r="D373" s="5" t="s">
        <v>27</v>
      </c>
      <c r="E373" s="5"/>
      <c r="F373" s="5" t="s">
        <v>1505</v>
      </c>
      <c r="G373" s="5" t="s">
        <v>53</v>
      </c>
      <c r="H373" s="5" t="s">
        <v>1506</v>
      </c>
      <c r="I373" s="5" t="s">
        <v>20</v>
      </c>
      <c r="J373" s="5">
        <v>5.07</v>
      </c>
      <c r="K373" s="5" t="s">
        <v>21</v>
      </c>
      <c r="L373" s="5" t="s">
        <v>1522</v>
      </c>
      <c r="M373" s="5" t="s">
        <v>1508</v>
      </c>
      <c r="N373" s="7" t="str">
        <f>HYPERLINK("C:\Users\alexa\YandexDisk\Книги\Архитектура\Архитектура ПО\Functional event-driven architecture.pdf","Functional event-driven architecture.pdf")</f>
        <v>Functional event-driven architecture.pdf</v>
      </c>
      <c r="O373" s="5" t="s">
        <v>1523</v>
      </c>
    </row>
    <row r="374" spans="1:15" ht="179.4" x14ac:dyDescent="0.3">
      <c r="A374" s="2">
        <v>373</v>
      </c>
      <c r="B374" s="3" t="s">
        <v>1524</v>
      </c>
      <c r="C374" s="3" t="s">
        <v>1525</v>
      </c>
      <c r="D374" s="3"/>
      <c r="E374" s="3"/>
      <c r="F374" s="3" t="s">
        <v>1505</v>
      </c>
      <c r="G374" s="3" t="s">
        <v>53</v>
      </c>
      <c r="H374" s="3" t="s">
        <v>1506</v>
      </c>
      <c r="I374" s="3" t="s">
        <v>20</v>
      </c>
      <c r="J374" s="3">
        <v>45.9</v>
      </c>
      <c r="K374" s="3" t="s">
        <v>21</v>
      </c>
      <c r="L374" s="3" t="s">
        <v>1526</v>
      </c>
      <c r="M374" s="3" t="s">
        <v>1508</v>
      </c>
      <c r="N374" s="6" t="str">
        <f>HYPERLINK("C:\Users\alexa\YandexDisk\Книги\Архитектура\Архитектура ПО\Head First Software Architecture_True.pdf","Head First Software Architecture_True.pdf")</f>
        <v>Head First Software Architecture_True.pdf</v>
      </c>
      <c r="O374" s="3" t="s">
        <v>1527</v>
      </c>
    </row>
    <row r="375" spans="1:15" ht="220.8" x14ac:dyDescent="0.3">
      <c r="A375" s="4">
        <v>374</v>
      </c>
      <c r="B375" s="5" t="s">
        <v>1524</v>
      </c>
      <c r="C375" s="5" t="s">
        <v>1528</v>
      </c>
      <c r="D375" s="5" t="s">
        <v>335</v>
      </c>
      <c r="E375" s="5" t="s">
        <v>336</v>
      </c>
      <c r="F375" s="5" t="s">
        <v>1505</v>
      </c>
      <c r="G375" s="5" t="s">
        <v>53</v>
      </c>
      <c r="H375" s="5" t="s">
        <v>1506</v>
      </c>
      <c r="I375" s="5" t="s">
        <v>20</v>
      </c>
      <c r="J375" s="5">
        <v>19.059999999999999</v>
      </c>
      <c r="K375" s="5" t="s">
        <v>21</v>
      </c>
      <c r="L375" s="5" t="s">
        <v>1529</v>
      </c>
      <c r="M375" s="5" t="s">
        <v>1508</v>
      </c>
      <c r="N375" s="7" t="str">
        <f>HYPERLINK("C:\Users\alexa\YandexDisk\Книги\Архитектура\Архитектура ПО\Head First. Архитектура ПО.pdf","Head First. Архитектура ПО.pdf")</f>
        <v>Head First. Архитектура ПО.pdf</v>
      </c>
      <c r="O375" s="5" t="s">
        <v>1530</v>
      </c>
    </row>
    <row r="376" spans="1:15" ht="193.2" x14ac:dyDescent="0.3">
      <c r="A376" s="2">
        <v>375</v>
      </c>
      <c r="B376" s="3" t="s">
        <v>1531</v>
      </c>
      <c r="C376" s="3"/>
      <c r="D376" s="3"/>
      <c r="E376" s="3"/>
      <c r="F376" s="3" t="s">
        <v>1505</v>
      </c>
      <c r="G376" s="3" t="s">
        <v>53</v>
      </c>
      <c r="H376" s="3" t="s">
        <v>1506</v>
      </c>
      <c r="I376" s="3" t="s">
        <v>20</v>
      </c>
      <c r="J376" s="3">
        <v>0.42</v>
      </c>
      <c r="K376" s="3" t="s">
        <v>21</v>
      </c>
      <c r="L376" s="3" t="s">
        <v>1532</v>
      </c>
      <c r="M376" s="3" t="s">
        <v>1508</v>
      </c>
      <c r="N376" s="6" t="str">
        <f>HYPERLINK("C:\Users\alexa\YandexDisk\Книги\Архитектура\Архитектура ПО\Infographic DDD enterp 16_9.pdf","Infographic DDD enterp 16_9.pdf")</f>
        <v>Infographic DDD enterp 16_9.pdf</v>
      </c>
      <c r="O376" s="3" t="s">
        <v>1533</v>
      </c>
    </row>
    <row r="377" spans="1:15" ht="193.2" x14ac:dyDescent="0.3">
      <c r="A377" s="4">
        <v>376</v>
      </c>
      <c r="B377" s="5" t="s">
        <v>1534</v>
      </c>
      <c r="C377" s="5" t="s">
        <v>1535</v>
      </c>
      <c r="D377" s="5"/>
      <c r="E377" s="5"/>
      <c r="F377" s="5" t="s">
        <v>1505</v>
      </c>
      <c r="G377" s="5" t="s">
        <v>53</v>
      </c>
      <c r="H377" s="5" t="s">
        <v>1506</v>
      </c>
      <c r="I377" s="5" t="s">
        <v>20</v>
      </c>
      <c r="J377" s="5">
        <v>17.920000000000002</v>
      </c>
      <c r="K377" s="5" t="s">
        <v>21</v>
      </c>
      <c r="L377" s="5" t="s">
        <v>1536</v>
      </c>
      <c r="M377" s="5" t="s">
        <v>1508</v>
      </c>
      <c r="N377" s="7" t="str">
        <f>HYPERLINK("C:\Users\alexa\YandexDisk\Книги\Архитектура\Архитектура ПО\Smart_Trajectories_Metamodeling_Reactive_Architecture.pdf","Smart_Trajectories_Metamodeling_Reactive_Architecture.pdf")</f>
        <v>Smart_Trajectories_Metamodeling_Reactive_Architecture.pdf</v>
      </c>
      <c r="O377" s="5" t="s">
        <v>1537</v>
      </c>
    </row>
    <row r="378" spans="1:15" ht="138" x14ac:dyDescent="0.3">
      <c r="A378" s="2">
        <v>377</v>
      </c>
      <c r="B378" s="3" t="s">
        <v>1538</v>
      </c>
      <c r="C378" s="3" t="s">
        <v>1539</v>
      </c>
      <c r="D378" s="3"/>
      <c r="E378" s="3"/>
      <c r="F378" s="3" t="s">
        <v>1505</v>
      </c>
      <c r="G378" s="3" t="s">
        <v>53</v>
      </c>
      <c r="H378" s="3" t="s">
        <v>1506</v>
      </c>
      <c r="I378" s="3" t="s">
        <v>20</v>
      </c>
      <c r="J378" s="3">
        <v>9.9600000000000009</v>
      </c>
      <c r="K378" s="3" t="s">
        <v>21</v>
      </c>
      <c r="L378" s="3" t="s">
        <v>1540</v>
      </c>
      <c r="M378" s="3" t="s">
        <v>1508</v>
      </c>
      <c r="N378" s="6" t="str">
        <f>HYPERLINK("C:\Users\alexa\YandexDisk\Книги\Архитектура\Архитектура ПО\Software Architect.pdf","Software Architect.pdf")</f>
        <v>Software Architect.pdf</v>
      </c>
      <c r="O378" s="3" t="s">
        <v>1541</v>
      </c>
    </row>
    <row r="379" spans="1:15" ht="193.2" x14ac:dyDescent="0.3">
      <c r="A379" s="4">
        <v>378</v>
      </c>
      <c r="B379" s="5" t="s">
        <v>1542</v>
      </c>
      <c r="C379" s="5" t="s">
        <v>1543</v>
      </c>
      <c r="D379" s="5"/>
      <c r="E379" s="5"/>
      <c r="F379" s="5" t="s">
        <v>1505</v>
      </c>
      <c r="G379" s="5" t="s">
        <v>53</v>
      </c>
      <c r="H379" s="5" t="s">
        <v>1506</v>
      </c>
      <c r="I379" s="5" t="s">
        <v>280</v>
      </c>
      <c r="J379" s="5">
        <v>37.909999999999997</v>
      </c>
      <c r="K379" s="5" t="s">
        <v>21</v>
      </c>
      <c r="L379" s="5" t="s">
        <v>1544</v>
      </c>
      <c r="M379" s="5" t="s">
        <v>1508</v>
      </c>
      <c r="N379" s="7" t="str">
        <f>HYPERLINK("C:\Users\alexa\YandexDisk\Книги\Архитектура\Архитектура ПО\The_Fundamentals_Of_Event_Driven_Architecture_Using_Apache_Kafka.epub","The_Fundamentals_Of_Event_Driven_Architecture_Using_Apache_Kafka.epub")</f>
        <v>The_Fundamentals_Of_Event_Driven_Architecture_Using_Apache_Kafka.epub</v>
      </c>
      <c r="O379" s="5" t="s">
        <v>1545</v>
      </c>
    </row>
    <row r="380" spans="1:15" ht="138" x14ac:dyDescent="0.3">
      <c r="A380" s="2">
        <v>379</v>
      </c>
      <c r="B380" s="3" t="s">
        <v>1546</v>
      </c>
      <c r="C380" s="3"/>
      <c r="D380" s="3" t="s">
        <v>172</v>
      </c>
      <c r="E380" s="3"/>
      <c r="F380" s="3" t="s">
        <v>1505</v>
      </c>
      <c r="G380" s="3" t="s">
        <v>53</v>
      </c>
      <c r="H380" s="3" t="s">
        <v>1506</v>
      </c>
      <c r="I380" s="3" t="s">
        <v>20</v>
      </c>
      <c r="J380" s="3">
        <v>41.83</v>
      </c>
      <c r="K380" s="3" t="s">
        <v>21</v>
      </c>
      <c r="L380" s="3" t="s">
        <v>1547</v>
      </c>
      <c r="M380" s="3" t="s">
        <v>1508</v>
      </c>
      <c r="N380" s="6" t="str">
        <f>HYPERLINK("C:\Users\alexa\YandexDisk\Книги\Архитектура\Архитектура ПО\Архитектура программного обеспечения на практике  2006.pdf","Архитектура программного обеспечения на практике  2006.pdf")</f>
        <v>Архитектура программного обеспечения на практике  2006.pdf</v>
      </c>
      <c r="O380" s="3" t="s">
        <v>1548</v>
      </c>
    </row>
    <row r="381" spans="1:15" ht="151.80000000000001" x14ac:dyDescent="0.3">
      <c r="A381" s="4">
        <v>380</v>
      </c>
      <c r="B381" s="5" t="s">
        <v>1549</v>
      </c>
      <c r="C381" s="5" t="s">
        <v>1550</v>
      </c>
      <c r="D381" s="5" t="s">
        <v>59</v>
      </c>
      <c r="E381" s="5" t="s">
        <v>296</v>
      </c>
      <c r="F381" s="5" t="s">
        <v>1505</v>
      </c>
      <c r="G381" s="5" t="s">
        <v>53</v>
      </c>
      <c r="H381" s="5" t="s">
        <v>1506</v>
      </c>
      <c r="I381" s="5" t="s">
        <v>20</v>
      </c>
      <c r="J381" s="5">
        <v>1.48</v>
      </c>
      <c r="K381" s="5" t="s">
        <v>21</v>
      </c>
      <c r="L381" s="5" t="s">
        <v>1551</v>
      </c>
      <c r="M381" s="5" t="s">
        <v>1508</v>
      </c>
      <c r="N381" s="7" t="str">
        <f>HYPERLINK("C:\Users\alexa\YandexDisk\Книги\Архитектура\Архитектура ПО\Архитектура сложных Веб-приложений.pdf","Архитектура сложных Веб-приложений.pdf")</f>
        <v>Архитектура сложных Веб-приложений.pdf</v>
      </c>
      <c r="O381" s="5" t="s">
        <v>1552</v>
      </c>
    </row>
    <row r="382" spans="1:15" ht="179.4" x14ac:dyDescent="0.3">
      <c r="A382" s="2">
        <v>381</v>
      </c>
      <c r="B382" s="3" t="s">
        <v>1546</v>
      </c>
      <c r="C382" s="3"/>
      <c r="D382" s="3"/>
      <c r="E382" s="3"/>
      <c r="F382" s="3" t="s">
        <v>1505</v>
      </c>
      <c r="G382" s="3" t="s">
        <v>53</v>
      </c>
      <c r="H382" s="3" t="s">
        <v>1506</v>
      </c>
      <c r="I382" s="3" t="s">
        <v>20</v>
      </c>
      <c r="J382" s="3">
        <v>9.7100000000000009</v>
      </c>
      <c r="K382" s="3" t="s">
        <v>21</v>
      </c>
      <c r="L382" s="3" t="s">
        <v>1553</v>
      </c>
      <c r="M382" s="3" t="s">
        <v>1508</v>
      </c>
      <c r="N382" s="6" t="str">
        <f>HYPERLINK("C:\Users\alexa\YandexDisk\Книги\Архитектура\Архитектура ПО\Архитектура_программного_обеспечения_на_практике.pdf","Архитектура_программного_обеспечения_на_практике.pdf")</f>
        <v>Архитектура_программного_обеспечения_на_практике.pdf</v>
      </c>
      <c r="O382" s="3" t="s">
        <v>1554</v>
      </c>
    </row>
    <row r="383" spans="1:15" ht="124.2" x14ac:dyDescent="0.3">
      <c r="A383" s="4">
        <v>382</v>
      </c>
      <c r="B383" s="5" t="s">
        <v>1555</v>
      </c>
      <c r="C383" s="5"/>
      <c r="D383" s="5"/>
      <c r="E383" s="5"/>
      <c r="F383" s="5" t="s">
        <v>1505</v>
      </c>
      <c r="G383" s="5" t="s">
        <v>53</v>
      </c>
      <c r="H383" s="5" t="s">
        <v>1506</v>
      </c>
      <c r="I383" s="5" t="s">
        <v>20</v>
      </c>
      <c r="J383" s="5">
        <v>66.489999999999995</v>
      </c>
      <c r="K383" s="5" t="s">
        <v>21</v>
      </c>
      <c r="L383" s="5" t="s">
        <v>1556</v>
      </c>
      <c r="M383" s="5" t="s">
        <v>1508</v>
      </c>
      <c r="N383" s="7" t="str">
        <f>HYPERLINK("C:\Users\alexa\YandexDisk\Книги\Архитектура\Архитектура ПО\Введение в архитектуру ПО.pdf","Введение в архитектуру ПО.pdf")</f>
        <v>Введение в архитектуру ПО.pdf</v>
      </c>
      <c r="O383" s="5" t="s">
        <v>1557</v>
      </c>
    </row>
    <row r="384" spans="1:15" ht="165.6" x14ac:dyDescent="0.3">
      <c r="A384" s="2">
        <v>383</v>
      </c>
      <c r="B384" s="3" t="s">
        <v>1558</v>
      </c>
      <c r="C384" s="3" t="s">
        <v>1559</v>
      </c>
      <c r="D384" s="3" t="s">
        <v>1560</v>
      </c>
      <c r="E384" s="3" t="s">
        <v>92</v>
      </c>
      <c r="F384" s="3" t="s">
        <v>1505</v>
      </c>
      <c r="G384" s="3" t="s">
        <v>53</v>
      </c>
      <c r="H384" s="3" t="s">
        <v>1506</v>
      </c>
      <c r="I384" s="3" t="s">
        <v>20</v>
      </c>
      <c r="J384" s="3">
        <v>31.25</v>
      </c>
      <c r="K384" s="3" t="s">
        <v>21</v>
      </c>
      <c r="L384" s="3" t="s">
        <v>1561</v>
      </c>
      <c r="M384" s="3" t="s">
        <v>1508</v>
      </c>
      <c r="N384" s="6" t="str">
        <f>HYPERLINK("C:\Users\alexa\YandexDisk\Книги\Архитектура\Архитектура ПО\Вульф Хоп Шаблоны интеграции корпоративных приложений.pdf","Вульф Хоп Шаблоны интеграции корпоративных приложений.pdf")</f>
        <v>Вульф Хоп Шаблоны интеграции корпоративных приложений.pdf</v>
      </c>
      <c r="O384" s="3" t="s">
        <v>1562</v>
      </c>
    </row>
    <row r="385" spans="1:15" ht="193.2" x14ac:dyDescent="0.3">
      <c r="A385" s="4">
        <v>384</v>
      </c>
      <c r="B385" s="5" t="s">
        <v>1563</v>
      </c>
      <c r="C385" s="5" t="s">
        <v>1564</v>
      </c>
      <c r="D385" s="5" t="s">
        <v>1565</v>
      </c>
      <c r="E385" s="5" t="s">
        <v>1566</v>
      </c>
      <c r="F385" s="5" t="s">
        <v>1505</v>
      </c>
      <c r="G385" s="5" t="s">
        <v>53</v>
      </c>
      <c r="H385" s="5" t="s">
        <v>1506</v>
      </c>
      <c r="I385" s="5" t="s">
        <v>20</v>
      </c>
      <c r="J385" s="5">
        <v>10.72</v>
      </c>
      <c r="K385" s="5" t="s">
        <v>21</v>
      </c>
      <c r="L385" s="5" t="s">
        <v>1567</v>
      </c>
      <c r="M385" s="5" t="s">
        <v>1508</v>
      </c>
      <c r="N385" s="7" t="str">
        <f>HYPERLINK("C:\Users\alexa\YandexDisk\Книги\Архитектура\Архитектура ПО\Информационная архитектура в Интернете.pdf","Информационная архитектура в Интернете.pdf")</f>
        <v>Информационная архитектура в Интернете.pdf</v>
      </c>
      <c r="O385" s="5" t="s">
        <v>1568</v>
      </c>
    </row>
    <row r="386" spans="1:15" ht="151.80000000000001" x14ac:dyDescent="0.3">
      <c r="A386" s="2">
        <v>385</v>
      </c>
      <c r="B386" s="3" t="s">
        <v>1569</v>
      </c>
      <c r="C386" s="3" t="s">
        <v>1570</v>
      </c>
      <c r="D386" s="3" t="s">
        <v>71</v>
      </c>
      <c r="E386" s="3" t="s">
        <v>102</v>
      </c>
      <c r="F386" s="3" t="s">
        <v>1505</v>
      </c>
      <c r="G386" s="3" t="s">
        <v>53</v>
      </c>
      <c r="H386" s="3" t="s">
        <v>1506</v>
      </c>
      <c r="I386" s="3" t="s">
        <v>20</v>
      </c>
      <c r="J386" s="3">
        <v>10.57</v>
      </c>
      <c r="K386" s="3" t="s">
        <v>21</v>
      </c>
      <c r="L386" s="3" t="s">
        <v>1571</v>
      </c>
      <c r="M386" s="3" t="s">
        <v>1508</v>
      </c>
      <c r="N386" s="6" t="str">
        <f>HYPERLINK("C:\Users\alexa\YandexDisk\Книги\Архитектура\Архитектура ПО\Искусство_неизменяемой_архитектуры.pdf","Искусство_неизменяемой_архитектуры.pdf")</f>
        <v>Искусство_неизменяемой_архитектуры.pdf</v>
      </c>
      <c r="O386" s="3" t="s">
        <v>1572</v>
      </c>
    </row>
    <row r="387" spans="1:15" ht="151.80000000000001" x14ac:dyDescent="0.3">
      <c r="A387" s="4">
        <v>386</v>
      </c>
      <c r="B387" s="5" t="s">
        <v>1573</v>
      </c>
      <c r="C387" s="5" t="s">
        <v>1574</v>
      </c>
      <c r="D387" s="5" t="s">
        <v>59</v>
      </c>
      <c r="E387" s="5" t="s">
        <v>18</v>
      </c>
      <c r="F387" s="5" t="s">
        <v>1505</v>
      </c>
      <c r="G387" s="5" t="s">
        <v>53</v>
      </c>
      <c r="H387" s="5" t="s">
        <v>1506</v>
      </c>
      <c r="I387" s="5" t="s">
        <v>20</v>
      </c>
      <c r="J387" s="5">
        <v>4.99</v>
      </c>
      <c r="K387" s="5" t="s">
        <v>21</v>
      </c>
      <c r="L387" s="5" t="s">
        <v>1575</v>
      </c>
      <c r="M387" s="5" t="s">
        <v>1508</v>
      </c>
      <c r="N387" s="7" t="str">
        <f>HYPERLINK("C:\Users\alexa\YandexDisk\Книги\Архитектура\Архитектура ПО\Непрерывное_развитие_API_Правильные_решения_в_изменчивом_технологическом.pdf","Непрерывное_развитие_API_Правильные_решения_в_изменчивом_технологическом.pdf")</f>
        <v>Непрерывное_развитие_API_Правильные_решения_в_изменчивом_технологическом.pdf</v>
      </c>
      <c r="O387" s="5" t="s">
        <v>1576</v>
      </c>
    </row>
    <row r="388" spans="1:15" ht="165.6" x14ac:dyDescent="0.3">
      <c r="A388" s="2">
        <v>387</v>
      </c>
      <c r="B388" s="3" t="s">
        <v>1577</v>
      </c>
      <c r="C388" s="3" t="s">
        <v>1578</v>
      </c>
      <c r="D388" s="3" t="s">
        <v>27</v>
      </c>
      <c r="E388" s="3" t="s">
        <v>18</v>
      </c>
      <c r="F388" s="3" t="s">
        <v>1505</v>
      </c>
      <c r="G388" s="3" t="s">
        <v>53</v>
      </c>
      <c r="H388" s="3" t="s">
        <v>1506</v>
      </c>
      <c r="I388" s="3" t="s">
        <v>20</v>
      </c>
      <c r="J388" s="3">
        <v>12.35</v>
      </c>
      <c r="K388" s="3" t="s">
        <v>21</v>
      </c>
      <c r="L388" s="3" t="s">
        <v>1579</v>
      </c>
      <c r="M388" s="3" t="s">
        <v>1508</v>
      </c>
      <c r="N388" s="6" t="str">
        <f>HYPERLINK("C:\Users\alexa\YandexDisk\Книги\Архитектура\Архитектура ПО\Современный подход к программной архитектуре сложные компромиссы.pdf","Современный подход к программной архитектуре сложные компромиссы.pdf")</f>
        <v>Современный подход к программной архитектуре сложные компромиссы.pdf</v>
      </c>
      <c r="O388" s="3" t="s">
        <v>1580</v>
      </c>
    </row>
    <row r="389" spans="1:15" ht="193.2" x14ac:dyDescent="0.3">
      <c r="A389" s="4">
        <v>388</v>
      </c>
      <c r="B389" s="5" t="s">
        <v>1503</v>
      </c>
      <c r="C389" s="5" t="s">
        <v>1581</v>
      </c>
      <c r="D389" s="5" t="s">
        <v>27</v>
      </c>
      <c r="E389" s="5" t="s">
        <v>18</v>
      </c>
      <c r="F389" s="5" t="s">
        <v>1505</v>
      </c>
      <c r="G389" s="5" t="s">
        <v>53</v>
      </c>
      <c r="H389" s="5" t="s">
        <v>1506</v>
      </c>
      <c r="I389" s="5" t="s">
        <v>20</v>
      </c>
      <c r="J389" s="5">
        <v>9.44</v>
      </c>
      <c r="K389" s="5" t="s">
        <v>21</v>
      </c>
      <c r="L389" s="5" t="s">
        <v>1582</v>
      </c>
      <c r="M389" s="5" t="s">
        <v>1508</v>
      </c>
      <c r="N389" s="7" t="str">
        <f>HYPERLINK("C:\Users\alexa\YandexDisk\Книги\Архитектура\Архитектура ПО\Фундаментальный подход к программной архитектуре.pdf","Фундаментальный подход к программной архитектуре.pdf")</f>
        <v>Фундаментальный подход к программной архитектуре.pdf</v>
      </c>
      <c r="O389" s="5" t="s">
        <v>1583</v>
      </c>
    </row>
    <row r="390" spans="1:15" ht="165.6" x14ac:dyDescent="0.3">
      <c r="A390" s="2">
        <v>389</v>
      </c>
      <c r="B390" s="3" t="s">
        <v>1584</v>
      </c>
      <c r="C390" s="3" t="s">
        <v>1585</v>
      </c>
      <c r="D390" s="3" t="s">
        <v>32</v>
      </c>
      <c r="E390" s="3" t="s">
        <v>18</v>
      </c>
      <c r="F390" s="3" t="s">
        <v>1505</v>
      </c>
      <c r="G390" s="3" t="s">
        <v>53</v>
      </c>
      <c r="H390" s="3" t="s">
        <v>1506</v>
      </c>
      <c r="I390" s="3" t="s">
        <v>20</v>
      </c>
      <c r="J390" s="3">
        <v>12.02</v>
      </c>
      <c r="K390" s="3" t="s">
        <v>21</v>
      </c>
      <c r="L390" s="3" t="s">
        <v>1586</v>
      </c>
      <c r="M390" s="3" t="s">
        <v>1508</v>
      </c>
      <c r="N390" s="6" t="str">
        <f>HYPERLINK("C:\Users\alexa\YandexDisk\Книги\Архитектура\Архитектура ПО\Чистая_архитектура_Искусство_разработки_программного_обеспечения.pdf","Чистая_архитектура_Искусство_разработки_программного_обеспечения.pdf")</f>
        <v>Чистая_архитектура_Искусство_разработки_программного_обеспечения.pdf</v>
      </c>
      <c r="O390" s="3" t="s">
        <v>1587</v>
      </c>
    </row>
    <row r="391" spans="1:15" ht="165.6" x14ac:dyDescent="0.3">
      <c r="A391" s="4">
        <v>390</v>
      </c>
      <c r="B391" s="5" t="s">
        <v>1588</v>
      </c>
      <c r="C391" s="5" t="s">
        <v>1589</v>
      </c>
      <c r="D391" s="5" t="s">
        <v>109</v>
      </c>
      <c r="E391" s="5" t="s">
        <v>336</v>
      </c>
      <c r="F391" s="5" t="s">
        <v>1505</v>
      </c>
      <c r="G391" s="5" t="s">
        <v>53</v>
      </c>
      <c r="H391" s="5" t="s">
        <v>1506</v>
      </c>
      <c r="I391" s="5" t="s">
        <v>20</v>
      </c>
      <c r="J391" s="5">
        <v>4.32</v>
      </c>
      <c r="K391" s="5" t="s">
        <v>21</v>
      </c>
      <c r="L391" s="5" t="s">
        <v>1590</v>
      </c>
      <c r="M391" s="5" t="s">
        <v>1508</v>
      </c>
      <c r="N391" s="7" t="str">
        <f>HYPERLINK("C:\Users\alexa\YandexDisk\Книги\Архитектура\Архитектура ПО\Чистый дизайн.pdf","Чистый дизайн.pdf")</f>
        <v>Чистый дизайн.pdf</v>
      </c>
      <c r="O391" s="5" t="s">
        <v>1591</v>
      </c>
    </row>
    <row r="392" spans="1:15" ht="179.4" x14ac:dyDescent="0.3">
      <c r="A392" s="2">
        <v>391</v>
      </c>
      <c r="B392" s="3" t="s">
        <v>1592</v>
      </c>
      <c r="C392" s="3" t="s">
        <v>1593</v>
      </c>
      <c r="D392" s="3" t="s">
        <v>109</v>
      </c>
      <c r="E392" s="3" t="s">
        <v>336</v>
      </c>
      <c r="F392" s="3" t="s">
        <v>1505</v>
      </c>
      <c r="G392" s="3" t="s">
        <v>53</v>
      </c>
      <c r="H392" s="3" t="s">
        <v>1506</v>
      </c>
      <c r="I392" s="3" t="s">
        <v>20</v>
      </c>
      <c r="J392" s="3">
        <v>7.01</v>
      </c>
      <c r="K392" s="3" t="s">
        <v>21</v>
      </c>
      <c r="L392" s="3" t="s">
        <v>1594</v>
      </c>
      <c r="M392" s="3" t="s">
        <v>1508</v>
      </c>
      <c r="N392" s="6" t="str">
        <f>HYPERLINK("C:\Users\alexa\YandexDisk\Книги\Архитектура\Архитектура ПО\Эволюционная архитектура.pdf","Эволюционная архитектура.pdf")</f>
        <v>Эволюционная архитектура.pdf</v>
      </c>
      <c r="O392" s="3" t="s">
        <v>1595</v>
      </c>
    </row>
    <row r="393" spans="1:15" ht="179.4" x14ac:dyDescent="0.3">
      <c r="A393" s="4">
        <v>392</v>
      </c>
      <c r="B393" s="5" t="s">
        <v>1596</v>
      </c>
      <c r="C393" s="5" t="s">
        <v>1597</v>
      </c>
      <c r="D393" s="5" t="s">
        <v>335</v>
      </c>
      <c r="E393" s="5" t="s">
        <v>336</v>
      </c>
      <c r="F393" s="5" t="s">
        <v>52</v>
      </c>
      <c r="G393" s="5" t="s">
        <v>53</v>
      </c>
      <c r="H393" s="5" t="s">
        <v>54</v>
      </c>
      <c r="I393" s="5" t="s">
        <v>20</v>
      </c>
      <c r="J393" s="5">
        <v>2.57</v>
      </c>
      <c r="K393" s="5" t="s">
        <v>21</v>
      </c>
      <c r="L393" s="5" t="s">
        <v>1598</v>
      </c>
      <c r="M393" s="5" t="s">
        <v>1599</v>
      </c>
      <c r="N393" s="7" t="str">
        <f>HYPERLINK("C:\Users\alexa\YandexDisk\Книги\Архитектура\Архитеткура распределенных систем\Распределенные системы.pdf","Распределенные системы.pdf")</f>
        <v>Распределенные системы.pdf</v>
      </c>
      <c r="O393" s="5" t="s">
        <v>1600</v>
      </c>
    </row>
    <row r="394" spans="1:15" ht="207" x14ac:dyDescent="0.3">
      <c r="A394" s="2">
        <v>393</v>
      </c>
      <c r="B394" s="3" t="s">
        <v>1601</v>
      </c>
      <c r="C394" s="3" t="s">
        <v>1602</v>
      </c>
      <c r="D394" s="3" t="s">
        <v>77</v>
      </c>
      <c r="E394" s="3" t="s">
        <v>18</v>
      </c>
      <c r="F394" s="3" t="s">
        <v>52</v>
      </c>
      <c r="G394" s="3" t="s">
        <v>53</v>
      </c>
      <c r="H394" s="3" t="s">
        <v>54</v>
      </c>
      <c r="I394" s="3" t="s">
        <v>20</v>
      </c>
      <c r="J394" s="3">
        <v>4.4000000000000004</v>
      </c>
      <c r="K394" s="3" t="s">
        <v>21</v>
      </c>
      <c r="L394" s="3" t="s">
        <v>1603</v>
      </c>
      <c r="M394" s="3" t="s">
        <v>1599</v>
      </c>
      <c r="N394" s="6" t="str">
        <f>HYPERLINK("C:\Users\alexa\YandexDisk\Книги\Архитектура\Архитеткура распределенных систем\Распределенные_системы_Паттерны_проектирования.pdf","Распределенные_системы_Паттерны_проектирования.pdf")</f>
        <v>Распределенные_системы_Паттерны_проектирования.pdf</v>
      </c>
      <c r="O394" s="3" t="s">
        <v>1604</v>
      </c>
    </row>
    <row r="395" spans="1:15" ht="179.4" x14ac:dyDescent="0.3">
      <c r="A395" s="4">
        <v>394</v>
      </c>
      <c r="B395" s="5" t="s">
        <v>1605</v>
      </c>
      <c r="C395" s="5" t="s">
        <v>1606</v>
      </c>
      <c r="D395" s="5" t="s">
        <v>186</v>
      </c>
      <c r="E395" s="5" t="s">
        <v>1607</v>
      </c>
      <c r="F395" s="5" t="s">
        <v>1608</v>
      </c>
      <c r="G395" s="5" t="s">
        <v>53</v>
      </c>
      <c r="H395" s="5" t="s">
        <v>1609</v>
      </c>
      <c r="I395" s="5" t="s">
        <v>20</v>
      </c>
      <c r="J395" s="5">
        <v>24.11</v>
      </c>
      <c r="K395" s="5" t="s">
        <v>21</v>
      </c>
      <c r="L395" s="5" t="s">
        <v>1610</v>
      </c>
      <c r="M395" s="5" t="s">
        <v>1611</v>
      </c>
      <c r="N395" s="7" t="str">
        <f>HYPERLINK("C:\Users\alexa\YandexDisk\Книги\Архитектура\Дизайн\Философия дизайна Германа Цапфа.pdf","Философия дизайна Германа Цапфа.pdf")</f>
        <v>Философия дизайна Германа Цапфа.pdf</v>
      </c>
      <c r="O395" s="5" t="s">
        <v>1612</v>
      </c>
    </row>
    <row r="396" spans="1:15" ht="276" x14ac:dyDescent="0.3">
      <c r="A396" s="2">
        <v>395</v>
      </c>
      <c r="B396" s="3" t="s">
        <v>1613</v>
      </c>
      <c r="C396" s="3" t="s">
        <v>1614</v>
      </c>
      <c r="D396" s="3"/>
      <c r="E396" s="3"/>
      <c r="F396" s="3" t="s">
        <v>1608</v>
      </c>
      <c r="G396" s="3" t="s">
        <v>53</v>
      </c>
      <c r="H396" s="3" t="s">
        <v>1609</v>
      </c>
      <c r="I396" s="3" t="s">
        <v>20</v>
      </c>
      <c r="J396" s="3">
        <v>2.1800000000000002</v>
      </c>
      <c r="K396" s="3" t="s">
        <v>21</v>
      </c>
      <c r="L396" s="3" t="s">
        <v>1615</v>
      </c>
      <c r="M396" s="3" t="s">
        <v>1611</v>
      </c>
      <c r="N396" s="6" t="str">
        <f>HYPERLINK("C:\Users\alexa\YandexDisk\Книги\Архитектура\Дизайн\Эмоциональный_веб_дизайн.pdf","Эмоциональный_веб_дизайн.pdf")</f>
        <v>Эмоциональный_веб_дизайн.pdf</v>
      </c>
      <c r="O396" s="3" t="s">
        <v>1616</v>
      </c>
    </row>
    <row r="397" spans="1:15" ht="165.6" x14ac:dyDescent="0.3">
      <c r="A397" s="4">
        <v>396</v>
      </c>
      <c r="B397" s="5" t="s">
        <v>1617</v>
      </c>
      <c r="C397" s="5" t="s">
        <v>1618</v>
      </c>
      <c r="D397" s="5" t="s">
        <v>71</v>
      </c>
      <c r="E397" s="5" t="s">
        <v>442</v>
      </c>
      <c r="F397" s="5" t="s">
        <v>1619</v>
      </c>
      <c r="G397" s="5" t="s">
        <v>53</v>
      </c>
      <c r="H397" s="5" t="s">
        <v>1620</v>
      </c>
      <c r="I397" s="5" t="s">
        <v>20</v>
      </c>
      <c r="J397" s="5">
        <v>4.47</v>
      </c>
      <c r="K397" s="5" t="s">
        <v>21</v>
      </c>
      <c r="L397" s="5" t="s">
        <v>1621</v>
      </c>
      <c r="M397" s="5" t="s">
        <v>1622</v>
      </c>
      <c r="N397" s="7" t="str">
        <f>HYPERLINK("C:\Users\alexa\YandexDisk\Книги\Архитектура\Интеграция сиcтем (API)\Mastering_API_Architecture_Third_Early_Release_James_Gough,_Daniel.pdf","Mastering_API_Architecture_Third_Early_Release_James_Gough,_Daniel.pdf")</f>
        <v>Mastering_API_Architecture_Third_Early_Release_James_Gough,_Daniel.pdf</v>
      </c>
      <c r="O397" s="5" t="s">
        <v>1623</v>
      </c>
    </row>
    <row r="398" spans="1:15" ht="193.2" x14ac:dyDescent="0.3">
      <c r="A398" s="2">
        <v>397</v>
      </c>
      <c r="B398" s="3" t="s">
        <v>1617</v>
      </c>
      <c r="C398" s="3" t="s">
        <v>1618</v>
      </c>
      <c r="D398" s="3" t="s">
        <v>109</v>
      </c>
      <c r="E398" s="3" t="s">
        <v>515</v>
      </c>
      <c r="F398" s="3" t="s">
        <v>1619</v>
      </c>
      <c r="G398" s="3" t="s">
        <v>53</v>
      </c>
      <c r="H398" s="3" t="s">
        <v>1620</v>
      </c>
      <c r="I398" s="3" t="s">
        <v>20</v>
      </c>
      <c r="J398" s="3">
        <v>12.14</v>
      </c>
      <c r="K398" s="3" t="s">
        <v>21</v>
      </c>
      <c r="L398" s="3" t="s">
        <v>1624</v>
      </c>
      <c r="M398" s="3" t="s">
        <v>1622</v>
      </c>
      <c r="N398" s="6" t="str">
        <f>HYPERLINK("C:\Users\alexa\YandexDisk\Книги\Архитектура\Интеграция сиcтем (API)\Проектирование архитектуры API.pdf","Проектирование архитектуры API.pdf")</f>
        <v>Проектирование архитектуры API.pdf</v>
      </c>
      <c r="O398" s="3" t="s">
        <v>1625</v>
      </c>
    </row>
    <row r="399" spans="1:15" ht="138" x14ac:dyDescent="0.3">
      <c r="A399" s="4">
        <v>398</v>
      </c>
      <c r="B399" s="5" t="s">
        <v>1626</v>
      </c>
      <c r="C399" s="5"/>
      <c r="D399" s="5"/>
      <c r="E399" s="5" t="s">
        <v>102</v>
      </c>
      <c r="F399" s="5" t="s">
        <v>1619</v>
      </c>
      <c r="G399" s="5" t="s">
        <v>53</v>
      </c>
      <c r="H399" s="5" t="s">
        <v>1620</v>
      </c>
      <c r="I399" s="5" t="s">
        <v>20</v>
      </c>
      <c r="J399" s="5">
        <v>7.08</v>
      </c>
      <c r="K399" s="5" t="s">
        <v>21</v>
      </c>
      <c r="L399" s="5" t="s">
        <v>1627</v>
      </c>
      <c r="M399" s="5" t="s">
        <v>1622</v>
      </c>
      <c r="N399" s="7" t="str">
        <f>HYPERLINK("C:\Users\alexa\YandexDisk\Книги\Архитектура\Интеграция сиcтем (API)\Проектирование веб-API.pdf","Проектирование веб-API.pdf")</f>
        <v>Проектирование веб-API.pdf</v>
      </c>
      <c r="O399" s="5" t="s">
        <v>1628</v>
      </c>
    </row>
    <row r="400" spans="1:15" ht="179.4" x14ac:dyDescent="0.3">
      <c r="A400" s="2">
        <v>399</v>
      </c>
      <c r="B400" s="3" t="s">
        <v>1629</v>
      </c>
      <c r="C400" s="3" t="s">
        <v>1630</v>
      </c>
      <c r="D400" s="3" t="s">
        <v>71</v>
      </c>
      <c r="E400" s="3" t="s">
        <v>205</v>
      </c>
      <c r="F400" s="3" t="s">
        <v>1619</v>
      </c>
      <c r="G400" s="3" t="s">
        <v>53</v>
      </c>
      <c r="H400" s="3" t="s">
        <v>1620</v>
      </c>
      <c r="I400" s="3" t="s">
        <v>20</v>
      </c>
      <c r="J400" s="3">
        <v>5.98</v>
      </c>
      <c r="K400" s="3" t="s">
        <v>21</v>
      </c>
      <c r="L400" s="3" t="s">
        <v>1631</v>
      </c>
      <c r="M400" s="3" t="s">
        <v>1622</v>
      </c>
      <c r="N400" s="6" t="str">
        <f>HYPERLINK("C:\Users\alexa\YandexDisk\Книги\Архитектура\Интеграция сиcтем (API)\Создание веб-API Python с помощью FastAPI.pdf","Создание веб-API Python с помощью FastAPI.pdf")</f>
        <v>Создание веб-API Python с помощью FastAPI.pdf</v>
      </c>
      <c r="O400" s="3" t="s">
        <v>1632</v>
      </c>
    </row>
    <row r="401" spans="1:15" ht="234.6" x14ac:dyDescent="0.3">
      <c r="A401" s="4">
        <v>400</v>
      </c>
      <c r="B401" s="5" t="s">
        <v>1633</v>
      </c>
      <c r="C401" s="5" t="s">
        <v>1634</v>
      </c>
      <c r="D401" s="5" t="s">
        <v>17</v>
      </c>
      <c r="E401" s="5" t="s">
        <v>260</v>
      </c>
      <c r="F401" s="5" t="s">
        <v>1635</v>
      </c>
      <c r="G401" s="5" t="s">
        <v>53</v>
      </c>
      <c r="H401" s="5" t="s">
        <v>1636</v>
      </c>
      <c r="I401" s="5" t="s">
        <v>20</v>
      </c>
      <c r="J401" s="5">
        <v>15.57</v>
      </c>
      <c r="K401" s="5" t="s">
        <v>21</v>
      </c>
      <c r="L401" s="5" t="s">
        <v>1637</v>
      </c>
      <c r="M401" s="5" t="s">
        <v>1638</v>
      </c>
      <c r="N401" s="7" t="str">
        <f>HYPERLINK("C:\Users\alexa\YandexDisk\Книги\Архитектура\Микросервисы\Building Microservices 2nd Ed 2Rev.pdf","Building Microservices 2nd Ed 2Rev.pdf")</f>
        <v>Building Microservices 2nd Ed 2Rev.pdf</v>
      </c>
      <c r="O401" s="5" t="s">
        <v>1639</v>
      </c>
    </row>
    <row r="402" spans="1:15" ht="179.4" x14ac:dyDescent="0.3">
      <c r="A402" s="2">
        <v>401</v>
      </c>
      <c r="B402" s="3" t="s">
        <v>1633</v>
      </c>
      <c r="C402" s="3" t="s">
        <v>1634</v>
      </c>
      <c r="D402" s="3" t="s">
        <v>17</v>
      </c>
      <c r="E402" s="3" t="s">
        <v>442</v>
      </c>
      <c r="F402" s="3" t="s">
        <v>1635</v>
      </c>
      <c r="G402" s="3" t="s">
        <v>53</v>
      </c>
      <c r="H402" s="3" t="s">
        <v>1636</v>
      </c>
      <c r="I402" s="3" t="s">
        <v>20</v>
      </c>
      <c r="J402" s="3">
        <v>15.57</v>
      </c>
      <c r="K402" s="3" t="s">
        <v>21</v>
      </c>
      <c r="L402" s="3" t="s">
        <v>1640</v>
      </c>
      <c r="M402" s="3" t="s">
        <v>1638</v>
      </c>
      <c r="N402" s="6" t="str">
        <f>HYPERLINK("C:\Users\alexa\YandexDisk\Книги\Архитектура\Микросервисы\Building Microservices Designing.pdf","Building Microservices Designing.pdf")</f>
        <v>Building Microservices Designing.pdf</v>
      </c>
      <c r="O402" s="3" t="s">
        <v>1641</v>
      </c>
    </row>
    <row r="403" spans="1:15" ht="179.4" x14ac:dyDescent="0.3">
      <c r="A403" s="4">
        <v>402</v>
      </c>
      <c r="B403" s="5" t="s">
        <v>1642</v>
      </c>
      <c r="C403" s="5" t="s">
        <v>1643</v>
      </c>
      <c r="D403" s="5"/>
      <c r="E403" s="5" t="s">
        <v>557</v>
      </c>
      <c r="F403" s="5" t="s">
        <v>1635</v>
      </c>
      <c r="G403" s="5" t="s">
        <v>53</v>
      </c>
      <c r="H403" s="5" t="s">
        <v>1636</v>
      </c>
      <c r="I403" s="5" t="s">
        <v>20</v>
      </c>
      <c r="J403" s="5">
        <v>5.79</v>
      </c>
      <c r="K403" s="5" t="s">
        <v>21</v>
      </c>
      <c r="L403" s="5" t="s">
        <v>1644</v>
      </c>
      <c r="M403" s="5" t="s">
        <v>1638</v>
      </c>
      <c r="N403" s="7" t="str">
        <f>HYPERLINK("C:\Users\alexa\YandexDisk\Книги\Архитектура\Микросервисы\Microservice APIs_Using Python, Flask, FastAPI.pdf","Microservice APIs_Using Python, Flask, FastAPI.pdf")</f>
        <v>Microservice APIs_Using Python, Flask, FastAPI.pdf</v>
      </c>
      <c r="O403" s="5" t="s">
        <v>1645</v>
      </c>
    </row>
    <row r="404" spans="1:15" ht="179.4" x14ac:dyDescent="0.3">
      <c r="A404" s="2">
        <v>403</v>
      </c>
      <c r="B404" s="3" t="s">
        <v>1646</v>
      </c>
      <c r="C404" s="3" t="s">
        <v>1647</v>
      </c>
      <c r="D404" s="3"/>
      <c r="E404" s="3"/>
      <c r="F404" s="3" t="s">
        <v>1635</v>
      </c>
      <c r="G404" s="3" t="s">
        <v>53</v>
      </c>
      <c r="H404" s="3" t="s">
        <v>1636</v>
      </c>
      <c r="I404" s="3" t="s">
        <v>20</v>
      </c>
      <c r="J404" s="3">
        <v>2.66</v>
      </c>
      <c r="K404" s="3" t="s">
        <v>21</v>
      </c>
      <c r="L404" s="3" t="s">
        <v>1648</v>
      </c>
      <c r="M404" s="3" t="s">
        <v>1638</v>
      </c>
      <c r="N404" s="6" t="str">
        <f>HYPERLINK("C:\Users\alexa\YandexDisk\Книги\Архитектура\Микросервисы\Principles_of_Web_API_Design_Delivering_Value_with_APIs_and_Microservices.pdf","Principles_of_Web_API_Design_Delivering_Value_with_APIs_and_Microservices.pdf")</f>
        <v>Principles_of_Web_API_Design_Delivering_Value_with_APIs_and_Microservices.pdf</v>
      </c>
      <c r="O404" s="3" t="s">
        <v>1649</v>
      </c>
    </row>
    <row r="405" spans="1:15" ht="207" x14ac:dyDescent="0.3">
      <c r="A405" s="4">
        <v>404</v>
      </c>
      <c r="B405" s="5" t="s">
        <v>1650</v>
      </c>
      <c r="C405" s="5" t="s">
        <v>1651</v>
      </c>
      <c r="D405" s="5" t="s">
        <v>335</v>
      </c>
      <c r="E405" s="5" t="s">
        <v>336</v>
      </c>
      <c r="F405" s="5" t="s">
        <v>1635</v>
      </c>
      <c r="G405" s="5" t="s">
        <v>53</v>
      </c>
      <c r="H405" s="5" t="s">
        <v>1636</v>
      </c>
      <c r="I405" s="5" t="s">
        <v>20</v>
      </c>
      <c r="J405" s="5">
        <v>8.93</v>
      </c>
      <c r="K405" s="5" t="s">
        <v>21</v>
      </c>
      <c r="L405" s="5" t="s">
        <v>1652</v>
      </c>
      <c r="M405" s="5" t="s">
        <v>1638</v>
      </c>
      <c r="N405" s="7" t="str">
        <f>HYPERLINK("C:\Users\alexa\YandexDisk\Книги\Архитектура\Микросервисы\RESTful Web API паттерны и практики.pdf","RESTful Web API паттерны и практики.pdf")</f>
        <v>RESTful Web API паттерны и практики.pdf</v>
      </c>
      <c r="O405" s="5" t="s">
        <v>1653</v>
      </c>
    </row>
    <row r="406" spans="1:15" ht="151.80000000000001" x14ac:dyDescent="0.3">
      <c r="A406" s="2">
        <v>405</v>
      </c>
      <c r="B406" s="3" t="s">
        <v>1654</v>
      </c>
      <c r="C406" s="3" t="s">
        <v>1655</v>
      </c>
      <c r="D406" s="3" t="s">
        <v>114</v>
      </c>
      <c r="E406" s="3" t="s">
        <v>18</v>
      </c>
      <c r="F406" s="3" t="s">
        <v>1635</v>
      </c>
      <c r="G406" s="3" t="s">
        <v>53</v>
      </c>
      <c r="H406" s="3" t="s">
        <v>1636</v>
      </c>
      <c r="I406" s="3" t="s">
        <v>20</v>
      </c>
      <c r="J406" s="3">
        <v>6.89</v>
      </c>
      <c r="K406" s="3" t="s">
        <v>21</v>
      </c>
      <c r="L406" s="3" t="s">
        <v>1656</v>
      </c>
      <c r="M406" s="3" t="s">
        <v>1638</v>
      </c>
      <c r="N406" s="6" t="str">
        <f>HYPERLINK("C:\Users\alexa\YandexDisk\Книги\Архитектура\Микросервисы\Sem_Nyumen_-_Sozdanie_mikroservisov_-_2016.pdf","Sem_Nyumen_-_Sozdanie_mikroservisov_-_2016.pdf")</f>
        <v>Sem_Nyumen_-_Sozdanie_mikroservisov_-_2016.pdf</v>
      </c>
      <c r="O406" s="3" t="s">
        <v>1657</v>
      </c>
    </row>
    <row r="407" spans="1:15" ht="179.4" x14ac:dyDescent="0.3">
      <c r="A407" s="4">
        <v>406</v>
      </c>
      <c r="B407" s="5" t="s">
        <v>1658</v>
      </c>
      <c r="C407" s="5" t="s">
        <v>1659</v>
      </c>
      <c r="D407" s="5" t="s">
        <v>71</v>
      </c>
      <c r="E407" s="5" t="s">
        <v>102</v>
      </c>
      <c r="F407" s="5" t="s">
        <v>1635</v>
      </c>
      <c r="G407" s="5" t="s">
        <v>53</v>
      </c>
      <c r="H407" s="5" t="s">
        <v>1636</v>
      </c>
      <c r="I407" s="5" t="s">
        <v>20</v>
      </c>
      <c r="J407" s="5">
        <v>26.35</v>
      </c>
      <c r="K407" s="5" t="s">
        <v>21</v>
      </c>
      <c r="L407" s="5" t="s">
        <v>1660</v>
      </c>
      <c r="M407" s="5" t="s">
        <v>1638</v>
      </c>
      <c r="N407" s="7" t="str">
        <f>HYPERLINK("C:\Users\alexa\YandexDisk\Книги\Архитектура\Микросервисы\Микросервисы Spring в действии 2021.pdf","Микросервисы Spring в действии 2021.pdf")</f>
        <v>Микросервисы Spring в действии 2021.pdf</v>
      </c>
      <c r="O407" s="5" t="s">
        <v>1661</v>
      </c>
    </row>
    <row r="408" spans="1:15" ht="151.80000000000001" x14ac:dyDescent="0.3">
      <c r="A408" s="2">
        <v>407</v>
      </c>
      <c r="B408" s="3" t="s">
        <v>1658</v>
      </c>
      <c r="C408" s="3" t="s">
        <v>1662</v>
      </c>
      <c r="D408" s="3" t="s">
        <v>71</v>
      </c>
      <c r="E408" s="3" t="s">
        <v>102</v>
      </c>
      <c r="F408" s="3" t="s">
        <v>1635</v>
      </c>
      <c r="G408" s="3" t="s">
        <v>53</v>
      </c>
      <c r="H408" s="3" t="s">
        <v>1636</v>
      </c>
      <c r="I408" s="3" t="s">
        <v>20</v>
      </c>
      <c r="J408" s="3">
        <v>28.34</v>
      </c>
      <c r="K408" s="3" t="s">
        <v>21</v>
      </c>
      <c r="L408" s="3" t="s">
        <v>1663</v>
      </c>
      <c r="M408" s="3" t="s">
        <v>1638</v>
      </c>
      <c r="N408" s="6" t="str">
        <f>HYPERLINK("C:\Users\alexa\YandexDisk\Книги\Архитектура\Микросервисы\Микросервисы SPRING.pdf","Микросервисы SPRING.pdf")</f>
        <v>Микросервисы SPRING.pdf</v>
      </c>
      <c r="O408" s="3" t="s">
        <v>1664</v>
      </c>
    </row>
    <row r="409" spans="1:15" ht="234.6" x14ac:dyDescent="0.3">
      <c r="A409" s="4">
        <v>408</v>
      </c>
      <c r="B409" s="5" t="s">
        <v>1665</v>
      </c>
      <c r="C409" s="5"/>
      <c r="D409" s="5"/>
      <c r="E409" s="5"/>
      <c r="F409" s="5" t="s">
        <v>1635</v>
      </c>
      <c r="G409" s="5" t="s">
        <v>53</v>
      </c>
      <c r="H409" s="5" t="s">
        <v>1636</v>
      </c>
      <c r="I409" s="5" t="s">
        <v>20</v>
      </c>
      <c r="J409" s="5">
        <v>17.97</v>
      </c>
      <c r="K409" s="5" t="s">
        <v>21</v>
      </c>
      <c r="L409" s="5" t="s">
        <v>1666</v>
      </c>
      <c r="M409" s="5" t="s">
        <v>1638</v>
      </c>
      <c r="N409" s="7" t="str">
        <f>HYPERLINK("C:\Users\alexa\YandexDisk\Книги\Архитектура\Микросервисы\Микросервисы и API.pdf","Микросервисы и API.pdf")</f>
        <v>Микросервисы и API.pdf</v>
      </c>
      <c r="O409" s="5" t="s">
        <v>1667</v>
      </c>
    </row>
    <row r="410" spans="1:15" ht="151.80000000000001" x14ac:dyDescent="0.3">
      <c r="A410" s="2">
        <v>409</v>
      </c>
      <c r="B410" s="3" t="s">
        <v>1668</v>
      </c>
      <c r="C410" s="3" t="s">
        <v>1669</v>
      </c>
      <c r="D410" s="3" t="s">
        <v>27</v>
      </c>
      <c r="E410" s="3" t="s">
        <v>18</v>
      </c>
      <c r="F410" s="3" t="s">
        <v>1635</v>
      </c>
      <c r="G410" s="3" t="s">
        <v>53</v>
      </c>
      <c r="H410" s="3" t="s">
        <v>1636</v>
      </c>
      <c r="I410" s="3" t="s">
        <v>20</v>
      </c>
      <c r="J410" s="3">
        <v>6.53</v>
      </c>
      <c r="K410" s="3" t="s">
        <v>21</v>
      </c>
      <c r="L410" s="3" t="s">
        <v>1670</v>
      </c>
      <c r="M410" s="3" t="s">
        <v>1638</v>
      </c>
      <c r="N410" s="6" t="str">
        <f>HYPERLINK("C:\Users\alexa\YandexDisk\Книги\Архитектура\Микросервисы\Микросервисы.pdf","Микросервисы.pdf")</f>
        <v>Микросервисы.pdf</v>
      </c>
      <c r="O410" s="3" t="s">
        <v>1671</v>
      </c>
    </row>
    <row r="411" spans="1:15" ht="165.6" x14ac:dyDescent="0.3">
      <c r="A411" s="4">
        <v>410</v>
      </c>
      <c r="B411" s="5" t="s">
        <v>1672</v>
      </c>
      <c r="C411" s="5" t="s">
        <v>1673</v>
      </c>
      <c r="D411" s="5" t="s">
        <v>77</v>
      </c>
      <c r="E411" s="5" t="s">
        <v>18</v>
      </c>
      <c r="F411" s="5" t="s">
        <v>1635</v>
      </c>
      <c r="G411" s="5" t="s">
        <v>53</v>
      </c>
      <c r="H411" s="5" t="s">
        <v>1636</v>
      </c>
      <c r="I411" s="5" t="s">
        <v>20</v>
      </c>
      <c r="J411" s="5">
        <v>19.34</v>
      </c>
      <c r="K411" s="5" t="s">
        <v>21</v>
      </c>
      <c r="L411" s="5" t="s">
        <v>1674</v>
      </c>
      <c r="M411" s="5" t="s">
        <v>1638</v>
      </c>
      <c r="N411" s="7" t="str">
        <f>HYPERLINK("C:\Users\alexa\YandexDisk\Книги\Архитектура\Микросервисы\Микросервисы_Паттерны_разработки.pdf","Микросервисы_Паттерны_разработки.pdf")</f>
        <v>Микросервисы_Паттерны_разработки.pdf</v>
      </c>
      <c r="O411" s="5" t="s">
        <v>1675</v>
      </c>
    </row>
    <row r="412" spans="1:15" ht="179.4" x14ac:dyDescent="0.3">
      <c r="A412" s="2">
        <v>411</v>
      </c>
      <c r="B412" s="3" t="s">
        <v>1672</v>
      </c>
      <c r="C412" s="3" t="s">
        <v>1673</v>
      </c>
      <c r="D412" s="3" t="s">
        <v>77</v>
      </c>
      <c r="E412" s="3" t="s">
        <v>18</v>
      </c>
      <c r="F412" s="3" t="s">
        <v>1635</v>
      </c>
      <c r="G412" s="3" t="s">
        <v>53</v>
      </c>
      <c r="H412" s="3" t="s">
        <v>1636</v>
      </c>
      <c r="I412" s="3" t="s">
        <v>20</v>
      </c>
      <c r="J412" s="3">
        <v>42.7</v>
      </c>
      <c r="K412" s="3" t="s">
        <v>21</v>
      </c>
      <c r="L412" s="3" t="s">
        <v>1676</v>
      </c>
      <c r="M412" s="3" t="s">
        <v>1638</v>
      </c>
      <c r="N412" s="6" t="str">
        <f>HYPERLINK("C:\Users\alexa\YandexDisk\Книги\Архитектура\Микросервисы\Микросервисы_Паттерны_разработки_и_рефакторинга 2019.pdf","Микросервисы_Паттерны_разработки_и_рефакторинга 2019.pdf")</f>
        <v>Микросервисы_Паттерны_разработки_и_рефакторинга 2019.pdf</v>
      </c>
      <c r="O412" s="3" t="s">
        <v>1677</v>
      </c>
    </row>
    <row r="413" spans="1:15" ht="179.4" x14ac:dyDescent="0.3">
      <c r="A413" s="4">
        <v>412</v>
      </c>
      <c r="B413" s="5" t="s">
        <v>1678</v>
      </c>
      <c r="C413" s="5" t="s">
        <v>1634</v>
      </c>
      <c r="D413" s="5" t="s">
        <v>17</v>
      </c>
      <c r="E413" s="5" t="s">
        <v>442</v>
      </c>
      <c r="F413" s="5" t="s">
        <v>1635</v>
      </c>
      <c r="G413" s="5" t="s">
        <v>53</v>
      </c>
      <c r="H413" s="5" t="s">
        <v>1636</v>
      </c>
      <c r="I413" s="5" t="s">
        <v>20</v>
      </c>
      <c r="J413" s="5">
        <v>28.46</v>
      </c>
      <c r="K413" s="5" t="s">
        <v>21</v>
      </c>
      <c r="L413" s="5" t="s">
        <v>1679</v>
      </c>
      <c r="M413" s="5" t="s">
        <v>1638</v>
      </c>
      <c r="N413" s="7" t="str">
        <f>HYPERLINK("C:\Users\alexa\YandexDisk\Книги\Архитектура\Микросервисы\От монолита к микросервисам (2) (2).pdf","От монолита к микросервисам (2) (2).pdf")</f>
        <v>От монолита к микросервисам (2) (2).pdf</v>
      </c>
      <c r="O413" s="5" t="s">
        <v>1680</v>
      </c>
    </row>
    <row r="414" spans="1:15" ht="220.8" x14ac:dyDescent="0.3">
      <c r="A414" s="2">
        <v>413</v>
      </c>
      <c r="B414" s="3" t="s">
        <v>1678</v>
      </c>
      <c r="C414" s="3" t="s">
        <v>1634</v>
      </c>
      <c r="D414" s="3" t="s">
        <v>17</v>
      </c>
      <c r="E414" s="3" t="s">
        <v>442</v>
      </c>
      <c r="F414" s="3" t="s">
        <v>1635</v>
      </c>
      <c r="G414" s="3" t="s">
        <v>53</v>
      </c>
      <c r="H414" s="3" t="s">
        <v>1636</v>
      </c>
      <c r="I414" s="3" t="s">
        <v>20</v>
      </c>
      <c r="J414" s="3">
        <v>28.4</v>
      </c>
      <c r="K414" s="3" t="s">
        <v>21</v>
      </c>
      <c r="L414" s="3" t="s">
        <v>1681</v>
      </c>
      <c r="M414" s="3" t="s">
        <v>1638</v>
      </c>
      <c r="N414" s="6" t="str">
        <f>HYPERLINK("C:\Users\alexa\YandexDisk\Книги\Архитектура\Микросервисы\От монолита к микросервисам (2).pdf","От монолита к микросервисам (2).pdf")</f>
        <v>От монолита к микросервисам (2).pdf</v>
      </c>
      <c r="O414" s="3" t="s">
        <v>1682</v>
      </c>
    </row>
    <row r="415" spans="1:15" ht="165.6" x14ac:dyDescent="0.3">
      <c r="A415" s="4">
        <v>414</v>
      </c>
      <c r="B415" s="5" t="s">
        <v>1678</v>
      </c>
      <c r="C415" s="5" t="s">
        <v>1634</v>
      </c>
      <c r="D415" s="5" t="s">
        <v>17</v>
      </c>
      <c r="E415" s="5" t="s">
        <v>442</v>
      </c>
      <c r="F415" s="5" t="s">
        <v>1635</v>
      </c>
      <c r="G415" s="5" t="s">
        <v>53</v>
      </c>
      <c r="H415" s="5" t="s">
        <v>1636</v>
      </c>
      <c r="I415" s="5" t="s">
        <v>20</v>
      </c>
      <c r="J415" s="5">
        <v>28.46</v>
      </c>
      <c r="K415" s="5" t="s">
        <v>21</v>
      </c>
      <c r="L415" s="5" t="s">
        <v>1683</v>
      </c>
      <c r="M415" s="5" t="s">
        <v>1638</v>
      </c>
      <c r="N415" s="7" t="str">
        <f>HYPERLINK("C:\Users\alexa\YandexDisk\Книги\Архитектура\Микросервисы\От монолита к микросервисам.pdf","От монолита к микросервисам.pdf")</f>
        <v>От монолита к микросервисам.pdf</v>
      </c>
      <c r="O415" s="5" t="s">
        <v>1684</v>
      </c>
    </row>
    <row r="416" spans="1:15" ht="207" x14ac:dyDescent="0.3">
      <c r="A416" s="2">
        <v>415</v>
      </c>
      <c r="B416" s="3" t="s">
        <v>1654</v>
      </c>
      <c r="C416" s="3" t="s">
        <v>1685</v>
      </c>
      <c r="D416" s="3" t="s">
        <v>27</v>
      </c>
      <c r="E416" s="3" t="s">
        <v>18</v>
      </c>
      <c r="F416" s="3" t="s">
        <v>1635</v>
      </c>
      <c r="G416" s="3" t="s">
        <v>53</v>
      </c>
      <c r="H416" s="3" t="s">
        <v>1636</v>
      </c>
      <c r="I416" s="3" t="s">
        <v>20</v>
      </c>
      <c r="J416" s="3">
        <v>13.12</v>
      </c>
      <c r="K416" s="3" t="s">
        <v>21</v>
      </c>
      <c r="L416" s="3" t="s">
        <v>1686</v>
      </c>
      <c r="M416" s="3" t="s">
        <v>1638</v>
      </c>
      <c r="N416" s="6" t="str">
        <f>HYPERLINK("C:\Users\alexa\YandexDisk\Книги\Архитектура\Микросервисы\Создание микросервисов.pdf","Создание микросервисов.pdf")</f>
        <v>Создание микросервисов.pdf</v>
      </c>
      <c r="O416" s="3" t="s">
        <v>1687</v>
      </c>
    </row>
    <row r="417" spans="1:15" ht="179.4" x14ac:dyDescent="0.3">
      <c r="A417" s="4">
        <v>416</v>
      </c>
      <c r="B417" s="5" t="s">
        <v>1688</v>
      </c>
      <c r="C417" s="5" t="s">
        <v>1689</v>
      </c>
      <c r="D417" s="5" t="s">
        <v>71</v>
      </c>
      <c r="E417" s="5" t="s">
        <v>402</v>
      </c>
      <c r="F417" s="5" t="s">
        <v>1635</v>
      </c>
      <c r="G417" s="5" t="s">
        <v>53</v>
      </c>
      <c r="H417" s="5" t="s">
        <v>1636</v>
      </c>
      <c r="I417" s="5" t="s">
        <v>20</v>
      </c>
      <c r="J417" s="5">
        <v>6.75</v>
      </c>
      <c r="K417" s="5" t="s">
        <v>21</v>
      </c>
      <c r="L417" s="5" t="s">
        <v>1690</v>
      </c>
      <c r="M417" s="5" t="s">
        <v>1638</v>
      </c>
      <c r="N417" s="7" t="str">
        <f>HYPERLINK("C:\Users\alexa\YandexDisk\Книги\Архитектура\Микросервисы\Создание_событийно_управляемых_микросервисов.pdf","Создание_событийно_управляемых_микросервисов.pdf")</f>
        <v>Создание_событийно_управляемых_микросервисов.pdf</v>
      </c>
      <c r="O417" s="5" t="s">
        <v>1691</v>
      </c>
    </row>
    <row r="418" spans="1:15" ht="55.2" x14ac:dyDescent="0.3">
      <c r="A418" s="2">
        <v>417</v>
      </c>
      <c r="B418" s="3" t="s">
        <v>1692</v>
      </c>
      <c r="C418" s="3" t="s">
        <v>1693</v>
      </c>
      <c r="D418" s="3"/>
      <c r="E418" s="3"/>
      <c r="F418" s="3" t="s">
        <v>1694</v>
      </c>
      <c r="G418" s="3" t="s">
        <v>53</v>
      </c>
      <c r="H418" s="3" t="s">
        <v>1695</v>
      </c>
      <c r="I418" s="3" t="s">
        <v>20</v>
      </c>
      <c r="J418" s="3">
        <v>37.340000000000003</v>
      </c>
      <c r="K418" s="3" t="s">
        <v>21</v>
      </c>
      <c r="L418" s="3" t="s">
        <v>1696</v>
      </c>
      <c r="M418" s="3" t="s">
        <v>1697</v>
      </c>
      <c r="N418" s="6" t="str">
        <f>HYPERLINK("C:\Users\alexa\YandexDisk\Книги\Архитектура\Основы и принципы построения архитектуры\Основы_web_дизайна_Разработка,_создание_и_сопровождение.pdf","Основы_web_дизайна_Разработка,_создание_и_сопровождение.pdf")</f>
        <v>Основы_web_дизайна_Разработка,_создание_и_сопровождение.pdf</v>
      </c>
      <c r="O418" s="3" t="s">
        <v>930</v>
      </c>
    </row>
    <row r="419" spans="1:15" ht="165.6" x14ac:dyDescent="0.3">
      <c r="A419" s="4">
        <v>418</v>
      </c>
      <c r="B419" s="5" t="s">
        <v>1698</v>
      </c>
      <c r="C419" s="5" t="s">
        <v>1699</v>
      </c>
      <c r="D419" s="5" t="s">
        <v>71</v>
      </c>
      <c r="E419" s="5" t="s">
        <v>2</v>
      </c>
      <c r="F419" s="5" t="s">
        <v>1694</v>
      </c>
      <c r="G419" s="5" t="s">
        <v>53</v>
      </c>
      <c r="H419" s="5" t="s">
        <v>1695</v>
      </c>
      <c r="I419" s="5" t="s">
        <v>20</v>
      </c>
      <c r="J419" s="5">
        <v>2.27</v>
      </c>
      <c r="K419" s="5" t="s">
        <v>21</v>
      </c>
      <c r="L419" s="5" t="s">
        <v>1700</v>
      </c>
      <c r="M419" s="5" t="s">
        <v>1697</v>
      </c>
      <c r="N419" s="7" t="str">
        <f>HYPERLINK("C:\Users\alexa\YandexDisk\Книги\Архитектура\Основы и принципы построения архитектуры\Устойчивый веб-дизайн.pdf","Устойчивый веб-дизайн.pdf")</f>
        <v>Устойчивый веб-дизайн.pdf</v>
      </c>
      <c r="O419" s="5" t="s">
        <v>1701</v>
      </c>
    </row>
    <row r="420" spans="1:15" ht="193.2" x14ac:dyDescent="0.3">
      <c r="A420" s="2">
        <v>419</v>
      </c>
      <c r="B420" s="3" t="s">
        <v>1702</v>
      </c>
      <c r="C420" s="3" t="s">
        <v>1703</v>
      </c>
      <c r="D420" s="3"/>
      <c r="E420" s="3" t="s">
        <v>442</v>
      </c>
      <c r="F420" s="3" t="s">
        <v>1704</v>
      </c>
      <c r="G420" s="3" t="s">
        <v>53</v>
      </c>
      <c r="H420" s="3" t="s">
        <v>1705</v>
      </c>
      <c r="I420" s="3" t="s">
        <v>20</v>
      </c>
      <c r="J420" s="3">
        <v>6.51</v>
      </c>
      <c r="K420" s="3" t="s">
        <v>21</v>
      </c>
      <c r="L420" s="3" t="s">
        <v>1706</v>
      </c>
      <c r="M420" s="3" t="s">
        <v>1707</v>
      </c>
      <c r="N420" s="6" t="str">
        <f>HYPERLINK("C:\Users\alexa\YandexDisk\Книги\Архитектура\Системная архитектура\Foundations of Scalable Systems.pdf","Foundations of Scalable Systems.pdf")</f>
        <v>Foundations of Scalable Systems.pdf</v>
      </c>
      <c r="O420" s="3" t="s">
        <v>1708</v>
      </c>
    </row>
    <row r="421" spans="1:15" ht="207" x14ac:dyDescent="0.3">
      <c r="A421" s="4">
        <v>420</v>
      </c>
      <c r="B421" s="5" t="s">
        <v>1709</v>
      </c>
      <c r="C421" s="5" t="s">
        <v>1710</v>
      </c>
      <c r="D421" s="5" t="s">
        <v>335</v>
      </c>
      <c r="E421" s="5" t="s">
        <v>336</v>
      </c>
      <c r="F421" s="5" t="s">
        <v>1704</v>
      </c>
      <c r="G421" s="5" t="s">
        <v>53</v>
      </c>
      <c r="H421" s="5" t="s">
        <v>1705</v>
      </c>
      <c r="I421" s="5" t="s">
        <v>20</v>
      </c>
      <c r="J421" s="5">
        <v>14.23</v>
      </c>
      <c r="K421" s="5" t="s">
        <v>21</v>
      </c>
      <c r="L421" s="5" t="s">
        <v>1711</v>
      </c>
      <c r="M421" s="5" t="s">
        <v>1707</v>
      </c>
      <c r="N421" s="7" t="str">
        <f>HYPERLINK("C:\Users\alexa\YandexDisk\Книги\Архитектура\Системная архитектура\Solutions architect Архитектура.pdf","Solutions architect Архитектура.pdf")</f>
        <v>Solutions architect Архитектура.pdf</v>
      </c>
      <c r="O421" s="5" t="s">
        <v>1712</v>
      </c>
    </row>
    <row r="422" spans="1:15" ht="165.6" x14ac:dyDescent="0.3">
      <c r="A422" s="2">
        <v>421</v>
      </c>
      <c r="B422" s="3" t="s">
        <v>1713</v>
      </c>
      <c r="C422" s="3" t="s">
        <v>1710</v>
      </c>
      <c r="D422" s="3" t="s">
        <v>59</v>
      </c>
      <c r="E422" s="3" t="s">
        <v>205</v>
      </c>
      <c r="F422" s="3" t="s">
        <v>1704</v>
      </c>
      <c r="G422" s="3" t="s">
        <v>53</v>
      </c>
      <c r="H422" s="3" t="s">
        <v>1705</v>
      </c>
      <c r="I422" s="3" t="s">
        <v>20</v>
      </c>
      <c r="J422" s="3">
        <v>15.01</v>
      </c>
      <c r="K422" s="3" t="s">
        <v>21</v>
      </c>
      <c r="L422" s="3" t="s">
        <v>1714</v>
      </c>
      <c r="M422" s="3" t="s">
        <v>1707</v>
      </c>
      <c r="N422" s="6" t="str">
        <f>HYPERLINK("C:\Users\alexa\YandexDisk\Книги\Архитектура\Системная архитектура\solutions-architects-handbook-kick-start-architecture.pdf","solutions-architects-handbook-kick-start-architecture.pdf")</f>
        <v>solutions-architects-handbook-kick-start-architecture.pdf</v>
      </c>
      <c r="O422" s="3" t="s">
        <v>1715</v>
      </c>
    </row>
    <row r="423" spans="1:15" ht="220.8" x14ac:dyDescent="0.3">
      <c r="A423" s="4">
        <v>422</v>
      </c>
      <c r="B423" s="5" t="s">
        <v>1716</v>
      </c>
      <c r="C423" s="5" t="s">
        <v>1717</v>
      </c>
      <c r="D423" s="5" t="s">
        <v>27</v>
      </c>
      <c r="E423" s="5" t="s">
        <v>1023</v>
      </c>
      <c r="F423" s="5" t="s">
        <v>1704</v>
      </c>
      <c r="G423" s="5" t="s">
        <v>53</v>
      </c>
      <c r="H423" s="5" t="s">
        <v>1705</v>
      </c>
      <c r="I423" s="5" t="s">
        <v>20</v>
      </c>
      <c r="J423" s="5">
        <v>3.84</v>
      </c>
      <c r="K423" s="5" t="s">
        <v>21</v>
      </c>
      <c r="L423" s="5" t="s">
        <v>1718</v>
      </c>
      <c r="M423" s="5" t="s">
        <v>1707</v>
      </c>
      <c r="N423" s="7" t="str">
        <f>HYPERLINK("C:\Users\alexa\YandexDisk\Книги\Архитектура\Системная архитектура\Архитектура компьютерных систем.pdf","Архитектура компьютерных систем.pdf")</f>
        <v>Архитектура компьютерных систем.pdf</v>
      </c>
      <c r="O423" s="5" t="s">
        <v>1719</v>
      </c>
    </row>
    <row r="424" spans="1:15" ht="193.2" x14ac:dyDescent="0.3">
      <c r="A424" s="2">
        <v>423</v>
      </c>
      <c r="B424" s="3" t="s">
        <v>1720</v>
      </c>
      <c r="C424" s="3" t="s">
        <v>1721</v>
      </c>
      <c r="D424" s="3" t="s">
        <v>50</v>
      </c>
      <c r="E424" s="3" t="s">
        <v>1722</v>
      </c>
      <c r="F424" s="3" t="s">
        <v>1704</v>
      </c>
      <c r="G424" s="3" t="s">
        <v>53</v>
      </c>
      <c r="H424" s="3" t="s">
        <v>1705</v>
      </c>
      <c r="I424" s="3" t="s">
        <v>20</v>
      </c>
      <c r="J424" s="3">
        <v>3.03</v>
      </c>
      <c r="K424" s="3" t="s">
        <v>21</v>
      </c>
      <c r="L424" s="3" t="s">
        <v>1723</v>
      </c>
      <c r="M424" s="3" t="s">
        <v>1707</v>
      </c>
      <c r="N424" s="6" t="str">
        <f>HYPERLINK("C:\Users\alexa\YandexDisk\Книги\Архитектура\Системная архитектура\Архитектура_вычислительных_систем_и_компьютерных_сетей.pdf","Архитектура_вычислительных_систем_и_компьютерных_сетей.pdf")</f>
        <v>Архитектура_вычислительных_систем_и_компьютерных_сетей.pdf</v>
      </c>
      <c r="O424" s="3" t="s">
        <v>1724</v>
      </c>
    </row>
    <row r="425" spans="1:15" ht="138" x14ac:dyDescent="0.3">
      <c r="A425" s="4">
        <v>424</v>
      </c>
      <c r="B425" s="5" t="s">
        <v>1725</v>
      </c>
      <c r="C425" s="5"/>
      <c r="D425" s="5"/>
      <c r="E425" s="5"/>
      <c r="F425" s="5" t="s">
        <v>1704</v>
      </c>
      <c r="G425" s="5" t="s">
        <v>53</v>
      </c>
      <c r="H425" s="5" t="s">
        <v>1705</v>
      </c>
      <c r="I425" s="5" t="s">
        <v>20</v>
      </c>
      <c r="J425" s="5">
        <v>64.489999999999995</v>
      </c>
      <c r="K425" s="5" t="s">
        <v>21</v>
      </c>
      <c r="L425" s="5" t="s">
        <v>1726</v>
      </c>
      <c r="M425" s="5" t="s">
        <v>1707</v>
      </c>
      <c r="N425" s="7" t="str">
        <f>HYPERLINK("C:\Users\alexa\YandexDisk\Книги\Архитектура\Системная архитектура\Масштабирование_приложений_Выращивание_сложных_систем.pdf","Масштабирование_приложений_Выращивание_сложных_систем.pdf")</f>
        <v>Масштабирование_приложений_Выращивание_сложных_систем.pdf</v>
      </c>
      <c r="O425" s="5" t="s">
        <v>1727</v>
      </c>
    </row>
    <row r="426" spans="1:15" ht="179.4" x14ac:dyDescent="0.3">
      <c r="A426" s="2">
        <v>425</v>
      </c>
      <c r="B426" s="3" t="s">
        <v>1478</v>
      </c>
      <c r="C426" s="3" t="s">
        <v>1479</v>
      </c>
      <c r="D426" s="3" t="s">
        <v>71</v>
      </c>
      <c r="E426" s="3" t="s">
        <v>18</v>
      </c>
      <c r="F426" s="3" t="s">
        <v>1704</v>
      </c>
      <c r="G426" s="3" t="s">
        <v>53</v>
      </c>
      <c r="H426" s="3" t="s">
        <v>1705</v>
      </c>
      <c r="I426" s="3" t="s">
        <v>20</v>
      </c>
      <c r="J426" s="3">
        <v>6.69</v>
      </c>
      <c r="K426" s="3" t="s">
        <v>21</v>
      </c>
      <c r="L426" s="3" t="s">
        <v>1480</v>
      </c>
      <c r="M426" s="3" t="s">
        <v>1707</v>
      </c>
      <c r="N426" s="6" t="str">
        <f>HYPERLINK("C:\Users\alexa\YandexDisk\Книги\Архитектура\Системная архитектура\Масштабируемые_данные_Лучшие_шаблоны_высоконагруженных_архитектур.pdf","Масштабируемые_данные_Лучшие_шаблоны_высоконагруженных_архитектур.pdf")</f>
        <v>Масштабируемые_данные_Лучшие_шаблоны_высоконагруженных_архитектур.pdf</v>
      </c>
      <c r="O426" s="3" t="s">
        <v>1728</v>
      </c>
    </row>
    <row r="427" spans="1:15" ht="207" x14ac:dyDescent="0.3">
      <c r="A427" s="4">
        <v>426</v>
      </c>
      <c r="B427" s="5" t="s">
        <v>1729</v>
      </c>
      <c r="C427" s="5"/>
      <c r="D427" s="5"/>
      <c r="E427" s="5"/>
      <c r="F427" s="5" t="s">
        <v>1704</v>
      </c>
      <c r="G427" s="5" t="s">
        <v>53</v>
      </c>
      <c r="H427" s="5" t="s">
        <v>1705</v>
      </c>
      <c r="I427" s="5" t="s">
        <v>20</v>
      </c>
      <c r="J427" s="5">
        <v>5.47</v>
      </c>
      <c r="K427" s="5" t="s">
        <v>21</v>
      </c>
      <c r="L427" s="5" t="s">
        <v>1730</v>
      </c>
      <c r="M427" s="5" t="s">
        <v>1707</v>
      </c>
      <c r="N427" s="7" t="str">
        <f>HYPERLINK("C:\Users\alexa\YandexDisk\Книги\Архитектура\Системная архитектура\Платформа_LAMP.pdf","Платформа_LAMP.pdf")</f>
        <v>Платформа_LAMP.pdf</v>
      </c>
      <c r="O427" s="5" t="s">
        <v>1731</v>
      </c>
    </row>
    <row r="428" spans="1:15" ht="124.2" x14ac:dyDescent="0.3">
      <c r="A428" s="2">
        <v>427</v>
      </c>
      <c r="B428" s="3" t="s">
        <v>1732</v>
      </c>
      <c r="C428" s="3" t="s">
        <v>1733</v>
      </c>
      <c r="D428" s="3" t="s">
        <v>186</v>
      </c>
      <c r="E428" s="3" t="s">
        <v>308</v>
      </c>
      <c r="F428" s="3" t="s">
        <v>1704</v>
      </c>
      <c r="G428" s="3" t="s">
        <v>53</v>
      </c>
      <c r="H428" s="3" t="s">
        <v>1705</v>
      </c>
      <c r="I428" s="3" t="s">
        <v>20</v>
      </c>
      <c r="J428" s="3">
        <v>9.65</v>
      </c>
      <c r="K428" s="3" t="s">
        <v>21</v>
      </c>
      <c r="L428" s="3" t="s">
        <v>1734</v>
      </c>
      <c r="M428" s="3" t="s">
        <v>1707</v>
      </c>
      <c r="N428" s="6" t="str">
        <f>HYPERLINK("C:\Users\alexa\YandexDisk\Книги\Архитектура\Системная архитектура\Системная инженерия-для чайников.PDF","Системная инженерия-для чайников.PDF")</f>
        <v>Системная инженерия-для чайников.PDF</v>
      </c>
      <c r="O428" s="3" t="s">
        <v>1735</v>
      </c>
    </row>
    <row r="429" spans="1:15" ht="207" x14ac:dyDescent="0.3">
      <c r="A429" s="4">
        <v>428</v>
      </c>
      <c r="B429" s="5" t="s">
        <v>1736</v>
      </c>
      <c r="C429" s="5" t="s">
        <v>1737</v>
      </c>
      <c r="D429" s="5" t="s">
        <v>109</v>
      </c>
      <c r="E429" s="5"/>
      <c r="F429" s="5" t="s">
        <v>1704</v>
      </c>
      <c r="G429" s="5" t="s">
        <v>53</v>
      </c>
      <c r="H429" s="5" t="s">
        <v>1705</v>
      </c>
      <c r="I429" s="5" t="s">
        <v>20</v>
      </c>
      <c r="J429" s="5">
        <v>7.94</v>
      </c>
      <c r="K429" s="5" t="s">
        <v>21</v>
      </c>
      <c r="L429" s="5" t="s">
        <v>1738</v>
      </c>
      <c r="M429" s="5" t="s">
        <v>1707</v>
      </c>
      <c r="N429" s="7" t="str">
        <f>HYPERLINK("C:\Users\alexa\YandexDisk\Книги\Архитектура\Системная архитектура\Соглашение_о_моделировании_ИС_ГосТех_v_1_2.pdf","Соглашение_о_моделировании_ИС_ГосТех_v_1_2.pdf")</f>
        <v>Соглашение_о_моделировании_ИС_ГосТех_v_1_2.pdf</v>
      </c>
      <c r="O429" s="5" t="s">
        <v>1739</v>
      </c>
    </row>
    <row r="430" spans="1:15" ht="234.6" x14ac:dyDescent="0.3">
      <c r="A430" s="2">
        <v>429</v>
      </c>
      <c r="B430" s="3" t="s">
        <v>366</v>
      </c>
      <c r="C430" s="3" t="s">
        <v>1740</v>
      </c>
      <c r="D430" s="3" t="s">
        <v>59</v>
      </c>
      <c r="E430" s="3" t="s">
        <v>102</v>
      </c>
      <c r="F430" s="3" t="s">
        <v>1704</v>
      </c>
      <c r="G430" s="3" t="s">
        <v>53</v>
      </c>
      <c r="H430" s="3" t="s">
        <v>1705</v>
      </c>
      <c r="I430" s="3" t="s">
        <v>20</v>
      </c>
      <c r="J430" s="3">
        <v>7.07</v>
      </c>
      <c r="K430" s="3" t="s">
        <v>21</v>
      </c>
      <c r="L430" s="3" t="s">
        <v>1741</v>
      </c>
      <c r="M430" s="3" t="s">
        <v>1707</v>
      </c>
      <c r="N430" s="6" t="str">
        <f>HYPERLINK("C:\Users\alexa\YandexDisk\Книги\Архитектура\Системная архитектура\Хаос_инжиниринг_2020_Розенталь_Джонс.pdf","Хаос_инжиниринг_2020_Розенталь_Джонс.pdf")</f>
        <v>Хаос_инжиниринг_2020_Розенталь_Джонс.pdf</v>
      </c>
      <c r="O430" s="3" t="s">
        <v>1742</v>
      </c>
    </row>
    <row r="431" spans="1:15" ht="165.6" x14ac:dyDescent="0.3">
      <c r="A431" s="4">
        <v>430</v>
      </c>
      <c r="B431" s="5" t="s">
        <v>1743</v>
      </c>
      <c r="C431" s="5" t="s">
        <v>1744</v>
      </c>
      <c r="D431" s="5" t="s">
        <v>274</v>
      </c>
      <c r="E431" s="5" t="s">
        <v>1566</v>
      </c>
      <c r="F431" s="5" t="s">
        <v>1745</v>
      </c>
      <c r="G431" s="5" t="s">
        <v>53</v>
      </c>
      <c r="H431" s="5" t="s">
        <v>1746</v>
      </c>
      <c r="I431" s="5" t="s">
        <v>20</v>
      </c>
      <c r="J431" s="5">
        <v>24.53</v>
      </c>
      <c r="K431" s="5" t="s">
        <v>21</v>
      </c>
      <c r="L431" s="5" t="s">
        <v>1747</v>
      </c>
      <c r="M431" s="5" t="s">
        <v>1748</v>
      </c>
      <c r="N431" s="7" t="str">
        <f>HYPERLINK("C:\Users\alexa\YandexDisk\Книги\Архитектура\Шаблоны проектирования\Проектирование_веб_интерфейсов.pdf","Проектирование_веб_интерфейсов.pdf")</f>
        <v>Проектирование_веб_интерфейсов.pdf</v>
      </c>
      <c r="O431" s="5" t="s">
        <v>1749</v>
      </c>
    </row>
    <row r="432" spans="1:15" ht="165.6" x14ac:dyDescent="0.3">
      <c r="A432" s="2">
        <v>431</v>
      </c>
      <c r="B432" s="3" t="s">
        <v>1750</v>
      </c>
      <c r="C432" s="3"/>
      <c r="D432" s="3"/>
      <c r="E432" s="3"/>
      <c r="F432" s="3" t="s">
        <v>1745</v>
      </c>
      <c r="G432" s="3" t="s">
        <v>53</v>
      </c>
      <c r="H432" s="3" t="s">
        <v>1746</v>
      </c>
      <c r="I432" s="3" t="s">
        <v>20</v>
      </c>
      <c r="J432" s="3">
        <v>19.96</v>
      </c>
      <c r="K432" s="3" t="s">
        <v>21</v>
      </c>
      <c r="L432" s="3" t="s">
        <v>1751</v>
      </c>
      <c r="M432" s="3" t="s">
        <v>1748</v>
      </c>
      <c r="N432" s="6" t="str">
        <f>HYPERLINK("C:\Users\alexa\YandexDisk\Книги\Архитектура\Шаблоны проектирования\Шаблоны_проектирования_для_облачной_среды.pdf","Шаблоны_проектирования_для_облачной_среды.pdf")</f>
        <v>Шаблоны_проектирования_для_облачной_среды.pdf</v>
      </c>
      <c r="O432" s="3" t="s">
        <v>1752</v>
      </c>
    </row>
    <row r="433" spans="1:15" ht="220.8" x14ac:dyDescent="0.3">
      <c r="A433" s="4">
        <v>432</v>
      </c>
      <c r="B433" s="5" t="s">
        <v>1753</v>
      </c>
      <c r="C433" s="5" t="s">
        <v>1754</v>
      </c>
      <c r="D433" s="5" t="s">
        <v>50</v>
      </c>
      <c r="E433" s="5" t="s">
        <v>187</v>
      </c>
      <c r="F433" s="5" t="s">
        <v>1755</v>
      </c>
      <c r="G433" s="5" t="s">
        <v>1756</v>
      </c>
      <c r="H433" s="5" t="s">
        <v>1757</v>
      </c>
      <c r="I433" s="5" t="s">
        <v>20</v>
      </c>
      <c r="J433" s="5">
        <v>5.95</v>
      </c>
      <c r="K433" s="5" t="s">
        <v>21</v>
      </c>
      <c r="L433" s="5" t="s">
        <v>1758</v>
      </c>
      <c r="M433" s="5" t="s">
        <v>1759</v>
      </c>
      <c r="N433" s="7" t="str">
        <f>HYPERLINK("C:\Users\alexa\YandexDisk\Книги\Базы данных\Cassandra\Cassandra Полное руководство.pdf","Cassandra Полное руководство.pdf")</f>
        <v>Cassandra Полное руководство.pdf</v>
      </c>
      <c r="O433" s="5" t="s">
        <v>1760</v>
      </c>
    </row>
    <row r="434" spans="1:15" ht="207" x14ac:dyDescent="0.3">
      <c r="A434" s="2">
        <v>433</v>
      </c>
      <c r="B434" s="3" t="s">
        <v>1753</v>
      </c>
      <c r="C434" s="3" t="s">
        <v>1754</v>
      </c>
      <c r="D434" s="3" t="s">
        <v>50</v>
      </c>
      <c r="E434" s="3" t="s">
        <v>187</v>
      </c>
      <c r="F434" s="3" t="s">
        <v>1755</v>
      </c>
      <c r="G434" s="3" t="s">
        <v>1756</v>
      </c>
      <c r="H434" s="3" t="s">
        <v>1757</v>
      </c>
      <c r="I434" s="3" t="s">
        <v>20</v>
      </c>
      <c r="J434" s="3">
        <v>9.06</v>
      </c>
      <c r="K434" s="3" t="s">
        <v>21</v>
      </c>
      <c r="L434" s="3" t="s">
        <v>1761</v>
      </c>
      <c r="M434" s="3" t="s">
        <v>1759</v>
      </c>
      <c r="N434" s="6" t="str">
        <f>HYPERLINK("C:\Users\alexa\YandexDisk\Книги\Базы данных\Cassandra\Cassandra.pdf","Cassandra.pdf")</f>
        <v>Cassandra.pdf</v>
      </c>
      <c r="O434" s="3" t="s">
        <v>1762</v>
      </c>
    </row>
    <row r="435" spans="1:15" ht="179.4" x14ac:dyDescent="0.3">
      <c r="A435" s="4">
        <v>434</v>
      </c>
      <c r="B435" s="5" t="s">
        <v>1763</v>
      </c>
      <c r="C435" s="5" t="s">
        <v>1764</v>
      </c>
      <c r="D435" s="5"/>
      <c r="E435" s="5" t="s">
        <v>269</v>
      </c>
      <c r="F435" s="5" t="s">
        <v>1765</v>
      </c>
      <c r="G435" s="5" t="s">
        <v>1756</v>
      </c>
      <c r="H435" s="5" t="s">
        <v>1766</v>
      </c>
      <c r="I435" s="5" t="s">
        <v>20</v>
      </c>
      <c r="J435" s="5">
        <v>17.48</v>
      </c>
      <c r="K435" s="5" t="s">
        <v>21</v>
      </c>
      <c r="L435" s="5" t="s">
        <v>1767</v>
      </c>
      <c r="M435" s="5" t="s">
        <v>1768</v>
      </c>
      <c r="N435" s="7" t="str">
        <f>HYPERLINK("C:\Users\alexa\YandexDisk\Книги\Базы данных\Elasticsearch\Elasticsearch.in.Action.pdf","Elasticsearch.in.Action.pdf")</f>
        <v>Elasticsearch.in.Action.pdf</v>
      </c>
      <c r="O435" s="5" t="s">
        <v>1769</v>
      </c>
    </row>
    <row r="436" spans="1:15" ht="193.2" x14ac:dyDescent="0.3">
      <c r="A436" s="2">
        <v>435</v>
      </c>
      <c r="B436" s="3" t="s">
        <v>1763</v>
      </c>
      <c r="C436" s="3" t="s">
        <v>1764</v>
      </c>
      <c r="D436" s="3" t="s">
        <v>71</v>
      </c>
      <c r="E436" s="3" t="s">
        <v>536</v>
      </c>
      <c r="F436" s="3" t="s">
        <v>1765</v>
      </c>
      <c r="G436" s="3" t="s">
        <v>1756</v>
      </c>
      <c r="H436" s="3" t="s">
        <v>1766</v>
      </c>
      <c r="I436" s="3" t="s">
        <v>20</v>
      </c>
      <c r="J436" s="3">
        <v>17.010000000000002</v>
      </c>
      <c r="K436" s="3" t="s">
        <v>21</v>
      </c>
      <c r="L436" s="3" t="s">
        <v>1770</v>
      </c>
      <c r="M436" s="3" t="s">
        <v>1768</v>
      </c>
      <c r="N436" s="6" t="str">
        <f>HYPERLINK("C:\Users\alexa\YandexDisk\Книги\Базы данных\Elasticsearch\Elasticsearch_in_Action_2Ed_Eng.pdf","Elasticsearch_in_Action_2Ed_Eng.pdf")</f>
        <v>Elasticsearch_in_Action_2Ed_Eng.pdf</v>
      </c>
      <c r="O436" s="3" t="s">
        <v>1771</v>
      </c>
    </row>
    <row r="437" spans="1:15" ht="165.6" x14ac:dyDescent="0.3">
      <c r="A437" s="4">
        <v>436</v>
      </c>
      <c r="B437" s="5" t="s">
        <v>1772</v>
      </c>
      <c r="C437" s="5"/>
      <c r="D437" s="5" t="s">
        <v>32</v>
      </c>
      <c r="E437" s="5"/>
      <c r="F437" s="5" t="s">
        <v>1765</v>
      </c>
      <c r="G437" s="5" t="s">
        <v>1756</v>
      </c>
      <c r="H437" s="5" t="s">
        <v>1766</v>
      </c>
      <c r="I437" s="5" t="s">
        <v>20</v>
      </c>
      <c r="J437" s="5">
        <v>89.78</v>
      </c>
      <c r="K437" s="5" t="s">
        <v>21</v>
      </c>
      <c r="L437" s="5" t="s">
        <v>1773</v>
      </c>
      <c r="M437" s="5" t="s">
        <v>1768</v>
      </c>
      <c r="N437" s="7" t="str">
        <f>HYPERLINK("C:\Users\alexa\YandexDisk\Книги\Базы данных\Elasticsearch\Релевантный_поиск_с_использованием_Elasticsearch_и_Solr_2018.pdf","Релевантный_поиск_с_использованием_Elasticsearch_и_Solr_2018.pdf")</f>
        <v>Релевантный_поиск_с_использованием_Elasticsearch_и_Solr_2018.pdf</v>
      </c>
      <c r="O437" s="5" t="s">
        <v>1774</v>
      </c>
    </row>
    <row r="438" spans="1:15" ht="179.4" x14ac:dyDescent="0.3">
      <c r="A438" s="2">
        <v>437</v>
      </c>
      <c r="B438" s="3" t="s">
        <v>1775</v>
      </c>
      <c r="C438" s="3" t="s">
        <v>1776</v>
      </c>
      <c r="D438" s="3"/>
      <c r="E438" s="3" t="s">
        <v>102</v>
      </c>
      <c r="F438" s="3" t="s">
        <v>1777</v>
      </c>
      <c r="G438" s="3" t="s">
        <v>1756</v>
      </c>
      <c r="H438" s="3" t="s">
        <v>1778</v>
      </c>
      <c r="I438" s="3" t="s">
        <v>20</v>
      </c>
      <c r="J438" s="3">
        <v>6.76</v>
      </c>
      <c r="K438" s="3" t="s">
        <v>21</v>
      </c>
      <c r="L438" s="3" t="s">
        <v>1779</v>
      </c>
      <c r="M438" s="3" t="s">
        <v>1780</v>
      </c>
      <c r="N438" s="6" t="str">
        <f>HYPERLINK("C:\Users\alexa\YandexDisk\Книги\Базы данных\MongoDB\Mongo DB полное руководство.pdf","Mongo DB полное руководство.pdf")</f>
        <v>Mongo DB полное руководство.pdf</v>
      </c>
      <c r="O438" s="3" t="s">
        <v>1781</v>
      </c>
    </row>
    <row r="439" spans="1:15" ht="151.80000000000001" x14ac:dyDescent="0.3">
      <c r="A439" s="4">
        <v>438</v>
      </c>
      <c r="B439" s="5" t="s">
        <v>1782</v>
      </c>
      <c r="C439" s="5"/>
      <c r="D439" s="5"/>
      <c r="E439" s="5"/>
      <c r="F439" s="5" t="s">
        <v>1777</v>
      </c>
      <c r="G439" s="5" t="s">
        <v>1756</v>
      </c>
      <c r="H439" s="5" t="s">
        <v>1778</v>
      </c>
      <c r="I439" s="5" t="s">
        <v>20</v>
      </c>
      <c r="J439" s="5">
        <v>33.6</v>
      </c>
      <c r="K439" s="5" t="s">
        <v>21</v>
      </c>
      <c r="L439" s="5" t="s">
        <v>1783</v>
      </c>
      <c r="M439" s="5" t="s">
        <v>1780</v>
      </c>
      <c r="N439" s="7" t="str">
        <f>HYPERLINK("C:\Users\alexa\YandexDisk\Книги\Базы данных\MongoDB\mongodb-в действии-.pdf","mongodb-в действии-.pdf")</f>
        <v>mongodb-в действии-.pdf</v>
      </c>
      <c r="O439" s="5" t="s">
        <v>1784</v>
      </c>
    </row>
    <row r="440" spans="1:15" ht="193.2" x14ac:dyDescent="0.3">
      <c r="A440" s="2">
        <v>439</v>
      </c>
      <c r="B440" s="3" t="s">
        <v>1785</v>
      </c>
      <c r="C440" s="3" t="s">
        <v>1786</v>
      </c>
      <c r="D440" s="3"/>
      <c r="E440" s="3"/>
      <c r="F440" s="3" t="s">
        <v>1777</v>
      </c>
      <c r="G440" s="3" t="s">
        <v>1756</v>
      </c>
      <c r="H440" s="3" t="s">
        <v>1778</v>
      </c>
      <c r="I440" s="3" t="s">
        <v>20</v>
      </c>
      <c r="J440" s="3">
        <v>0.21</v>
      </c>
      <c r="K440" s="3" t="s">
        <v>21</v>
      </c>
      <c r="L440" s="3" t="s">
        <v>1787</v>
      </c>
      <c r="M440" s="3" t="s">
        <v>1780</v>
      </c>
      <c r="N440" s="6" t="str">
        <f>HYPERLINK("C:\Users\alexa\YandexDisk\Книги\Базы данных\MongoDB\Маленькая книга о MongoDB.pdf","Маленькая книга о MongoDB.pdf")</f>
        <v>Маленькая книга о MongoDB.pdf</v>
      </c>
      <c r="O440" s="3" t="s">
        <v>1788</v>
      </c>
    </row>
    <row r="441" spans="1:15" ht="193.2" x14ac:dyDescent="0.3">
      <c r="A441" s="4">
        <v>440</v>
      </c>
      <c r="B441" s="5" t="s">
        <v>1789</v>
      </c>
      <c r="C441" s="5" t="s">
        <v>1790</v>
      </c>
      <c r="D441" s="5" t="s">
        <v>77</v>
      </c>
      <c r="E441" s="5" t="s">
        <v>205</v>
      </c>
      <c r="F441" s="5" t="s">
        <v>1791</v>
      </c>
      <c r="G441" s="5" t="s">
        <v>1756</v>
      </c>
      <c r="H441" s="5" t="s">
        <v>1792</v>
      </c>
      <c r="I441" s="5" t="s">
        <v>20</v>
      </c>
      <c r="J441" s="5">
        <v>13.02</v>
      </c>
      <c r="K441" s="5" t="s">
        <v>21</v>
      </c>
      <c r="L441" s="5" t="s">
        <v>1793</v>
      </c>
      <c r="M441" s="5" t="s">
        <v>1794</v>
      </c>
      <c r="N441" s="7" t="str">
        <f>HYPERLINK("C:\Users\alexa\YandexDisk\Книги\Базы данных\MS SQLServer\MS_SQL-2019.pdf","MS_SQL-2019.pdf")</f>
        <v>MS_SQL-2019.pdf</v>
      </c>
      <c r="O441" s="5" t="s">
        <v>1795</v>
      </c>
    </row>
    <row r="442" spans="1:15" ht="179.4" x14ac:dyDescent="0.3">
      <c r="A442" s="2">
        <v>441</v>
      </c>
      <c r="B442" s="3" t="s">
        <v>1796</v>
      </c>
      <c r="C442" s="3" t="s">
        <v>1797</v>
      </c>
      <c r="D442" s="3" t="s">
        <v>27</v>
      </c>
      <c r="E442" s="3" t="s">
        <v>18</v>
      </c>
      <c r="F442" s="3" t="s">
        <v>1791</v>
      </c>
      <c r="G442" s="3" t="s">
        <v>1756</v>
      </c>
      <c r="H442" s="3" t="s">
        <v>1792</v>
      </c>
      <c r="I442" s="3" t="s">
        <v>20</v>
      </c>
      <c r="J442" s="3">
        <v>10.28</v>
      </c>
      <c r="K442" s="3" t="s">
        <v>21</v>
      </c>
      <c r="L442" s="3" t="s">
        <v>1798</v>
      </c>
      <c r="M442" s="3" t="s">
        <v>1794</v>
      </c>
      <c r="N442" s="6" t="str">
        <f>HYPERLINK("C:\Users\alexa\YandexDisk\Книги\Базы данных\MS SQLServer\SQL_Server_Наладка_и_оптимизация_для_профессионалов.pdf","SQL_Server_Наладка_и_оптимизация_для_профессионалов.pdf")</f>
        <v>SQL_Server_Наладка_и_оптимизация_для_профессионалов.pdf</v>
      </c>
      <c r="O442" s="3" t="s">
        <v>1799</v>
      </c>
    </row>
    <row r="443" spans="1:15" ht="165.6" x14ac:dyDescent="0.3">
      <c r="A443" s="4">
        <v>442</v>
      </c>
      <c r="B443" s="5" t="s">
        <v>1800</v>
      </c>
      <c r="C443" s="5" t="s">
        <v>1801</v>
      </c>
      <c r="D443" s="5" t="s">
        <v>59</v>
      </c>
      <c r="E443" s="5" t="s">
        <v>102</v>
      </c>
      <c r="F443" s="5" t="s">
        <v>1791</v>
      </c>
      <c r="G443" s="5" t="s">
        <v>1756</v>
      </c>
      <c r="H443" s="5" t="s">
        <v>1792</v>
      </c>
      <c r="I443" s="5" t="s">
        <v>20</v>
      </c>
      <c r="J443" s="5">
        <v>14.32</v>
      </c>
      <c r="K443" s="5" t="s">
        <v>21</v>
      </c>
      <c r="L443" s="5" t="s">
        <v>1802</v>
      </c>
      <c r="M443" s="5" t="s">
        <v>1794</v>
      </c>
      <c r="N443" s="7" t="str">
        <f>HYPERLINK("C:\Users\alexa\YandexDisk\Книги\Базы данных\MS SQLServer\Инновации SQL Server 2019.pdf","Инновации SQL Server 2019.pdf")</f>
        <v>Инновации SQL Server 2019.pdf</v>
      </c>
      <c r="O443" s="5" t="s">
        <v>1803</v>
      </c>
    </row>
    <row r="444" spans="1:15" ht="179.4" x14ac:dyDescent="0.3">
      <c r="A444" s="2">
        <v>443</v>
      </c>
      <c r="B444" s="3" t="s">
        <v>1804</v>
      </c>
      <c r="C444" s="3" t="s">
        <v>1805</v>
      </c>
      <c r="D444" s="3"/>
      <c r="E444" s="3"/>
      <c r="F444" s="3" t="s">
        <v>1806</v>
      </c>
      <c r="G444" s="3" t="s">
        <v>1756</v>
      </c>
      <c r="H444" s="3" t="s">
        <v>1807</v>
      </c>
      <c r="I444" s="3" t="s">
        <v>20</v>
      </c>
      <c r="J444" s="3">
        <v>5.55</v>
      </c>
      <c r="K444" s="3" t="s">
        <v>21</v>
      </c>
      <c r="L444" s="3" t="s">
        <v>1808</v>
      </c>
      <c r="M444" s="3" t="s">
        <v>1809</v>
      </c>
      <c r="N444" s="6" t="str">
        <f>HYPERLINK("C:\Users\alexa\YandexDisk\Книги\Базы данных\MySQL\Mastering MySQL for Web A Beginners Guide.pdf","Mastering MySQL for Web A Beginners Guide.pdf")</f>
        <v>Mastering MySQL for Web A Beginners Guide.pdf</v>
      </c>
      <c r="O444" s="3" t="s">
        <v>1810</v>
      </c>
    </row>
    <row r="445" spans="1:15" ht="151.80000000000001" x14ac:dyDescent="0.3">
      <c r="A445" s="4">
        <v>444</v>
      </c>
      <c r="B445" s="5" t="s">
        <v>1811</v>
      </c>
      <c r="C445" s="5" t="s">
        <v>1812</v>
      </c>
      <c r="D445" s="5" t="s">
        <v>32</v>
      </c>
      <c r="E445" s="5" t="s">
        <v>102</v>
      </c>
      <c r="F445" s="5" t="s">
        <v>1806</v>
      </c>
      <c r="G445" s="5" t="s">
        <v>1756</v>
      </c>
      <c r="H445" s="5" t="s">
        <v>1807</v>
      </c>
      <c r="I445" s="5" t="s">
        <v>20</v>
      </c>
      <c r="J445" s="5">
        <v>4.84</v>
      </c>
      <c r="K445" s="5" t="s">
        <v>21</v>
      </c>
      <c r="L445" s="5" t="s">
        <v>1813</v>
      </c>
      <c r="M445" s="5" t="s">
        <v>1809</v>
      </c>
      <c r="N445" s="7" t="str">
        <f>HYPERLINK("C:\Users\alexa\YandexDisk\Книги\Базы данных\MySQL\MySQL 8 для больших данных 2018.pdf","MySQL 8 для больших данных 2018.pdf")</f>
        <v>MySQL 8 для больших данных 2018.pdf</v>
      </c>
      <c r="O445" s="5" t="s">
        <v>1814</v>
      </c>
    </row>
    <row r="446" spans="1:15" ht="179.4" x14ac:dyDescent="0.3">
      <c r="A446" s="2">
        <v>445</v>
      </c>
      <c r="B446" s="3" t="s">
        <v>1815</v>
      </c>
      <c r="C446" s="3" t="s">
        <v>1816</v>
      </c>
      <c r="D446" s="3" t="s">
        <v>71</v>
      </c>
      <c r="E446" s="3"/>
      <c r="F446" s="3" t="s">
        <v>1806</v>
      </c>
      <c r="G446" s="3" t="s">
        <v>1756</v>
      </c>
      <c r="H446" s="3" t="s">
        <v>1807</v>
      </c>
      <c r="I446" s="3" t="s">
        <v>20</v>
      </c>
      <c r="J446" s="3">
        <v>2.31</v>
      </c>
      <c r="K446" s="3" t="s">
        <v>21</v>
      </c>
      <c r="L446" s="3" t="s">
        <v>1817</v>
      </c>
      <c r="M446" s="3" t="s">
        <v>1809</v>
      </c>
      <c r="N446" s="6" t="str">
        <f>HYPERLINK("C:\Users\alexa\YandexDisk\Книги\Базы данных\MySQL\MySQL Cookbook, 4th Edition  2022.pdf","MySQL Cookbook, 4th Edition  2022.pdf")</f>
        <v>MySQL Cookbook, 4th Edition  2022.pdf</v>
      </c>
      <c r="O446" s="3" t="s">
        <v>1818</v>
      </c>
    </row>
    <row r="447" spans="1:15" ht="179.4" x14ac:dyDescent="0.3">
      <c r="A447" s="4">
        <v>446</v>
      </c>
      <c r="B447" s="5" t="s">
        <v>1819</v>
      </c>
      <c r="C447" s="5" t="s">
        <v>1820</v>
      </c>
      <c r="D447" s="5" t="s">
        <v>32</v>
      </c>
      <c r="E447" s="5" t="s">
        <v>187</v>
      </c>
      <c r="F447" s="5" t="s">
        <v>1806</v>
      </c>
      <c r="G447" s="5" t="s">
        <v>1756</v>
      </c>
      <c r="H447" s="5" t="s">
        <v>1807</v>
      </c>
      <c r="I447" s="5" t="s">
        <v>20</v>
      </c>
      <c r="J447" s="5">
        <v>18.34</v>
      </c>
      <c r="K447" s="5" t="s">
        <v>21</v>
      </c>
      <c r="L447" s="5" t="s">
        <v>1821</v>
      </c>
      <c r="M447" s="5" t="s">
        <v>1809</v>
      </c>
      <c r="N447" s="7" t="str">
        <f>HYPERLINK("C:\Users\alexa\YandexDisk\Книги\Базы данных\MySQL\MySQL по максимуму 2018.pdf","MySQL по максимуму 2018.pdf")</f>
        <v>MySQL по максимуму 2018.pdf</v>
      </c>
      <c r="O447" s="5" t="s">
        <v>1822</v>
      </c>
    </row>
    <row r="448" spans="1:15" ht="207" x14ac:dyDescent="0.3">
      <c r="A448" s="2">
        <v>447</v>
      </c>
      <c r="B448" s="3" t="s">
        <v>1823</v>
      </c>
      <c r="C448" s="3" t="s">
        <v>1824</v>
      </c>
      <c r="D448" s="3" t="s">
        <v>27</v>
      </c>
      <c r="E448" s="3" t="s">
        <v>18</v>
      </c>
      <c r="F448" s="3" t="s">
        <v>1806</v>
      </c>
      <c r="G448" s="3" t="s">
        <v>1756</v>
      </c>
      <c r="H448" s="3" t="s">
        <v>1807</v>
      </c>
      <c r="I448" s="3" t="s">
        <v>20</v>
      </c>
      <c r="J448" s="3">
        <v>7.12</v>
      </c>
      <c r="K448" s="3" t="s">
        <v>21</v>
      </c>
      <c r="L448" s="3" t="s">
        <v>1825</v>
      </c>
      <c r="M448" s="3" t="s">
        <v>1809</v>
      </c>
      <c r="N448" s="6" t="str">
        <f>HYPERLINK("C:\Users\alexa\YandexDisk\Книги\Базы данных\MySQL\MySQL по максимуму.pdf","MySQL по максимуму.pdf")</f>
        <v>MySQL по максимуму.pdf</v>
      </c>
      <c r="O448" s="3" t="s">
        <v>1826</v>
      </c>
    </row>
    <row r="449" spans="1:15" ht="207" x14ac:dyDescent="0.3">
      <c r="A449" s="4">
        <v>448</v>
      </c>
      <c r="B449" s="5" t="s">
        <v>1827</v>
      </c>
      <c r="C449" s="5" t="s">
        <v>1828</v>
      </c>
      <c r="D449" s="5" t="s">
        <v>59</v>
      </c>
      <c r="E449" s="5" t="s">
        <v>372</v>
      </c>
      <c r="F449" s="5" t="s">
        <v>1806</v>
      </c>
      <c r="G449" s="5" t="s">
        <v>1756</v>
      </c>
      <c r="H449" s="5" t="s">
        <v>1807</v>
      </c>
      <c r="I449" s="5" t="s">
        <v>20</v>
      </c>
      <c r="J449" s="5">
        <v>3.32</v>
      </c>
      <c r="K449" s="5" t="s">
        <v>21</v>
      </c>
      <c r="L449" s="5" t="s">
        <v>1829</v>
      </c>
      <c r="M449" s="5" t="s">
        <v>1809</v>
      </c>
      <c r="N449" s="7" t="str">
        <f>HYPERLINK("C:\Users\alexa\YandexDisk\Книги\Базы данных\MySQL\Изучаем SQL и MySQL.pdf","Изучаем SQL и MySQL.pdf")</f>
        <v>Изучаем SQL и MySQL.pdf</v>
      </c>
      <c r="O449" s="5" t="s">
        <v>1830</v>
      </c>
    </row>
    <row r="450" spans="1:15" ht="193.2" x14ac:dyDescent="0.3">
      <c r="A450" s="2">
        <v>449</v>
      </c>
      <c r="B450" s="3" t="s">
        <v>1831</v>
      </c>
      <c r="C450" s="3" t="s">
        <v>1832</v>
      </c>
      <c r="D450" s="3" t="s">
        <v>172</v>
      </c>
      <c r="E450" s="3" t="s">
        <v>402</v>
      </c>
      <c r="F450" s="3" t="s">
        <v>1806</v>
      </c>
      <c r="G450" s="3" t="s">
        <v>1756</v>
      </c>
      <c r="H450" s="3" t="s">
        <v>1807</v>
      </c>
      <c r="I450" s="3" t="s">
        <v>20</v>
      </c>
      <c r="J450" s="3">
        <v>1.1499999999999999</v>
      </c>
      <c r="K450" s="3" t="s">
        <v>21</v>
      </c>
      <c r="L450" s="3" t="s">
        <v>1833</v>
      </c>
      <c r="M450" s="3" t="s">
        <v>1809</v>
      </c>
      <c r="N450" s="6" t="str">
        <f>HYPERLINK("C:\Users\alexa\YandexDisk\Книги\Базы данных\MySQL\Кузнецов-MYSQL5.pdf","Кузнецов-MYSQL5.pdf")</f>
        <v>Кузнецов-MYSQL5.pdf</v>
      </c>
      <c r="O450" s="3" t="s">
        <v>1834</v>
      </c>
    </row>
    <row r="451" spans="1:15" ht="138" x14ac:dyDescent="0.3">
      <c r="A451" s="4">
        <v>450</v>
      </c>
      <c r="B451" s="5" t="s">
        <v>1835</v>
      </c>
      <c r="C451" s="5" t="s">
        <v>1836</v>
      </c>
      <c r="D451" s="5" t="s">
        <v>77</v>
      </c>
      <c r="E451" s="5" t="s">
        <v>1837</v>
      </c>
      <c r="F451" s="5" t="s">
        <v>1806</v>
      </c>
      <c r="G451" s="5" t="s">
        <v>1756</v>
      </c>
      <c r="H451" s="5" t="s">
        <v>1807</v>
      </c>
      <c r="I451" s="5" t="s">
        <v>20</v>
      </c>
      <c r="J451" s="5">
        <v>7.93</v>
      </c>
      <c r="K451" s="5" t="s">
        <v>21</v>
      </c>
      <c r="L451" s="5" t="s">
        <v>1838</v>
      </c>
      <c r="M451" s="5" t="s">
        <v>1809</v>
      </c>
      <c r="N451" s="7" t="str">
        <f>HYPERLINK("C:\Users\alexa\YandexDisk\Книги\Базы данных\MySQL\Работа с MySql,_MS_SQL_Server_and_Oracle в приммерах.pdf","Работа с MySql,_MS_SQL_Server_and_Oracle в приммерах.pdf")</f>
        <v>Работа с MySql,_MS_SQL_Server_and_Oracle в приммерах.pdf</v>
      </c>
      <c r="O451" s="5" t="s">
        <v>1839</v>
      </c>
    </row>
    <row r="452" spans="1:15" ht="207" x14ac:dyDescent="0.3">
      <c r="A452" s="2">
        <v>451</v>
      </c>
      <c r="B452" s="3" t="s">
        <v>1840</v>
      </c>
      <c r="C452" s="3" t="s">
        <v>1841</v>
      </c>
      <c r="D452" s="3" t="s">
        <v>27</v>
      </c>
      <c r="E452" s="3" t="s">
        <v>1842</v>
      </c>
      <c r="F452" s="3" t="s">
        <v>1843</v>
      </c>
      <c r="G452" s="3" t="s">
        <v>1756</v>
      </c>
      <c r="H452" s="3" t="s">
        <v>1844</v>
      </c>
      <c r="I452" s="3" t="s">
        <v>20</v>
      </c>
      <c r="J452" s="3">
        <v>6.29</v>
      </c>
      <c r="K452" s="3" t="s">
        <v>21</v>
      </c>
      <c r="L452" s="3" t="s">
        <v>1845</v>
      </c>
      <c r="M452" s="3" t="s">
        <v>1846</v>
      </c>
      <c r="N452" s="6" t="str">
        <f>HYPERLINK("C:\Users\alexa\YandexDisk\Книги\Базы данных\NoSQL базы данных\SQL and NoSQL Databases.pdf","SQL and NoSQL Databases.pdf")</f>
        <v>SQL and NoSQL Databases.pdf</v>
      </c>
      <c r="O452" s="3" t="s">
        <v>1847</v>
      </c>
    </row>
    <row r="453" spans="1:15" ht="179.4" x14ac:dyDescent="0.3">
      <c r="A453" s="4">
        <v>452</v>
      </c>
      <c r="B453" s="5" t="s">
        <v>1848</v>
      </c>
      <c r="C453" s="5" t="s">
        <v>1849</v>
      </c>
      <c r="D453" s="5" t="s">
        <v>59</v>
      </c>
      <c r="E453" s="5" t="s">
        <v>442</v>
      </c>
      <c r="F453" s="5" t="s">
        <v>1843</v>
      </c>
      <c r="G453" s="5" t="s">
        <v>1756</v>
      </c>
      <c r="H453" s="5" t="s">
        <v>1844</v>
      </c>
      <c r="I453" s="5" t="s">
        <v>20</v>
      </c>
      <c r="J453" s="5">
        <v>25.54</v>
      </c>
      <c r="K453" s="5" t="s">
        <v>21</v>
      </c>
      <c r="L453" s="5" t="s">
        <v>1850</v>
      </c>
      <c r="M453" s="5" t="s">
        <v>1846</v>
      </c>
      <c r="N453" s="7" t="str">
        <f>HYPERLINK("C:\Users\alexa\YandexDisk\Книги\Базы данных\NoSQL базы данных\The_Practitioner’s_Guide_To_Graph_Data_Applying_Graph_Thinking_And.pdf","The_Practitioner’s_Guide_To_Graph_Data_Applying_Graph_Thinking_And.pdf")</f>
        <v>The_Practitioner’s_Guide_To_Graph_Data_Applying_Graph_Thinking_And.pdf</v>
      </c>
      <c r="O453" s="5" t="s">
        <v>1851</v>
      </c>
    </row>
    <row r="454" spans="1:15" ht="165.6" x14ac:dyDescent="0.3">
      <c r="A454" s="2">
        <v>453</v>
      </c>
      <c r="B454" s="3" t="s">
        <v>1852</v>
      </c>
      <c r="C454" s="3" t="s">
        <v>1853</v>
      </c>
      <c r="D454" s="3" t="s">
        <v>600</v>
      </c>
      <c r="E454" s="3" t="s">
        <v>102</v>
      </c>
      <c r="F454" s="3" t="s">
        <v>1843</v>
      </c>
      <c r="G454" s="3" t="s">
        <v>1756</v>
      </c>
      <c r="H454" s="3" t="s">
        <v>1844</v>
      </c>
      <c r="I454" s="3" t="s">
        <v>20</v>
      </c>
      <c r="J454" s="3">
        <v>8.5500000000000007</v>
      </c>
      <c r="K454" s="3" t="s">
        <v>21</v>
      </c>
      <c r="L454" s="3" t="s">
        <v>1854</v>
      </c>
      <c r="M454" s="3" t="s">
        <v>1846</v>
      </c>
      <c r="N454" s="6" t="str">
        <f>HYPERLINK("C:\Users\alexa\YandexDisk\Книги\Базы данных\NoSQL базы данных\Векторные базы данных.pdf","Векторные базы данных.pdf")</f>
        <v>Векторные базы данных.pdf</v>
      </c>
      <c r="O454" s="3" t="s">
        <v>1855</v>
      </c>
    </row>
    <row r="455" spans="1:15" ht="179.4" x14ac:dyDescent="0.3">
      <c r="A455" s="4">
        <v>454</v>
      </c>
      <c r="B455" s="5" t="s">
        <v>1856</v>
      </c>
      <c r="C455" s="5" t="s">
        <v>1857</v>
      </c>
      <c r="D455" s="5" t="s">
        <v>335</v>
      </c>
      <c r="E455" s="5" t="s">
        <v>336</v>
      </c>
      <c r="F455" s="5" t="s">
        <v>1843</v>
      </c>
      <c r="G455" s="5" t="s">
        <v>1756</v>
      </c>
      <c r="H455" s="5" t="s">
        <v>1844</v>
      </c>
      <c r="I455" s="5" t="s">
        <v>20</v>
      </c>
      <c r="J455" s="5">
        <v>7.69</v>
      </c>
      <c r="K455" s="5" t="s">
        <v>21</v>
      </c>
      <c r="L455" s="5" t="s">
        <v>1858</v>
      </c>
      <c r="M455" s="5" t="s">
        <v>1846</v>
      </c>
      <c r="N455" s="7" t="str">
        <f>HYPERLINK("C:\Users\alexa\YandexDisk\Книги\Базы данных\NoSQL базы данных\Потоковые базы данных.pdf","Потоковые базы данных.pdf")</f>
        <v>Потоковые базы данных.pdf</v>
      </c>
      <c r="O455" s="5" t="s">
        <v>1859</v>
      </c>
    </row>
    <row r="456" spans="1:15" ht="207" x14ac:dyDescent="0.3">
      <c r="A456" s="2">
        <v>455</v>
      </c>
      <c r="B456" s="3" t="s">
        <v>1860</v>
      </c>
      <c r="C456" s="3" t="s">
        <v>1861</v>
      </c>
      <c r="D456" s="3" t="s">
        <v>476</v>
      </c>
      <c r="E456" s="3" t="s">
        <v>102</v>
      </c>
      <c r="F456" s="3" t="s">
        <v>1843</v>
      </c>
      <c r="G456" s="3" t="s">
        <v>1756</v>
      </c>
      <c r="H456" s="3" t="s">
        <v>1844</v>
      </c>
      <c r="I456" s="3" t="s">
        <v>20</v>
      </c>
      <c r="J456" s="3">
        <v>2.38</v>
      </c>
      <c r="K456" s="3" t="s">
        <v>21</v>
      </c>
      <c r="L456" s="3" t="s">
        <v>1862</v>
      </c>
      <c r="M456" s="3" t="s">
        <v>1846</v>
      </c>
      <c r="N456" s="6" t="str">
        <f>HYPERLINK("C:\Users\alexa\YandexDisk\Книги\Базы данных\NoSQL базы данных\Семь баз данных за семь недель.pdf","Семь баз данных за семь недель.pdf")</f>
        <v>Семь баз данных за семь недель.pdf</v>
      </c>
      <c r="O456" s="3" t="s">
        <v>1863</v>
      </c>
    </row>
    <row r="457" spans="1:15" ht="165.6" x14ac:dyDescent="0.3">
      <c r="A457" s="4">
        <v>456</v>
      </c>
      <c r="B457" s="5" t="s">
        <v>1864</v>
      </c>
      <c r="C457" s="5" t="s">
        <v>1865</v>
      </c>
      <c r="D457" s="5" t="s">
        <v>114</v>
      </c>
      <c r="E457" s="5" t="s">
        <v>1866</v>
      </c>
      <c r="F457" s="5" t="s">
        <v>1867</v>
      </c>
      <c r="G457" s="5" t="s">
        <v>1756</v>
      </c>
      <c r="H457" s="5" t="s">
        <v>1868</v>
      </c>
      <c r="I457" s="5" t="s">
        <v>20</v>
      </c>
      <c r="J457" s="5">
        <v>18.649999999999999</v>
      </c>
      <c r="K457" s="5" t="s">
        <v>21</v>
      </c>
      <c r="L457" s="5" t="s">
        <v>1869</v>
      </c>
      <c r="M457" s="5" t="s">
        <v>1870</v>
      </c>
      <c r="N457" s="7" t="str">
        <f>HYPERLINK("C:\Users\alexa\YandexDisk\Книги\Базы данных\Oracle\Oracle для профессионалов - 2016.pdf","Oracle для профессионалов - 2016.pdf")</f>
        <v>Oracle для профессионалов - 2016.pdf</v>
      </c>
      <c r="O457" s="5" t="s">
        <v>1871</v>
      </c>
    </row>
    <row r="458" spans="1:15" ht="193.2" x14ac:dyDescent="0.3">
      <c r="A458" s="2">
        <v>457</v>
      </c>
      <c r="B458" s="3" t="s">
        <v>1872</v>
      </c>
      <c r="C458" s="3" t="s">
        <v>1873</v>
      </c>
      <c r="D458" s="3"/>
      <c r="E458" s="3" t="s">
        <v>557</v>
      </c>
      <c r="F458" s="3" t="s">
        <v>1874</v>
      </c>
      <c r="G458" s="3" t="s">
        <v>1756</v>
      </c>
      <c r="H458" s="3" t="s">
        <v>1875</v>
      </c>
      <c r="I458" s="3" t="s">
        <v>20</v>
      </c>
      <c r="J458" s="3">
        <v>32.6</v>
      </c>
      <c r="K458" s="3" t="s">
        <v>21</v>
      </c>
      <c r="L458" s="3" t="s">
        <v>1876</v>
      </c>
      <c r="M458" s="3" t="s">
        <v>1877</v>
      </c>
      <c r="N458" s="6" t="str">
        <f>HYPERLINK("C:\Users\alexa\YandexDisk\Книги\Базы данных\PostgreSQL\Just Use Postgres!_Final.pdf","Just Use Postgres!_Final.pdf")</f>
        <v>Just Use Postgres!_Final.pdf</v>
      </c>
      <c r="O458" s="3" t="s">
        <v>1878</v>
      </c>
    </row>
    <row r="459" spans="1:15" ht="193.2" x14ac:dyDescent="0.3">
      <c r="A459" s="4">
        <v>458</v>
      </c>
      <c r="B459" s="5" t="s">
        <v>1879</v>
      </c>
      <c r="C459" s="5" t="s">
        <v>1880</v>
      </c>
      <c r="D459" s="5" t="s">
        <v>71</v>
      </c>
      <c r="E459" s="5" t="s">
        <v>269</v>
      </c>
      <c r="F459" s="5" t="s">
        <v>1874</v>
      </c>
      <c r="G459" s="5" t="s">
        <v>1756</v>
      </c>
      <c r="H459" s="5" t="s">
        <v>1875</v>
      </c>
      <c r="I459" s="5" t="s">
        <v>20</v>
      </c>
      <c r="J459" s="5">
        <v>42.06</v>
      </c>
      <c r="K459" s="5" t="s">
        <v>21</v>
      </c>
      <c r="L459" s="5" t="s">
        <v>1881</v>
      </c>
      <c r="M459" s="5" t="s">
        <v>1877</v>
      </c>
      <c r="N459" s="7" t="str">
        <f>HYPERLINK("C:\Users\alexa\YandexDisk\Книги\Базы данных\PostgreSQL\PostGIS in Action Third Edition 2022.pdf","PostGIS in Action Third Edition 2022.pdf")</f>
        <v>PostGIS in Action Third Edition 2022.pdf</v>
      </c>
      <c r="O459" s="5" t="s">
        <v>1882</v>
      </c>
    </row>
    <row r="460" spans="1:15" ht="193.2" x14ac:dyDescent="0.3">
      <c r="A460" s="2">
        <v>459</v>
      </c>
      <c r="B460" s="3" t="s">
        <v>1883</v>
      </c>
      <c r="C460" s="3"/>
      <c r="D460" s="3"/>
      <c r="E460" s="3"/>
      <c r="F460" s="3" t="s">
        <v>1874</v>
      </c>
      <c r="G460" s="3" t="s">
        <v>1756</v>
      </c>
      <c r="H460" s="3" t="s">
        <v>1875</v>
      </c>
      <c r="I460" s="3" t="s">
        <v>20</v>
      </c>
      <c r="J460" s="3">
        <v>12.92</v>
      </c>
      <c r="K460" s="3" t="s">
        <v>21</v>
      </c>
      <c r="L460" s="3" t="s">
        <v>1884</v>
      </c>
      <c r="M460" s="3" t="s">
        <v>1877</v>
      </c>
      <c r="N460" s="6" t="str">
        <f>HYPERLINK("C:\Users\alexa\YandexDisk\Книги\Базы данных\PostgreSQL\Postgres 17. Первое знакомство.pdf","Postgres 17. Первое знакомство.pdf")</f>
        <v>Postgres 17. Первое знакомство.pdf</v>
      </c>
      <c r="O460" s="3" t="s">
        <v>1885</v>
      </c>
    </row>
    <row r="461" spans="1:15" ht="165.6" x14ac:dyDescent="0.3">
      <c r="A461" s="4">
        <v>460</v>
      </c>
      <c r="B461" s="5" t="s">
        <v>1886</v>
      </c>
      <c r="C461" s="5"/>
      <c r="D461" s="5"/>
      <c r="E461" s="5"/>
      <c r="F461" s="5" t="s">
        <v>1874</v>
      </c>
      <c r="G461" s="5" t="s">
        <v>1756</v>
      </c>
      <c r="H461" s="5" t="s">
        <v>1875</v>
      </c>
      <c r="I461" s="5" t="s">
        <v>20</v>
      </c>
      <c r="J461" s="5">
        <v>4.2699999999999996</v>
      </c>
      <c r="K461" s="5" t="s">
        <v>21</v>
      </c>
      <c r="L461" s="5" t="s">
        <v>1887</v>
      </c>
      <c r="M461" s="5" t="s">
        <v>1877</v>
      </c>
      <c r="N461" s="7" t="str">
        <f>HYPERLINK("C:\Users\alexa\YandexDisk\Книги\Базы данных\PostgreSQL\Postgres. Первое знакомство.pdf","Postgres. Первое знакомство.pdf")</f>
        <v>Postgres. Первое знакомство.pdf</v>
      </c>
      <c r="O461" s="5" t="s">
        <v>1888</v>
      </c>
    </row>
    <row r="462" spans="1:15" ht="165.6" x14ac:dyDescent="0.3">
      <c r="A462" s="2">
        <v>461</v>
      </c>
      <c r="B462" s="3" t="s">
        <v>1889</v>
      </c>
      <c r="C462" s="3" t="s">
        <v>1890</v>
      </c>
      <c r="D462" s="3" t="s">
        <v>77</v>
      </c>
      <c r="E462" s="3"/>
      <c r="F462" s="3" t="s">
        <v>1874</v>
      </c>
      <c r="G462" s="3" t="s">
        <v>1756</v>
      </c>
      <c r="H462" s="3" t="s">
        <v>1875</v>
      </c>
      <c r="I462" s="3" t="s">
        <v>20</v>
      </c>
      <c r="J462" s="3">
        <v>2.33</v>
      </c>
      <c r="K462" s="3" t="s">
        <v>21</v>
      </c>
      <c r="L462" s="3" t="s">
        <v>1891</v>
      </c>
      <c r="M462" s="3" t="s">
        <v>1877</v>
      </c>
      <c r="N462" s="6" t="str">
        <f>HYPERLINK("C:\Users\alexa\YandexDisk\Книги\Базы данных\PostgreSQL\PostgreSQL 11. Мастерство разработки 2019.pdf","PostgreSQL 11. Мастерство разработки 2019.pdf")</f>
        <v>PostgreSQL 11. Мастерство разработки 2019.pdf</v>
      </c>
      <c r="O462" s="3" t="s">
        <v>1892</v>
      </c>
    </row>
    <row r="463" spans="1:15" ht="179.4" x14ac:dyDescent="0.3">
      <c r="A463" s="4">
        <v>462</v>
      </c>
      <c r="B463" s="5" t="s">
        <v>1893</v>
      </c>
      <c r="C463" s="5" t="s">
        <v>1894</v>
      </c>
      <c r="D463" s="5" t="s">
        <v>71</v>
      </c>
      <c r="E463" s="5" t="s">
        <v>205</v>
      </c>
      <c r="F463" s="5" t="s">
        <v>1874</v>
      </c>
      <c r="G463" s="5" t="s">
        <v>1756</v>
      </c>
      <c r="H463" s="5" t="s">
        <v>1875</v>
      </c>
      <c r="I463" s="5" t="s">
        <v>20</v>
      </c>
      <c r="J463" s="5">
        <v>7.36</v>
      </c>
      <c r="K463" s="5" t="s">
        <v>21</v>
      </c>
      <c r="L463" s="5" t="s">
        <v>1895</v>
      </c>
      <c r="M463" s="5" t="s">
        <v>1877</v>
      </c>
      <c r="N463" s="7" t="str">
        <f>HYPERLINK("C:\Users\alexa\YandexDisk\Книги\Базы данных\PostgreSQL\PostgreSQL 14 Administration Cookbook.pdf","PostgreSQL 14 Administration Cookbook.pdf")</f>
        <v>PostgreSQL 14 Administration Cookbook.pdf</v>
      </c>
      <c r="O463" s="5" t="s">
        <v>1896</v>
      </c>
    </row>
    <row r="464" spans="1:15" ht="165.6" x14ac:dyDescent="0.3">
      <c r="A464" s="2">
        <v>463</v>
      </c>
      <c r="B464" s="3" t="s">
        <v>1897</v>
      </c>
      <c r="C464" s="3" t="s">
        <v>1898</v>
      </c>
      <c r="D464" s="3" t="s">
        <v>71</v>
      </c>
      <c r="E464" s="3" t="s">
        <v>102</v>
      </c>
      <c r="F464" s="3" t="s">
        <v>1874</v>
      </c>
      <c r="G464" s="3" t="s">
        <v>1756</v>
      </c>
      <c r="H464" s="3" t="s">
        <v>1875</v>
      </c>
      <c r="I464" s="3" t="s">
        <v>20</v>
      </c>
      <c r="J464" s="3">
        <v>8.44</v>
      </c>
      <c r="K464" s="3" t="s">
        <v>21</v>
      </c>
      <c r="L464" s="3" t="s">
        <v>1899</v>
      </c>
      <c r="M464" s="3" t="s">
        <v>1877</v>
      </c>
      <c r="N464" s="6" t="str">
        <f>HYPERLINK("C:\Users\alexa\YandexDisk\Книги\Базы данных\PostgreSQL\PostgreSQL 14 изнутри 2022.pdf","PostgreSQL 14 изнутри 2022.pdf")</f>
        <v>PostgreSQL 14 изнутри 2022.pdf</v>
      </c>
      <c r="O464" s="3" t="s">
        <v>1900</v>
      </c>
    </row>
    <row r="465" spans="1:15" ht="165.6" x14ac:dyDescent="0.3">
      <c r="A465" s="4">
        <v>464</v>
      </c>
      <c r="B465" s="5" t="s">
        <v>1901</v>
      </c>
      <c r="C465" s="5" t="s">
        <v>1902</v>
      </c>
      <c r="D465" s="5" t="s">
        <v>17</v>
      </c>
      <c r="E465" s="5" t="s">
        <v>227</v>
      </c>
      <c r="F465" s="5" t="s">
        <v>1874</v>
      </c>
      <c r="G465" s="5" t="s">
        <v>1756</v>
      </c>
      <c r="H465" s="5" t="s">
        <v>1875</v>
      </c>
      <c r="I465" s="5" t="s">
        <v>20</v>
      </c>
      <c r="J465" s="5">
        <v>10.38</v>
      </c>
      <c r="K465" s="5" t="s">
        <v>21</v>
      </c>
      <c r="L465" s="5" t="s">
        <v>1903</v>
      </c>
      <c r="M465" s="5" t="s">
        <v>1877</v>
      </c>
      <c r="N465" s="7" t="str">
        <f>HYPERLINK("C:\Users\alexa\YandexDisk\Книги\Базы данных\PostgreSQL\PostgreSQL Query Optimisation.pdf","PostgreSQL Query Optimisation.pdf")</f>
        <v>PostgreSQL Query Optimisation.pdf</v>
      </c>
      <c r="O465" s="5" t="s">
        <v>1904</v>
      </c>
    </row>
    <row r="466" spans="1:15" ht="165.6" x14ac:dyDescent="0.3">
      <c r="A466" s="2">
        <v>465</v>
      </c>
      <c r="B466" s="3" t="s">
        <v>1901</v>
      </c>
      <c r="C466" s="3" t="s">
        <v>1902</v>
      </c>
      <c r="D466" s="3" t="s">
        <v>71</v>
      </c>
      <c r="E466" s="3" t="s">
        <v>102</v>
      </c>
      <c r="F466" s="3" t="s">
        <v>1874</v>
      </c>
      <c r="G466" s="3" t="s">
        <v>1756</v>
      </c>
      <c r="H466" s="3" t="s">
        <v>1875</v>
      </c>
      <c r="I466" s="3" t="s">
        <v>20</v>
      </c>
      <c r="J466" s="3">
        <v>17.03</v>
      </c>
      <c r="K466" s="3" t="s">
        <v>21</v>
      </c>
      <c r="L466" s="3" t="s">
        <v>1905</v>
      </c>
      <c r="M466" s="3" t="s">
        <v>1877</v>
      </c>
      <c r="N466" s="6" t="str">
        <f>HYPERLINK("C:\Users\alexa\YandexDisk\Книги\Базы данных\PostgreSQL\PostgreSQL Оптимизация запросов 2022.pdf","PostgreSQL Оптимизация запросов 2022.pdf")</f>
        <v>PostgreSQL Оптимизация запросов 2022.pdf</v>
      </c>
      <c r="O466" s="3" t="s">
        <v>1906</v>
      </c>
    </row>
    <row r="467" spans="1:15" ht="165.6" x14ac:dyDescent="0.3">
      <c r="A467" s="4">
        <v>466</v>
      </c>
      <c r="B467" s="5" t="s">
        <v>1907</v>
      </c>
      <c r="C467" s="5"/>
      <c r="D467" s="5" t="s">
        <v>17</v>
      </c>
      <c r="E467" s="5"/>
      <c r="F467" s="5" t="s">
        <v>1874</v>
      </c>
      <c r="G467" s="5" t="s">
        <v>1756</v>
      </c>
      <c r="H467" s="5" t="s">
        <v>1875</v>
      </c>
      <c r="I467" s="5" t="s">
        <v>20</v>
      </c>
      <c r="J467" s="5">
        <v>4.2699999999999996</v>
      </c>
      <c r="K467" s="5" t="s">
        <v>21</v>
      </c>
      <c r="L467" s="5" t="s">
        <v>1908</v>
      </c>
      <c r="M467" s="5" t="s">
        <v>1877</v>
      </c>
      <c r="N467" s="7" t="str">
        <f>HYPERLINK("C:\Users\alexa\YandexDisk\Книги\Базы данных\PostgreSQL\PostgreSQL Первое знакомство 2021.pdf","PostgreSQL Первое знакомство 2021.pdf")</f>
        <v>PostgreSQL Первое знакомство 2021.pdf</v>
      </c>
      <c r="O467" s="5" t="s">
        <v>1909</v>
      </c>
    </row>
    <row r="468" spans="1:15" ht="124.2" x14ac:dyDescent="0.3">
      <c r="A468" s="2">
        <v>467</v>
      </c>
      <c r="B468" s="3" t="s">
        <v>1910</v>
      </c>
      <c r="C468" s="3" t="s">
        <v>1911</v>
      </c>
      <c r="D468" s="3" t="s">
        <v>32</v>
      </c>
      <c r="E468" s="3" t="s">
        <v>402</v>
      </c>
      <c r="F468" s="3" t="s">
        <v>1874</v>
      </c>
      <c r="G468" s="3" t="s">
        <v>1756</v>
      </c>
      <c r="H468" s="3" t="s">
        <v>1875</v>
      </c>
      <c r="I468" s="3" t="s">
        <v>20</v>
      </c>
      <c r="J468" s="3">
        <v>1.98</v>
      </c>
      <c r="K468" s="3" t="s">
        <v>21</v>
      </c>
      <c r="L468" s="3" t="s">
        <v>1912</v>
      </c>
      <c r="M468" s="3" t="s">
        <v>1877</v>
      </c>
      <c r="N468" s="6" t="str">
        <f>HYPERLINK("C:\Users\alexa\YandexDisk\Книги\Базы данных\PostgreSQL\PostgreSQL. Основы языка SQL 2019.pdf","PostgreSQL. Основы языка SQL 2019.pdf")</f>
        <v>PostgreSQL. Основы языка SQL 2019.pdf</v>
      </c>
      <c r="O468" s="3" t="s">
        <v>1913</v>
      </c>
    </row>
    <row r="469" spans="1:15" ht="207" x14ac:dyDescent="0.3">
      <c r="A469" s="4">
        <v>468</v>
      </c>
      <c r="B469" s="5" t="s">
        <v>1914</v>
      </c>
      <c r="C469" s="5" t="s">
        <v>1915</v>
      </c>
      <c r="D469" s="5" t="s">
        <v>109</v>
      </c>
      <c r="E469" s="5" t="s">
        <v>1916</v>
      </c>
      <c r="F469" s="5" t="s">
        <v>1874</v>
      </c>
      <c r="G469" s="5" t="s">
        <v>1756</v>
      </c>
      <c r="H469" s="5" t="s">
        <v>1875</v>
      </c>
      <c r="I469" s="5" t="s">
        <v>20</v>
      </c>
      <c r="J469" s="5">
        <v>6.58</v>
      </c>
      <c r="K469" s="5" t="s">
        <v>21</v>
      </c>
      <c r="L469" s="5" t="s">
        <v>1917</v>
      </c>
      <c r="M469" s="5" t="s">
        <v>1877</v>
      </c>
      <c r="N469" s="7" t="str">
        <f>HYPERLINK("C:\Users\alexa\YandexDisk\Книги\Базы данных\PostgreSQL\Мониторинг PostgreSQL.pdf","Мониторинг PostgreSQL.pdf")</f>
        <v>Мониторинг PostgreSQL.pdf</v>
      </c>
      <c r="O469" s="5" t="s">
        <v>1918</v>
      </c>
    </row>
    <row r="470" spans="1:15" ht="138" x14ac:dyDescent="0.3">
      <c r="A470" s="2">
        <v>469</v>
      </c>
      <c r="B470" s="3" t="s">
        <v>1919</v>
      </c>
      <c r="C470" s="3" t="s">
        <v>1920</v>
      </c>
      <c r="D470" s="3" t="s">
        <v>77</v>
      </c>
      <c r="E470" s="3" t="s">
        <v>102</v>
      </c>
      <c r="F470" s="3" t="s">
        <v>1874</v>
      </c>
      <c r="G470" s="3" t="s">
        <v>1756</v>
      </c>
      <c r="H470" s="3" t="s">
        <v>1875</v>
      </c>
      <c r="I470" s="3" t="s">
        <v>20</v>
      </c>
      <c r="J470" s="3">
        <v>25.74</v>
      </c>
      <c r="K470" s="3" t="s">
        <v>21</v>
      </c>
      <c r="L470" s="3" t="s">
        <v>1921</v>
      </c>
      <c r="M470" s="3" t="s">
        <v>1877</v>
      </c>
      <c r="N470" s="6" t="str">
        <f>HYPERLINK("C:\Users\alexa\YandexDisk\Книги\Базы данных\PostgreSQL\Основы технологий БД - Postgres.pdf","Основы технологий БД - Postgres.pdf")</f>
        <v>Основы технологий БД - Postgres.pdf</v>
      </c>
      <c r="O470" s="3" t="s">
        <v>1922</v>
      </c>
    </row>
    <row r="471" spans="1:15" ht="179.4" x14ac:dyDescent="0.3">
      <c r="A471" s="4">
        <v>470</v>
      </c>
      <c r="B471" s="5" t="s">
        <v>1923</v>
      </c>
      <c r="C471" s="5" t="s">
        <v>1924</v>
      </c>
      <c r="D471" s="5" t="s">
        <v>77</v>
      </c>
      <c r="E471" s="5" t="s">
        <v>18</v>
      </c>
      <c r="F471" s="5" t="s">
        <v>1925</v>
      </c>
      <c r="G471" s="5" t="s">
        <v>1756</v>
      </c>
      <c r="H471" s="5" t="s">
        <v>1366</v>
      </c>
      <c r="I471" s="5" t="s">
        <v>20</v>
      </c>
      <c r="J471" s="5">
        <v>16.62</v>
      </c>
      <c r="K471" s="5" t="s">
        <v>21</v>
      </c>
      <c r="L471" s="5" t="s">
        <v>1926</v>
      </c>
      <c r="M471" s="5" t="s">
        <v>1927</v>
      </c>
      <c r="N471" s="7" t="str">
        <f>HYPERLINK("C:\Users\alexa\YandexDisk\Книги\Базы данных\Потоковая обработка\Kafka Streams в действии.pdf","Kafka Streams в действии.pdf")</f>
        <v>Kafka Streams в действии.pdf</v>
      </c>
      <c r="O471" s="5" t="s">
        <v>1928</v>
      </c>
    </row>
    <row r="472" spans="1:15" ht="151.80000000000001" x14ac:dyDescent="0.3">
      <c r="A472" s="2">
        <v>471</v>
      </c>
      <c r="B472" s="3" t="s">
        <v>1929</v>
      </c>
      <c r="C472" s="3" t="s">
        <v>1930</v>
      </c>
      <c r="D472" s="3"/>
      <c r="E472" s="3" t="s">
        <v>908</v>
      </c>
      <c r="F472" s="3" t="s">
        <v>1931</v>
      </c>
      <c r="G472" s="3" t="s">
        <v>1756</v>
      </c>
      <c r="H472" s="3" t="s">
        <v>1932</v>
      </c>
      <c r="I472" s="3" t="s">
        <v>20</v>
      </c>
      <c r="J472" s="3">
        <v>13.49</v>
      </c>
      <c r="K472" s="3" t="s">
        <v>21</v>
      </c>
      <c r="L472" s="3" t="s">
        <v>1933</v>
      </c>
      <c r="M472" s="3" t="s">
        <v>1934</v>
      </c>
      <c r="N472" s="6" t="str">
        <f>HYPERLINK("C:\Users\alexa\YandexDisk\Книги\Базы данных\Проектирование БД\Creation and management DataBase.pdf","Creation and management DataBase.pdf")</f>
        <v>Creation and management DataBase.pdf</v>
      </c>
      <c r="O472" s="3" t="s">
        <v>1935</v>
      </c>
    </row>
    <row r="473" spans="1:15" ht="193.2" x14ac:dyDescent="0.3">
      <c r="A473" s="4">
        <v>472</v>
      </c>
      <c r="B473" s="5" t="s">
        <v>1936</v>
      </c>
      <c r="C473" s="5" t="s">
        <v>1937</v>
      </c>
      <c r="D473" s="5"/>
      <c r="E473" s="5"/>
      <c r="F473" s="5" t="s">
        <v>1931</v>
      </c>
      <c r="G473" s="5" t="s">
        <v>1756</v>
      </c>
      <c r="H473" s="5" t="s">
        <v>1932</v>
      </c>
      <c r="I473" s="5" t="s">
        <v>280</v>
      </c>
      <c r="J473" s="5">
        <v>21.43</v>
      </c>
      <c r="K473" s="5" t="s">
        <v>21</v>
      </c>
      <c r="L473" s="5" t="s">
        <v>1938</v>
      </c>
      <c r="M473" s="5" t="s">
        <v>1934</v>
      </c>
      <c r="N473" s="7" t="str">
        <f>HYPERLINK("C:\Users\alexa\YandexDisk\Книги\Базы данных\Проектирование БД\Database Design - Michael J. Hernandez .epub","Database Design - Michael J. Hernandez .epub")</f>
        <v>Database Design - Michael J. Hernandez .epub</v>
      </c>
      <c r="O473" s="5" t="s">
        <v>1939</v>
      </c>
    </row>
    <row r="474" spans="1:15" ht="207" x14ac:dyDescent="0.3">
      <c r="A474" s="2">
        <v>473</v>
      </c>
      <c r="B474" s="3" t="s">
        <v>1940</v>
      </c>
      <c r="C474" s="3" t="s">
        <v>1941</v>
      </c>
      <c r="D474" s="3" t="s">
        <v>600</v>
      </c>
      <c r="E474" s="3" t="s">
        <v>336</v>
      </c>
      <c r="F474" s="3" t="s">
        <v>1931</v>
      </c>
      <c r="G474" s="3" t="s">
        <v>1756</v>
      </c>
      <c r="H474" s="3" t="s">
        <v>1932</v>
      </c>
      <c r="I474" s="3" t="s">
        <v>20</v>
      </c>
      <c r="J474" s="3">
        <v>7.93</v>
      </c>
      <c r="K474" s="3" t="s">
        <v>21</v>
      </c>
      <c r="L474" s="3" t="s">
        <v>1942</v>
      </c>
      <c r="M474" s="3" t="s">
        <v>1934</v>
      </c>
      <c r="N474" s="6" t="str">
        <f>HYPERLINK("C:\Users\alexa\YandexDisk\Книги\Базы данных\Проектирование БД\Архитектуры данных.pdf","Архитектуры данных.pdf")</f>
        <v>Архитектуры данных.pdf</v>
      </c>
      <c r="O474" s="3" t="s">
        <v>1943</v>
      </c>
    </row>
    <row r="475" spans="1:15" ht="179.4" x14ac:dyDescent="0.3">
      <c r="A475" s="4">
        <v>474</v>
      </c>
      <c r="B475" s="5" t="s">
        <v>1944</v>
      </c>
      <c r="C475" s="5" t="s">
        <v>1945</v>
      </c>
      <c r="D475" s="5" t="s">
        <v>59</v>
      </c>
      <c r="E475" s="5" t="s">
        <v>143</v>
      </c>
      <c r="F475" s="5" t="s">
        <v>1931</v>
      </c>
      <c r="G475" s="5" t="s">
        <v>1756</v>
      </c>
      <c r="H475" s="5" t="s">
        <v>1932</v>
      </c>
      <c r="I475" s="5" t="s">
        <v>20</v>
      </c>
      <c r="J475" s="5">
        <v>2.77</v>
      </c>
      <c r="K475" s="5" t="s">
        <v>21</v>
      </c>
      <c r="L475" s="5" t="s">
        <v>1946</v>
      </c>
      <c r="M475" s="5" t="s">
        <v>1934</v>
      </c>
      <c r="N475" s="7" t="str">
        <f>HYPERLINK("C:\Users\alexa\YandexDisk\Книги\Базы данных\Проектирование БД\Базы данных- практические работы.pdf","Базы данных- практические работы.pdf")</f>
        <v>Базы данных- практические работы.pdf</v>
      </c>
      <c r="O475" s="5" t="s">
        <v>1947</v>
      </c>
    </row>
    <row r="476" spans="1:15" ht="193.2" x14ac:dyDescent="0.3">
      <c r="A476" s="2">
        <v>475</v>
      </c>
      <c r="B476" s="3" t="s">
        <v>1948</v>
      </c>
      <c r="C476" s="3" t="s">
        <v>1949</v>
      </c>
      <c r="D476" s="3" t="s">
        <v>59</v>
      </c>
      <c r="E476" s="3" t="s">
        <v>18</v>
      </c>
      <c r="F476" s="3" t="s">
        <v>1931</v>
      </c>
      <c r="G476" s="3" t="s">
        <v>1756</v>
      </c>
      <c r="H476" s="3" t="s">
        <v>1932</v>
      </c>
      <c r="I476" s="3" t="s">
        <v>20</v>
      </c>
      <c r="J476" s="3">
        <v>4.3600000000000003</v>
      </c>
      <c r="K476" s="3" t="s">
        <v>21</v>
      </c>
      <c r="L476" s="3" t="s">
        <v>1950</v>
      </c>
      <c r="M476" s="3" t="s">
        <v>1934</v>
      </c>
      <c r="N476" s="6" t="str">
        <f>HYPERLINK("C:\Users\alexa\YandexDisk\Книги\Базы данных\Проектирование БД\Базы данных. Инжиниринг надежности.pdf","Базы данных. Инжиниринг надежности.pdf")</f>
        <v>Базы данных. Инжиниринг надежности.pdf</v>
      </c>
      <c r="O476" s="3" t="s">
        <v>1951</v>
      </c>
    </row>
    <row r="477" spans="1:15" ht="179.4" x14ac:dyDescent="0.3">
      <c r="A477" s="4">
        <v>476</v>
      </c>
      <c r="B477" s="5" t="s">
        <v>1952</v>
      </c>
      <c r="C477" s="5" t="s">
        <v>1953</v>
      </c>
      <c r="D477" s="5" t="s">
        <v>71</v>
      </c>
      <c r="E477" s="5" t="s">
        <v>148</v>
      </c>
      <c r="F477" s="5" t="s">
        <v>1931</v>
      </c>
      <c r="G477" s="5" t="s">
        <v>1756</v>
      </c>
      <c r="H477" s="5" t="s">
        <v>1932</v>
      </c>
      <c r="I477" s="5" t="s">
        <v>20</v>
      </c>
      <c r="J477" s="5">
        <v>3.17</v>
      </c>
      <c r="K477" s="5" t="s">
        <v>21</v>
      </c>
      <c r="L477" s="5" t="s">
        <v>1954</v>
      </c>
      <c r="M477" s="5" t="s">
        <v>1934</v>
      </c>
      <c r="N477" s="7" t="str">
        <f>HYPERLINK("C:\Users\alexa\YandexDisk\Книги\Базы данных\Проектирование БД\Базы данных.pdf","Базы данных.pdf")</f>
        <v>Базы данных.pdf</v>
      </c>
      <c r="O477" s="5" t="s">
        <v>1955</v>
      </c>
    </row>
    <row r="478" spans="1:15" ht="179.4" x14ac:dyDescent="0.3">
      <c r="A478" s="2">
        <v>477</v>
      </c>
      <c r="B478" s="3" t="s">
        <v>1956</v>
      </c>
      <c r="C478" s="3" t="s">
        <v>1957</v>
      </c>
      <c r="D478" s="3" t="s">
        <v>32</v>
      </c>
      <c r="E478" s="3" t="s">
        <v>18</v>
      </c>
      <c r="F478" s="3" t="s">
        <v>1931</v>
      </c>
      <c r="G478" s="3" t="s">
        <v>1756</v>
      </c>
      <c r="H478" s="3" t="s">
        <v>1932</v>
      </c>
      <c r="I478" s="3" t="s">
        <v>20</v>
      </c>
      <c r="J478" s="3">
        <v>14.19</v>
      </c>
      <c r="K478" s="3" t="s">
        <v>21</v>
      </c>
      <c r="L478" s="3" t="s">
        <v>1958</v>
      </c>
      <c r="M478" s="3" t="s">
        <v>1934</v>
      </c>
      <c r="N478" s="6" t="str">
        <f>HYPERLINK("C:\Users\alexa\YandexDisk\Книги\Базы данных\Проектирование БД\Высоконагруженные приложения.pdf","Высоконагруженные приложения.pdf")</f>
        <v>Высоконагруженные приложения.pdf</v>
      </c>
      <c r="O478" s="3" t="s">
        <v>1959</v>
      </c>
    </row>
    <row r="479" spans="1:15" ht="179.4" x14ac:dyDescent="0.3">
      <c r="A479" s="4">
        <v>478</v>
      </c>
      <c r="B479" s="5" t="s">
        <v>1960</v>
      </c>
      <c r="C479" s="5" t="s">
        <v>1961</v>
      </c>
      <c r="D479" s="5" t="s">
        <v>600</v>
      </c>
      <c r="E479" s="5" t="s">
        <v>18</v>
      </c>
      <c r="F479" s="5" t="s">
        <v>1931</v>
      </c>
      <c r="G479" s="5" t="s">
        <v>1756</v>
      </c>
      <c r="H479" s="5" t="s">
        <v>1932</v>
      </c>
      <c r="I479" s="5" t="s">
        <v>20</v>
      </c>
      <c r="J479" s="5">
        <v>13.02</v>
      </c>
      <c r="K479" s="5" t="s">
        <v>21</v>
      </c>
      <c r="L479" s="5" t="s">
        <v>1962</v>
      </c>
      <c r="M479" s="5" t="s">
        <v>1934</v>
      </c>
      <c r="N479" s="7" t="str">
        <f>HYPERLINK("C:\Users\alexa\YandexDisk\Книги\Базы данных\Проектирование БД\Грокаем+проектирование+реляционных+баз+данных.pdf","Грокаем+проектирование+реляционных+баз+данных.pdf")</f>
        <v>Грокаем+проектирование+реляционных+баз+данных.pdf</v>
      </c>
      <c r="O479" s="5" t="s">
        <v>1963</v>
      </c>
    </row>
    <row r="480" spans="1:15" ht="41.4" x14ac:dyDescent="0.3">
      <c r="A480" s="2">
        <v>479</v>
      </c>
      <c r="B480" s="3" t="s">
        <v>1964</v>
      </c>
      <c r="C480" s="3" t="s">
        <v>1965</v>
      </c>
      <c r="D480" s="3"/>
      <c r="E480" s="3"/>
      <c r="F480" s="3" t="s">
        <v>1931</v>
      </c>
      <c r="G480" s="3" t="s">
        <v>1756</v>
      </c>
      <c r="H480" s="3" t="s">
        <v>1932</v>
      </c>
      <c r="I480" s="3" t="s">
        <v>20</v>
      </c>
      <c r="J480" s="3">
        <v>29.94</v>
      </c>
      <c r="K480" s="3" t="s">
        <v>21</v>
      </c>
      <c r="L480" s="3" t="s">
        <v>1966</v>
      </c>
      <c r="M480" s="3" t="s">
        <v>1934</v>
      </c>
      <c r="N480" s="6" t="str">
        <f>HYPERLINK("C:\Users\alexa\YandexDisk\Книги\Базы данных\Проектирование БД\Ильюшечкин Основы использования и проектирования БД.pdf","Ильюшечкин Основы использования и проектирования БД.pdf")</f>
        <v>Ильюшечкин Основы использования и проектирования БД.pdf</v>
      </c>
      <c r="O480" s="3" t="s">
        <v>1735</v>
      </c>
    </row>
    <row r="481" spans="1:15" ht="165.6" x14ac:dyDescent="0.3">
      <c r="A481" s="4">
        <v>480</v>
      </c>
      <c r="B481" s="5" t="s">
        <v>1967</v>
      </c>
      <c r="C481" s="5" t="s">
        <v>1968</v>
      </c>
      <c r="D481" s="5" t="s">
        <v>59</v>
      </c>
      <c r="E481" s="5" t="s">
        <v>1969</v>
      </c>
      <c r="F481" s="5" t="s">
        <v>1931</v>
      </c>
      <c r="G481" s="5" t="s">
        <v>1756</v>
      </c>
      <c r="H481" s="5" t="s">
        <v>1932</v>
      </c>
      <c r="I481" s="5" t="s">
        <v>20</v>
      </c>
      <c r="J481" s="5">
        <v>12.27</v>
      </c>
      <c r="K481" s="5" t="s">
        <v>21</v>
      </c>
      <c r="L481" s="5" t="s">
        <v>1970</v>
      </c>
      <c r="M481" s="5" t="s">
        <v>1934</v>
      </c>
      <c r="N481" s="7" t="str">
        <f>HYPERLINK("C:\Users\alexa\YandexDisk\Книги\Базы данных\Проектирование БД\Куликов_С_Реляционные_базы_данных_в_примерах_2020.pdf","Куликов_С_Реляционные_базы_данных_в_примерах_2020.pdf")</f>
        <v>Куликов_С_Реляционные_базы_данных_в_примерах_2020.pdf</v>
      </c>
      <c r="O481" s="5" t="s">
        <v>1971</v>
      </c>
    </row>
    <row r="482" spans="1:15" ht="138" x14ac:dyDescent="0.3">
      <c r="A482" s="2">
        <v>481</v>
      </c>
      <c r="B482" s="3" t="s">
        <v>1972</v>
      </c>
      <c r="C482" s="3"/>
      <c r="D482" s="3"/>
      <c r="E482" s="3"/>
      <c r="F482" s="3" t="s">
        <v>1931</v>
      </c>
      <c r="G482" s="3" t="s">
        <v>1756</v>
      </c>
      <c r="H482" s="3" t="s">
        <v>1932</v>
      </c>
      <c r="I482" s="3" t="s">
        <v>20</v>
      </c>
      <c r="J482" s="3">
        <v>23.31</v>
      </c>
      <c r="K482" s="3" t="s">
        <v>21</v>
      </c>
      <c r="L482" s="3" t="s">
        <v>1973</v>
      </c>
      <c r="M482" s="3" t="s">
        <v>1934</v>
      </c>
      <c r="N482" s="6" t="str">
        <f>HYPERLINK("C:\Users\alexa\YandexDisk\Книги\Базы данных\Проектирование БД\Максимальная производительность.pdf","Максимальная производительность.pdf")</f>
        <v>Максимальная производительность.pdf</v>
      </c>
      <c r="O482" s="3" t="s">
        <v>1974</v>
      </c>
    </row>
    <row r="483" spans="1:15" ht="151.80000000000001" x14ac:dyDescent="0.3">
      <c r="A483" s="4">
        <v>482</v>
      </c>
      <c r="B483" s="5" t="s">
        <v>1975</v>
      </c>
      <c r="C483" s="5" t="s">
        <v>1976</v>
      </c>
      <c r="D483" s="5"/>
      <c r="E483" s="5"/>
      <c r="F483" s="5" t="s">
        <v>1931</v>
      </c>
      <c r="G483" s="5" t="s">
        <v>1756</v>
      </c>
      <c r="H483" s="5" t="s">
        <v>1932</v>
      </c>
      <c r="I483" s="5" t="s">
        <v>20</v>
      </c>
      <c r="J483" s="5">
        <v>19.23</v>
      </c>
      <c r="K483" s="5" t="s">
        <v>21</v>
      </c>
      <c r="L483" s="5" t="s">
        <v>1977</v>
      </c>
      <c r="M483" s="5" t="s">
        <v>1934</v>
      </c>
      <c r="N483" s="7" t="str">
        <f>HYPERLINK("C:\Users\alexa\YandexDisk\Книги\Базы данных\Проектирование БД\Мана_Такахаси_Занимательное_программирование_Базы_данных.pdf","Мана_Такахаси_Занимательное_программирование_Базы_данных.pdf")</f>
        <v>Мана_Такахаси_Занимательное_программирование_Базы_данных.pdf</v>
      </c>
      <c r="O483" s="5" t="s">
        <v>1978</v>
      </c>
    </row>
    <row r="484" spans="1:15" ht="165.6" x14ac:dyDescent="0.3">
      <c r="A484" s="2">
        <v>483</v>
      </c>
      <c r="B484" s="3" t="s">
        <v>1979</v>
      </c>
      <c r="C484" s="3" t="s">
        <v>1980</v>
      </c>
      <c r="D484" s="3" t="s">
        <v>17</v>
      </c>
      <c r="E484" s="3" t="s">
        <v>143</v>
      </c>
      <c r="F484" s="3" t="s">
        <v>1931</v>
      </c>
      <c r="G484" s="3" t="s">
        <v>1756</v>
      </c>
      <c r="H484" s="3" t="s">
        <v>1932</v>
      </c>
      <c r="I484" s="3" t="s">
        <v>20</v>
      </c>
      <c r="J484" s="3">
        <v>1.76</v>
      </c>
      <c r="K484" s="3" t="s">
        <v>21</v>
      </c>
      <c r="L484" s="3" t="s">
        <v>1981</v>
      </c>
      <c r="M484" s="3" t="s">
        <v>1934</v>
      </c>
      <c r="N484" s="6" t="str">
        <f>HYPERLINK("C:\Users\alexa\YandexDisk\Книги\Базы данных\Проектирование БД\Методы проектирования БД.pdf","Методы проектирования БД.pdf")</f>
        <v>Методы проектирования БД.pdf</v>
      </c>
      <c r="O484" s="3" t="s">
        <v>1982</v>
      </c>
    </row>
    <row r="485" spans="1:15" ht="151.80000000000001" x14ac:dyDescent="0.3">
      <c r="A485" s="4">
        <v>484</v>
      </c>
      <c r="B485" s="5" t="s">
        <v>1983</v>
      </c>
      <c r="C485" s="5"/>
      <c r="D485" s="5"/>
      <c r="E485" s="5"/>
      <c r="F485" s="5" t="s">
        <v>1931</v>
      </c>
      <c r="G485" s="5" t="s">
        <v>1756</v>
      </c>
      <c r="H485" s="5" t="s">
        <v>1932</v>
      </c>
      <c r="I485" s="5" t="s">
        <v>20</v>
      </c>
      <c r="J485" s="5">
        <v>41.64</v>
      </c>
      <c r="K485" s="5" t="s">
        <v>21</v>
      </c>
      <c r="L485" s="5" t="s">
        <v>1984</v>
      </c>
      <c r="M485" s="5" t="s">
        <v>1934</v>
      </c>
      <c r="N485" s="7" t="str">
        <f>HYPERLINK("C:\Users\alexa\YandexDisk\Книги\Базы данных\Проектирование БД\Методы, модели, средства хранения и обработки данных.pdf","Методы, модели, средства хранения и обработки данных.pdf")</f>
        <v>Методы, модели, средства хранения и обработки данных.pdf</v>
      </c>
      <c r="O485" s="5" t="s">
        <v>1985</v>
      </c>
    </row>
    <row r="486" spans="1:15" ht="151.80000000000001" x14ac:dyDescent="0.3">
      <c r="A486" s="2">
        <v>485</v>
      </c>
      <c r="B486" s="3" t="s">
        <v>1986</v>
      </c>
      <c r="C486" s="3"/>
      <c r="D486" s="3"/>
      <c r="E486" s="3"/>
      <c r="F486" s="3" t="s">
        <v>1931</v>
      </c>
      <c r="G486" s="3" t="s">
        <v>1756</v>
      </c>
      <c r="H486" s="3" t="s">
        <v>1932</v>
      </c>
      <c r="I486" s="3" t="s">
        <v>20</v>
      </c>
      <c r="J486" s="3">
        <v>56.91</v>
      </c>
      <c r="K486" s="3" t="s">
        <v>21</v>
      </c>
      <c r="L486" s="3" t="s">
        <v>1987</v>
      </c>
      <c r="M486" s="3" t="s">
        <v>1934</v>
      </c>
      <c r="N486" s="6" t="str">
        <f>HYPERLINK("C:\Users\alexa\YandexDisk\Книги\Базы данных\Проектирование БД\Основы проектирования баз данных.pdf","Основы проектирования баз данных.pdf")</f>
        <v>Основы проектирования баз данных.pdf</v>
      </c>
      <c r="O486" s="3" t="s">
        <v>1988</v>
      </c>
    </row>
    <row r="487" spans="1:15" ht="151.80000000000001" x14ac:dyDescent="0.3">
      <c r="A487" s="4">
        <v>486</v>
      </c>
      <c r="B487" s="5" t="s">
        <v>1989</v>
      </c>
      <c r="C487" s="5" t="s">
        <v>1990</v>
      </c>
      <c r="D487" s="5" t="s">
        <v>17</v>
      </c>
      <c r="E487" s="5" t="s">
        <v>102</v>
      </c>
      <c r="F487" s="5" t="s">
        <v>1931</v>
      </c>
      <c r="G487" s="5" t="s">
        <v>1756</v>
      </c>
      <c r="H487" s="5" t="s">
        <v>1932</v>
      </c>
      <c r="I487" s="5" t="s">
        <v>20</v>
      </c>
      <c r="J487" s="5">
        <v>5.81</v>
      </c>
      <c r="K487" s="5" t="s">
        <v>21</v>
      </c>
      <c r="L487" s="5" t="s">
        <v>1991</v>
      </c>
      <c r="M487" s="5" t="s">
        <v>1934</v>
      </c>
      <c r="N487" s="7" t="str">
        <f>HYPERLINK("C:\Users\alexa\YandexDisk\Книги\Базы данных\Проектирование БД\Проектирование СУБД.pdf","Проектирование СУБД.pdf")</f>
        <v>Проектирование СУБД.pdf</v>
      </c>
      <c r="O487" s="5" t="s">
        <v>1992</v>
      </c>
    </row>
    <row r="488" spans="1:15" ht="207" x14ac:dyDescent="0.3">
      <c r="A488" s="2">
        <v>487</v>
      </c>
      <c r="B488" s="3" t="s">
        <v>1993</v>
      </c>
      <c r="C488" s="3" t="s">
        <v>1994</v>
      </c>
      <c r="D488" s="3" t="s">
        <v>109</v>
      </c>
      <c r="E488" s="3" t="s">
        <v>1995</v>
      </c>
      <c r="F488" s="3" t="s">
        <v>1931</v>
      </c>
      <c r="G488" s="3" t="s">
        <v>1756</v>
      </c>
      <c r="H488" s="3" t="s">
        <v>1932</v>
      </c>
      <c r="I488" s="3" t="s">
        <v>20</v>
      </c>
      <c r="J488" s="3">
        <v>5.59</v>
      </c>
      <c r="K488" s="3" t="s">
        <v>21</v>
      </c>
      <c r="L488" s="3" t="s">
        <v>1996</v>
      </c>
      <c r="M488" s="3" t="s">
        <v>1934</v>
      </c>
      <c r="N488" s="6" t="str">
        <f>HYPERLINK("C:\Users\alexa\YandexDisk\Книги\Базы данных\Проектирование БД\Путеводитель по базам данных.pdf","Путеводитель по базам данных.pdf")</f>
        <v>Путеводитель по базам данных.pdf</v>
      </c>
      <c r="O488" s="3" t="s">
        <v>1997</v>
      </c>
    </row>
    <row r="489" spans="1:15" ht="193.2" x14ac:dyDescent="0.3">
      <c r="A489" s="4">
        <v>488</v>
      </c>
      <c r="B489" s="5" t="s">
        <v>1998</v>
      </c>
      <c r="C489" s="5" t="s">
        <v>1999</v>
      </c>
      <c r="D489" s="5" t="s">
        <v>17</v>
      </c>
      <c r="E489" s="5" t="s">
        <v>102</v>
      </c>
      <c r="F489" s="5" t="s">
        <v>1931</v>
      </c>
      <c r="G489" s="5" t="s">
        <v>1756</v>
      </c>
      <c r="H489" s="5" t="s">
        <v>1932</v>
      </c>
      <c r="I489" s="5" t="s">
        <v>20</v>
      </c>
      <c r="J489" s="5">
        <v>9.0299999999999994</v>
      </c>
      <c r="K489" s="5" t="s">
        <v>21</v>
      </c>
      <c r="L489" s="5" t="s">
        <v>2000</v>
      </c>
      <c r="M489" s="5" t="s">
        <v>1934</v>
      </c>
      <c r="N489" s="7" t="str">
        <f>HYPERLINK("C:\Users\alexa\YandexDisk\Книги\Базы данных\Проектирование БД\Распред БД  2021.pdf","Распред БД  2021.pdf")</f>
        <v>Распред БД  2021.pdf</v>
      </c>
      <c r="O489" s="5" t="s">
        <v>2001</v>
      </c>
    </row>
    <row r="490" spans="1:15" ht="151.80000000000001" x14ac:dyDescent="0.3">
      <c r="A490" s="2">
        <v>489</v>
      </c>
      <c r="B490" s="3" t="s">
        <v>2002</v>
      </c>
      <c r="C490" s="3" t="s">
        <v>1968</v>
      </c>
      <c r="D490" s="3" t="s">
        <v>59</v>
      </c>
      <c r="E490" s="3" t="s">
        <v>1969</v>
      </c>
      <c r="F490" s="3" t="s">
        <v>1931</v>
      </c>
      <c r="G490" s="3" t="s">
        <v>1756</v>
      </c>
      <c r="H490" s="3" t="s">
        <v>1932</v>
      </c>
      <c r="I490" s="3" t="s">
        <v>20</v>
      </c>
      <c r="J490" s="3">
        <v>12.27</v>
      </c>
      <c r="K490" s="3" t="s">
        <v>21</v>
      </c>
      <c r="L490" s="3" t="s">
        <v>2003</v>
      </c>
      <c r="M490" s="3" t="s">
        <v>1934</v>
      </c>
      <c r="N490" s="6" t="str">
        <f>HYPERLINK("C:\Users\alexa\YandexDisk\Книги\Базы данных\Проектирование БД\Реляционные_базы_данных_в_примерах_практическое_пособие_для_программистов.pdf","Реляционные_базы_данных_в_примерах_практическое_пособие_для_программистов.pdf")</f>
        <v>Реляционные_базы_данных_в_примерах_практическое_пособие_для_программистов.pdf</v>
      </c>
      <c r="O490" s="3" t="s">
        <v>2004</v>
      </c>
    </row>
    <row r="491" spans="1:15" ht="179.4" x14ac:dyDescent="0.3">
      <c r="A491" s="4">
        <v>490</v>
      </c>
      <c r="B491" s="5" t="s">
        <v>2005</v>
      </c>
      <c r="C491" s="5" t="s">
        <v>2006</v>
      </c>
      <c r="D491" s="5"/>
      <c r="E491" s="5" t="s">
        <v>102</v>
      </c>
      <c r="F491" s="5" t="s">
        <v>1931</v>
      </c>
      <c r="G491" s="5" t="s">
        <v>1756</v>
      </c>
      <c r="H491" s="5" t="s">
        <v>1932</v>
      </c>
      <c r="I491" s="5" t="s">
        <v>20</v>
      </c>
      <c r="J491" s="5">
        <v>26.43</v>
      </c>
      <c r="K491" s="5" t="s">
        <v>21</v>
      </c>
      <c r="L491" s="5" t="s">
        <v>2007</v>
      </c>
      <c r="M491" s="5" t="s">
        <v>1934</v>
      </c>
      <c r="N491" s="7" t="str">
        <f>HYPERLINK("C:\Users\alexa\YandexDisk\Книги\Базы данных\Проектирование БД\Технологии_проектирования_баз_данных.pdf","Технологии_проектирования_баз_данных.pdf")</f>
        <v>Технологии_проектирования_баз_данных.pdf</v>
      </c>
      <c r="O491" s="5" t="s">
        <v>2008</v>
      </c>
    </row>
    <row r="492" spans="1:15" ht="138" x14ac:dyDescent="0.3">
      <c r="A492" s="2">
        <v>491</v>
      </c>
      <c r="B492" s="3" t="s">
        <v>2009</v>
      </c>
      <c r="C492" s="3" t="s">
        <v>2010</v>
      </c>
      <c r="D492" s="3" t="s">
        <v>476</v>
      </c>
      <c r="E492" s="3"/>
      <c r="F492" s="3" t="s">
        <v>1931</v>
      </c>
      <c r="G492" s="3" t="s">
        <v>1756</v>
      </c>
      <c r="H492" s="3" t="s">
        <v>1932</v>
      </c>
      <c r="I492" s="3" t="s">
        <v>20</v>
      </c>
      <c r="J492" s="3">
        <v>29.88</v>
      </c>
      <c r="K492" s="3" t="s">
        <v>21</v>
      </c>
      <c r="L492" s="3" t="s">
        <v>2011</v>
      </c>
      <c r="M492" s="3" t="s">
        <v>1934</v>
      </c>
      <c r="N492" s="6" t="str">
        <f>HYPERLINK("C:\Users\alexa\YandexDisk\Книги\Базы данных\Проектирование БД\Харрингтон Проектирование объектно-ориентированных баз данных 2013.pdf","Харрингтон Проектирование объектно-ориентированных баз данных 2013.pdf")</f>
        <v>Харрингтон Проектирование объектно-ориентированных баз данных 2013.pdf</v>
      </c>
      <c r="O492" s="3" t="s">
        <v>2012</v>
      </c>
    </row>
    <row r="493" spans="1:15" ht="193.2" x14ac:dyDescent="0.3">
      <c r="A493" s="4">
        <v>492</v>
      </c>
      <c r="B493" s="5" t="s">
        <v>2013</v>
      </c>
      <c r="C493" s="5" t="s">
        <v>2014</v>
      </c>
      <c r="D493" s="5" t="s">
        <v>17</v>
      </c>
      <c r="E493" s="5" t="s">
        <v>442</v>
      </c>
      <c r="F493" s="5" t="s">
        <v>2015</v>
      </c>
      <c r="G493" s="5" t="s">
        <v>1756</v>
      </c>
      <c r="H493" s="5" t="s">
        <v>2016</v>
      </c>
      <c r="I493" s="5" t="s">
        <v>20</v>
      </c>
      <c r="J493" s="5">
        <v>7.62</v>
      </c>
      <c r="K493" s="5" t="s">
        <v>21</v>
      </c>
      <c r="L493" s="5" t="s">
        <v>2017</v>
      </c>
      <c r="M493" s="5" t="s">
        <v>2018</v>
      </c>
      <c r="N493" s="7" t="str">
        <f>HYPERLINK("C:\Users\alexa\YandexDisk\Книги\Базы данных\Хранилища данных\Google_BigQuery_Всё_о_хранилищах_данных,_аналитике_и_машинном_обучении.pdf","Google_BigQuery_Всё_о_хранилищах_данных,_аналитике_и_машинном_обучении.pdf")</f>
        <v>Google_BigQuery_Всё_о_хранилищах_данных,_аналитике_и_машинном_обучении.pdf</v>
      </c>
      <c r="O493" s="5" t="s">
        <v>2019</v>
      </c>
    </row>
    <row r="494" spans="1:15" ht="193.2" x14ac:dyDescent="0.3">
      <c r="A494" s="2">
        <v>493</v>
      </c>
      <c r="B494" s="3" t="s">
        <v>2020</v>
      </c>
      <c r="C494" s="3" t="s">
        <v>2021</v>
      </c>
      <c r="D494" s="3" t="s">
        <v>1565</v>
      </c>
      <c r="E494" s="3" t="s">
        <v>86</v>
      </c>
      <c r="F494" s="3" t="s">
        <v>2015</v>
      </c>
      <c r="G494" s="3" t="s">
        <v>1756</v>
      </c>
      <c r="H494" s="3" t="s">
        <v>2016</v>
      </c>
      <c r="I494" s="3" t="s">
        <v>20</v>
      </c>
      <c r="J494" s="3">
        <v>40.29</v>
      </c>
      <c r="K494" s="3" t="s">
        <v>21</v>
      </c>
      <c r="L494" s="3" t="s">
        <v>2022</v>
      </c>
      <c r="M494" s="3" t="s">
        <v>2018</v>
      </c>
      <c r="N494" s="6" t="str">
        <f>HYPERLINK("C:\Users\alexa\YandexDisk\Книги\Базы данных\Хранилища данных\Readings in Database Systems Joseph M.pdf","Readings in Database Systems Joseph M.pdf")</f>
        <v>Readings in Database Systems Joseph M.pdf</v>
      </c>
      <c r="O494" s="3" t="s">
        <v>2023</v>
      </c>
    </row>
    <row r="495" spans="1:15" ht="151.80000000000001" x14ac:dyDescent="0.3">
      <c r="A495" s="4">
        <v>494</v>
      </c>
      <c r="B495" s="5" t="s">
        <v>2024</v>
      </c>
      <c r="C495" s="5"/>
      <c r="D495" s="5"/>
      <c r="E495" s="5"/>
      <c r="F495" s="5" t="s">
        <v>2015</v>
      </c>
      <c r="G495" s="5" t="s">
        <v>1756</v>
      </c>
      <c r="H495" s="5" t="s">
        <v>2016</v>
      </c>
      <c r="I495" s="5" t="s">
        <v>1147</v>
      </c>
      <c r="J495" s="5">
        <v>0.02</v>
      </c>
      <c r="K495" s="5" t="s">
        <v>21</v>
      </c>
      <c r="L495" s="5" t="s">
        <v>2025</v>
      </c>
      <c r="M495" s="5" t="s">
        <v>2018</v>
      </c>
      <c r="N495" s="7" t="str">
        <f>HYPERLINK("C:\Users\alexa\YandexDisk\Книги\Базы данных\Хранилища данных\Материалы по теме DWH.docx","Материалы по теме DWH.docx")</f>
        <v>Материалы по теме DWH.docx</v>
      </c>
      <c r="O495" s="5" t="s">
        <v>2026</v>
      </c>
    </row>
    <row r="496" spans="1:15" ht="179.4" x14ac:dyDescent="0.3">
      <c r="A496" s="2">
        <v>495</v>
      </c>
      <c r="B496" s="3" t="s">
        <v>2027</v>
      </c>
      <c r="C496" s="3"/>
      <c r="D496" s="3" t="s">
        <v>114</v>
      </c>
      <c r="E496" s="3" t="s">
        <v>18</v>
      </c>
      <c r="F496" s="3" t="s">
        <v>2015</v>
      </c>
      <c r="G496" s="3" t="s">
        <v>1756</v>
      </c>
      <c r="H496" s="3" t="s">
        <v>2016</v>
      </c>
      <c r="I496" s="3" t="s">
        <v>20</v>
      </c>
      <c r="J496" s="3">
        <v>32.76</v>
      </c>
      <c r="K496" s="3" t="s">
        <v>21</v>
      </c>
      <c r="L496" s="3" t="s">
        <v>2028</v>
      </c>
      <c r="M496" s="3" t="s">
        <v>2018</v>
      </c>
      <c r="N496" s="6" t="str">
        <f>HYPERLINK("C:\Users\alexa\YandexDisk\Книги\Базы данных\Хранилища данных\От_хранения_данных_к_управлению_информацией.pdf","От_хранения_данных_к_управлению_информацией.pdf")</f>
        <v>От_хранения_данных_к_управлению_информацией.pdf</v>
      </c>
      <c r="O496" s="3" t="s">
        <v>2029</v>
      </c>
    </row>
    <row r="497" spans="1:15" ht="207" x14ac:dyDescent="0.3">
      <c r="A497" s="4">
        <v>496</v>
      </c>
      <c r="B497" s="5" t="s">
        <v>2030</v>
      </c>
      <c r="C497" s="5" t="s">
        <v>2031</v>
      </c>
      <c r="D497" s="5" t="s">
        <v>17</v>
      </c>
      <c r="E497" s="5" t="s">
        <v>143</v>
      </c>
      <c r="F497" s="5" t="s">
        <v>2015</v>
      </c>
      <c r="G497" s="5" t="s">
        <v>1756</v>
      </c>
      <c r="H497" s="5" t="s">
        <v>2016</v>
      </c>
      <c r="I497" s="5" t="s">
        <v>20</v>
      </c>
      <c r="J497" s="5">
        <v>3.82</v>
      </c>
      <c r="K497" s="5" t="s">
        <v>21</v>
      </c>
      <c r="L497" s="5" t="s">
        <v>2032</v>
      </c>
      <c r="M497" s="5" t="s">
        <v>2018</v>
      </c>
      <c r="N497" s="7" t="str">
        <f>HYPERLINK("C:\Users\alexa\YandexDisk\Книги\Базы данных\Хранилища данных\Поддержка_принятия_решений на основе многомерных данных.pdf","Поддержка_принятия_решений на основе многомерных данных.pdf")</f>
        <v>Поддержка_принятия_решений на основе многомерных данных.pdf</v>
      </c>
      <c r="O497" s="5" t="s">
        <v>2033</v>
      </c>
    </row>
    <row r="498" spans="1:15" ht="179.4" x14ac:dyDescent="0.3">
      <c r="A498" s="2">
        <v>497</v>
      </c>
      <c r="B498" s="3" t="s">
        <v>2034</v>
      </c>
      <c r="C498" s="3" t="s">
        <v>2035</v>
      </c>
      <c r="D498" s="3" t="s">
        <v>17</v>
      </c>
      <c r="E498" s="3" t="s">
        <v>18</v>
      </c>
      <c r="F498" s="3" t="s">
        <v>2015</v>
      </c>
      <c r="G498" s="3" t="s">
        <v>1756</v>
      </c>
      <c r="H498" s="3" t="s">
        <v>2016</v>
      </c>
      <c r="I498" s="3" t="s">
        <v>20</v>
      </c>
      <c r="J498" s="3">
        <v>7.91</v>
      </c>
      <c r="K498" s="3" t="s">
        <v>21</v>
      </c>
      <c r="L498" s="3" t="s">
        <v>2036</v>
      </c>
      <c r="M498" s="3" t="s">
        <v>2018</v>
      </c>
      <c r="N498" s="6" t="str">
        <f>HYPERLINK("C:\Users\alexa\YandexDisk\Книги\Базы данных\Хранилища данных\Распределенные_данные_Алгоритмы_работы_современных_систем_хранения.pdf","Распределенные_данные_Алгоритмы_работы_современных_систем_хранения.pdf")</f>
        <v>Распределенные_данные_Алгоритмы_работы_современных_систем_хранения.pdf</v>
      </c>
      <c r="O498" s="3" t="s">
        <v>2037</v>
      </c>
    </row>
    <row r="499" spans="1:15" ht="151.80000000000001" x14ac:dyDescent="0.3">
      <c r="A499" s="4">
        <v>498</v>
      </c>
      <c r="B499" s="5" t="s">
        <v>2016</v>
      </c>
      <c r="C499" s="5"/>
      <c r="D499" s="5"/>
      <c r="E499" s="5"/>
      <c r="F499" s="5" t="s">
        <v>2015</v>
      </c>
      <c r="G499" s="5" t="s">
        <v>1756</v>
      </c>
      <c r="H499" s="5" t="s">
        <v>2016</v>
      </c>
      <c r="I499" s="5" t="s">
        <v>20</v>
      </c>
      <c r="J499" s="5">
        <v>35.979999999999997</v>
      </c>
      <c r="K499" s="5" t="s">
        <v>21</v>
      </c>
      <c r="L499" s="5" t="s">
        <v>2038</v>
      </c>
      <c r="M499" s="5" t="s">
        <v>2018</v>
      </c>
      <c r="N499" s="7" t="str">
        <f>HYPERLINK("C:\Users\alexa\YandexDisk\Книги\Базы данных\Хранилища данных\Хранилища данных.pdf","Хранилища данных.pdf")</f>
        <v>Хранилища данных.pdf</v>
      </c>
      <c r="O499" s="5" t="s">
        <v>2039</v>
      </c>
    </row>
    <row r="500" spans="1:15" ht="165.6" x14ac:dyDescent="0.3">
      <c r="A500" s="2">
        <v>499</v>
      </c>
      <c r="B500" s="3" t="s">
        <v>2040</v>
      </c>
      <c r="C500" s="3" t="s">
        <v>2041</v>
      </c>
      <c r="D500" s="3" t="s">
        <v>71</v>
      </c>
      <c r="E500" s="3" t="s">
        <v>18</v>
      </c>
      <c r="F500" s="3" t="s">
        <v>2042</v>
      </c>
      <c r="G500" s="3" t="s">
        <v>1756</v>
      </c>
      <c r="H500" s="3" t="s">
        <v>2043</v>
      </c>
      <c r="I500" s="3" t="s">
        <v>20</v>
      </c>
      <c r="J500" s="3">
        <v>5.94</v>
      </c>
      <c r="K500" s="3" t="s">
        <v>21</v>
      </c>
      <c r="L500" s="3" t="s">
        <v>2044</v>
      </c>
      <c r="M500" s="3" t="s">
        <v>2045</v>
      </c>
      <c r="N500" s="6" t="str">
        <f>HYPERLINK("C:\Users\alexa\YandexDisk\Книги\Базы данных\Язык SQL\!!! SQL быстрое погружение 2022.pdf","!!! SQL быстрое погружение 2022.pdf")</f>
        <v>!!! SQL быстрое погружение 2022.pdf</v>
      </c>
      <c r="O500" s="3" t="s">
        <v>2046</v>
      </c>
    </row>
    <row r="501" spans="1:15" ht="151.80000000000001" x14ac:dyDescent="0.3">
      <c r="A501" s="4">
        <v>500</v>
      </c>
      <c r="B501" s="5" t="s">
        <v>2047</v>
      </c>
      <c r="C501" s="5" t="s">
        <v>2048</v>
      </c>
      <c r="D501" s="5" t="s">
        <v>27</v>
      </c>
      <c r="E501" s="5" t="s">
        <v>227</v>
      </c>
      <c r="F501" s="5" t="s">
        <v>2042</v>
      </c>
      <c r="G501" s="5" t="s">
        <v>1756</v>
      </c>
      <c r="H501" s="5" t="s">
        <v>2043</v>
      </c>
      <c r="I501" s="5" t="s">
        <v>20</v>
      </c>
      <c r="J501" s="5">
        <v>3.22</v>
      </c>
      <c r="K501" s="5" t="s">
        <v>21</v>
      </c>
      <c r="L501" s="5" t="s">
        <v>2049</v>
      </c>
      <c r="M501" s="5" t="s">
        <v>2045</v>
      </c>
      <c r="N501" s="7" t="str">
        <f>HYPERLINK("C:\Users\alexa\YandexDisk\Книги\Базы данных\Язык SQL\Get start with SQL.pdf","Get start with SQL.pdf")</f>
        <v>Get start with SQL.pdf</v>
      </c>
      <c r="O501" s="5" t="s">
        <v>2050</v>
      </c>
    </row>
    <row r="502" spans="1:15" ht="151.80000000000001" x14ac:dyDescent="0.3">
      <c r="A502" s="2">
        <v>501</v>
      </c>
      <c r="B502" s="3" t="s">
        <v>2051</v>
      </c>
      <c r="C502" s="3" t="s">
        <v>2052</v>
      </c>
      <c r="D502" s="3" t="s">
        <v>274</v>
      </c>
      <c r="E502" s="3" t="s">
        <v>1566</v>
      </c>
      <c r="F502" s="3" t="s">
        <v>2042</v>
      </c>
      <c r="G502" s="3" t="s">
        <v>1756</v>
      </c>
      <c r="H502" s="3" t="s">
        <v>2043</v>
      </c>
      <c r="I502" s="3" t="s">
        <v>20</v>
      </c>
      <c r="J502" s="3">
        <v>6.02</v>
      </c>
      <c r="K502" s="3" t="s">
        <v>21</v>
      </c>
      <c r="L502" s="3" t="s">
        <v>2053</v>
      </c>
      <c r="M502" s="3" t="s">
        <v>2045</v>
      </c>
      <c r="N502" s="6" t="str">
        <f>HYPERLINK("C:\Users\alexa\YandexDisk\Книги\Базы данных\Язык SQL\Kevin_E_Klyayn_Deniel_Klyayn_Brend_Khant_Spravoch.pdf","Kevin_E_Klyayn_Deniel_Klyayn_Brend_Khant_Spravoch.pdf")</f>
        <v>Kevin_E_Klyayn_Deniel_Klyayn_Brend_Khant_Spravoch.pdf</v>
      </c>
      <c r="O502" s="3" t="s">
        <v>2054</v>
      </c>
    </row>
    <row r="503" spans="1:15" ht="151.80000000000001" x14ac:dyDescent="0.3">
      <c r="A503" s="4">
        <v>502</v>
      </c>
      <c r="B503" s="5" t="s">
        <v>2055</v>
      </c>
      <c r="C503" s="5" t="s">
        <v>2056</v>
      </c>
      <c r="D503" s="5" t="s">
        <v>335</v>
      </c>
      <c r="E503" s="5" t="s">
        <v>536</v>
      </c>
      <c r="F503" s="5" t="s">
        <v>2042</v>
      </c>
      <c r="G503" s="5" t="s">
        <v>1756</v>
      </c>
      <c r="H503" s="5" t="s">
        <v>2043</v>
      </c>
      <c r="I503" s="5" t="s">
        <v>20</v>
      </c>
      <c r="J503" s="5">
        <v>33.17</v>
      </c>
      <c r="K503" s="5" t="s">
        <v>21</v>
      </c>
      <c r="L503" s="5" t="s">
        <v>2057</v>
      </c>
      <c r="M503" s="5" t="s">
        <v>2045</v>
      </c>
      <c r="N503" s="7" t="str">
        <f>HYPERLINK("C:\Users\alexa\YandexDisk\Книги\Базы данных\Язык SQL\Learn SQL in a Month of Lunches_Final.pdf","Learn SQL in a Month of Lunches_Final.pdf")</f>
        <v>Learn SQL in a Month of Lunches_Final.pdf</v>
      </c>
      <c r="O503" s="5" t="s">
        <v>2058</v>
      </c>
    </row>
    <row r="504" spans="1:15" ht="165.6" x14ac:dyDescent="0.3">
      <c r="A504" s="2">
        <v>503</v>
      </c>
      <c r="B504" s="3" t="s">
        <v>2059</v>
      </c>
      <c r="C504" s="3" t="s">
        <v>2056</v>
      </c>
      <c r="D504" s="3" t="s">
        <v>71</v>
      </c>
      <c r="E504" s="3" t="s">
        <v>536</v>
      </c>
      <c r="F504" s="3" t="s">
        <v>2042</v>
      </c>
      <c r="G504" s="3" t="s">
        <v>1756</v>
      </c>
      <c r="H504" s="3" t="s">
        <v>2043</v>
      </c>
      <c r="I504" s="3" t="s">
        <v>20</v>
      </c>
      <c r="J504" s="3">
        <v>8.18</v>
      </c>
      <c r="K504" s="3" t="s">
        <v>21</v>
      </c>
      <c r="L504" s="3" t="s">
        <v>2060</v>
      </c>
      <c r="M504" s="3" t="s">
        <v>2045</v>
      </c>
      <c r="N504" s="6" t="str">
        <f>HYPERLINK("C:\Users\alexa\YandexDisk\Книги\Базы данных\Язык SQL\Learn_SQL_in_a_Month_of_Lunches_MEAP.pdf","Learn_SQL_in_a_Month_of_Lunches_MEAP.pdf")</f>
        <v>Learn_SQL_in_a_Month_of_Lunches_MEAP.pdf</v>
      </c>
      <c r="O504" s="3" t="s">
        <v>2061</v>
      </c>
    </row>
    <row r="505" spans="1:15" ht="179.4" x14ac:dyDescent="0.3">
      <c r="A505" s="4">
        <v>504</v>
      </c>
      <c r="B505" s="5" t="s">
        <v>2062</v>
      </c>
      <c r="C505" s="5" t="s">
        <v>2063</v>
      </c>
      <c r="D505" s="5"/>
      <c r="E505" s="5"/>
      <c r="F505" s="5" t="s">
        <v>2042</v>
      </c>
      <c r="G505" s="5" t="s">
        <v>1756</v>
      </c>
      <c r="H505" s="5" t="s">
        <v>2043</v>
      </c>
      <c r="I505" s="5" t="s">
        <v>280</v>
      </c>
      <c r="J505" s="5">
        <v>16.28</v>
      </c>
      <c r="K505" s="5" t="s">
        <v>21</v>
      </c>
      <c r="L505" s="5" t="s">
        <v>2064</v>
      </c>
      <c r="M505" s="5" t="s">
        <v>2045</v>
      </c>
      <c r="N505" s="7" t="str">
        <f>HYPERLINK("C:\Users\alexa\YandexDisk\Книги\Базы данных\Язык SQL\McGrath SQL_in_easy_steps.epub","McGrath SQL_in_easy_steps.epub")</f>
        <v>McGrath SQL_in_easy_steps.epub</v>
      </c>
      <c r="O505" s="5" t="s">
        <v>2065</v>
      </c>
    </row>
    <row r="506" spans="1:15" ht="165.6" x14ac:dyDescent="0.3">
      <c r="A506" s="2">
        <v>505</v>
      </c>
      <c r="B506" s="3" t="s">
        <v>2066</v>
      </c>
      <c r="C506" s="3" t="s">
        <v>2067</v>
      </c>
      <c r="D506" s="3" t="s">
        <v>59</v>
      </c>
      <c r="E506" s="3" t="s">
        <v>1431</v>
      </c>
      <c r="F506" s="3" t="s">
        <v>2042</v>
      </c>
      <c r="G506" s="3" t="s">
        <v>1756</v>
      </c>
      <c r="H506" s="3" t="s">
        <v>2043</v>
      </c>
      <c r="I506" s="3" t="s">
        <v>20</v>
      </c>
      <c r="J506" s="3">
        <v>54.74</v>
      </c>
      <c r="K506" s="3" t="s">
        <v>21</v>
      </c>
      <c r="L506" s="3" t="s">
        <v>2068</v>
      </c>
      <c r="M506" s="3" t="s">
        <v>2045</v>
      </c>
      <c r="N506" s="6" t="str">
        <f>HYPERLINK("C:\Users\alexa\YandexDisk\Книги\Базы данных\Язык SQL\SQL для чайников 2020.pdf","SQL для чайников 2020.pdf")</f>
        <v>SQL для чайников 2020.pdf</v>
      </c>
      <c r="O506" s="3" t="s">
        <v>2069</v>
      </c>
    </row>
    <row r="507" spans="1:15" ht="165.6" x14ac:dyDescent="0.3">
      <c r="A507" s="4">
        <v>506</v>
      </c>
      <c r="B507" s="5" t="s">
        <v>2070</v>
      </c>
      <c r="C507" s="5"/>
      <c r="D507" s="5"/>
      <c r="E507" s="5"/>
      <c r="F507" s="5" t="s">
        <v>2042</v>
      </c>
      <c r="G507" s="5" t="s">
        <v>1756</v>
      </c>
      <c r="H507" s="5" t="s">
        <v>2043</v>
      </c>
      <c r="I507" s="5" t="s">
        <v>20</v>
      </c>
      <c r="J507" s="5">
        <v>63.69</v>
      </c>
      <c r="K507" s="5" t="s">
        <v>21</v>
      </c>
      <c r="L507" s="5" t="s">
        <v>2071</v>
      </c>
      <c r="M507" s="5" t="s">
        <v>2045</v>
      </c>
      <c r="N507" s="7" t="str">
        <f>HYPERLINK("C:\Users\alexa\YandexDisk\Книги\Базы данных\Язык SQL\SQL за 10 минут.pdf","SQL за 10 минут.pdf")</f>
        <v>SQL за 10 минут.pdf</v>
      </c>
      <c r="O507" s="5" t="s">
        <v>2072</v>
      </c>
    </row>
    <row r="508" spans="1:15" ht="179.4" x14ac:dyDescent="0.3">
      <c r="A508" s="2">
        <v>507</v>
      </c>
      <c r="B508" s="3" t="s">
        <v>2073</v>
      </c>
      <c r="C508" s="3" t="s">
        <v>2074</v>
      </c>
      <c r="D508" s="3" t="s">
        <v>109</v>
      </c>
      <c r="E508" s="3" t="s">
        <v>336</v>
      </c>
      <c r="F508" s="3" t="s">
        <v>2042</v>
      </c>
      <c r="G508" s="3" t="s">
        <v>1756</v>
      </c>
      <c r="H508" s="3" t="s">
        <v>2043</v>
      </c>
      <c r="I508" s="3" t="s">
        <v>20</v>
      </c>
      <c r="J508" s="3">
        <v>4.34</v>
      </c>
      <c r="K508" s="3" t="s">
        <v>21</v>
      </c>
      <c r="L508" s="3" t="s">
        <v>2075</v>
      </c>
      <c r="M508" s="3" t="s">
        <v>2045</v>
      </c>
      <c r="N508" s="6" t="str">
        <f>HYPERLINK("C:\Users\alexa\YandexDisk\Книги\Базы данных\Язык SQL\SQL. Pocket guide, 4-е изд.pdf","SQL. Pocket guide, 4-е изд.pdf")</f>
        <v>SQL. Pocket guide, 4-е изд.pdf</v>
      </c>
      <c r="O508" s="3" t="s">
        <v>2076</v>
      </c>
    </row>
    <row r="509" spans="1:15" ht="151.80000000000001" x14ac:dyDescent="0.3">
      <c r="A509" s="4">
        <v>508</v>
      </c>
      <c r="B509" s="5" t="s">
        <v>2077</v>
      </c>
      <c r="C509" s="5" t="s">
        <v>2078</v>
      </c>
      <c r="D509" s="5" t="s">
        <v>71</v>
      </c>
      <c r="E509" s="5" t="s">
        <v>402</v>
      </c>
      <c r="F509" s="5" t="s">
        <v>2042</v>
      </c>
      <c r="G509" s="5" t="s">
        <v>1756</v>
      </c>
      <c r="H509" s="5" t="s">
        <v>2043</v>
      </c>
      <c r="I509" s="5" t="s">
        <v>20</v>
      </c>
      <c r="J509" s="5">
        <v>39.200000000000003</v>
      </c>
      <c r="K509" s="5" t="s">
        <v>21</v>
      </c>
      <c r="L509" s="5" t="s">
        <v>2079</v>
      </c>
      <c r="M509" s="5" t="s">
        <v>2045</v>
      </c>
      <c r="N509" s="7" t="str">
        <f>HYPERLINK("C:\Users\alexa\YandexDisk\Книги\Базы данных\Язык SQL\SQL. Сборник рецептов, 2-е издание.pdf","SQL. Сборник рецептов, 2-е издание.pdf")</f>
        <v>SQL. Сборник рецептов, 2-е издание.pdf</v>
      </c>
      <c r="O509" s="5" t="s">
        <v>2080</v>
      </c>
    </row>
    <row r="510" spans="1:15" ht="207" x14ac:dyDescent="0.3">
      <c r="A510" s="2">
        <v>509</v>
      </c>
      <c r="B510" s="3" t="s">
        <v>2081</v>
      </c>
      <c r="C510" s="3" t="s">
        <v>2082</v>
      </c>
      <c r="D510" s="3"/>
      <c r="E510" s="3"/>
      <c r="F510" s="3" t="s">
        <v>2042</v>
      </c>
      <c r="G510" s="3" t="s">
        <v>1756</v>
      </c>
      <c r="H510" s="3" t="s">
        <v>2043</v>
      </c>
      <c r="I510" s="3" t="s">
        <v>280</v>
      </c>
      <c r="J510" s="3">
        <v>2.83</v>
      </c>
      <c r="K510" s="3" t="s">
        <v>21</v>
      </c>
      <c r="L510" s="3" t="s">
        <v>2083</v>
      </c>
      <c r="M510" s="3" t="s">
        <v>2045</v>
      </c>
      <c r="N510" s="6" t="str">
        <f>HYPERLINK("C:\Users\alexa\YandexDisk\Книги\Базы данных\Язык SQL\SQL.in.7.Days.epub","SQL.in.7.Days.epub")</f>
        <v>SQL.in.7.Days.epub</v>
      </c>
      <c r="O510" s="3" t="s">
        <v>2084</v>
      </c>
    </row>
    <row r="511" spans="1:15" ht="138" x14ac:dyDescent="0.3">
      <c r="A511" s="4">
        <v>510</v>
      </c>
      <c r="B511" s="5" t="s">
        <v>2085</v>
      </c>
      <c r="C511" s="5" t="s">
        <v>2086</v>
      </c>
      <c r="D511" s="5" t="s">
        <v>27</v>
      </c>
      <c r="E511" s="5" t="s">
        <v>205</v>
      </c>
      <c r="F511" s="5" t="s">
        <v>2042</v>
      </c>
      <c r="G511" s="5" t="s">
        <v>1756</v>
      </c>
      <c r="H511" s="5" t="s">
        <v>2043</v>
      </c>
      <c r="I511" s="5" t="s">
        <v>20</v>
      </c>
      <c r="J511" s="5">
        <v>7.93</v>
      </c>
      <c r="K511" s="5" t="s">
        <v>21</v>
      </c>
      <c r="L511" s="5" t="s">
        <v>2087</v>
      </c>
      <c r="M511" s="5" t="s">
        <v>2045</v>
      </c>
      <c r="N511" s="7" t="str">
        <f>HYPERLINK("C:\Users\alexa\YandexDisk\Книги\Базы данных\Язык SQL\SQL.Query.Design.Patterns.and.Best.Practices.pdf","SQL.Query.Design.Patterns.and.Best.Practices.pdf")</f>
        <v>SQL.Query.Design.Patterns.and.Best.Practices.pdf</v>
      </c>
      <c r="O511" s="5" t="s">
        <v>2088</v>
      </c>
    </row>
    <row r="512" spans="1:15" ht="179.4" x14ac:dyDescent="0.3">
      <c r="A512" s="2">
        <v>511</v>
      </c>
      <c r="B512" s="3" t="s">
        <v>2089</v>
      </c>
      <c r="C512" s="3" t="s">
        <v>2067</v>
      </c>
      <c r="D512" s="3" t="s">
        <v>77</v>
      </c>
      <c r="E512" s="3" t="s">
        <v>308</v>
      </c>
      <c r="F512" s="3" t="s">
        <v>2042</v>
      </c>
      <c r="G512" s="3" t="s">
        <v>1756</v>
      </c>
      <c r="H512" s="3" t="s">
        <v>2043</v>
      </c>
      <c r="I512" s="3" t="s">
        <v>280</v>
      </c>
      <c r="J512" s="3">
        <v>8.2899999999999991</v>
      </c>
      <c r="K512" s="3" t="s">
        <v>21</v>
      </c>
      <c r="L512" s="3" t="s">
        <v>2090</v>
      </c>
      <c r="M512" s="3" t="s">
        <v>2045</v>
      </c>
      <c r="N512" s="6" t="str">
        <f>HYPERLINK("C:\Users\alexa\YandexDisk\Книги\Базы данных\Язык SQL\SQL_All_In_One_For_Dummies,_3rd_Edition_For_Dummies_ComputerTech.epub","SQL_All_In_One_For_Dummies,_3rd_Edition_For_Dummies_ComputerTech.epub")</f>
        <v>SQL_All_In_One_For_Dummies,_3rd_Edition_For_Dummies_ComputerTech.epub</v>
      </c>
      <c r="O512" s="3" t="s">
        <v>2091</v>
      </c>
    </row>
    <row r="513" spans="1:15" ht="138" x14ac:dyDescent="0.3">
      <c r="A513" s="4">
        <v>512</v>
      </c>
      <c r="B513" s="5" t="s">
        <v>2092</v>
      </c>
      <c r="C513" s="5" t="s">
        <v>2093</v>
      </c>
      <c r="D513" s="5" t="s">
        <v>71</v>
      </c>
      <c r="E513" s="5"/>
      <c r="F513" s="5" t="s">
        <v>2042</v>
      </c>
      <c r="G513" s="5" t="s">
        <v>1756</v>
      </c>
      <c r="H513" s="5" t="s">
        <v>2043</v>
      </c>
      <c r="I513" s="5" t="s">
        <v>20</v>
      </c>
      <c r="J513" s="5">
        <v>1.19</v>
      </c>
      <c r="K513" s="5" t="s">
        <v>21</v>
      </c>
      <c r="L513" s="5" t="s">
        <v>2094</v>
      </c>
      <c r="M513" s="5" t="s">
        <v>2045</v>
      </c>
      <c r="N513" s="7" t="str">
        <f>HYPERLINK("C:\Users\alexa\YandexDisk\Книги\Базы данных\Язык SQL\SQL_For_Beginners_Comprehensive_Programming 2022.pdf","SQL_For_Beginners_Comprehensive_Programming 2022.pdf")</f>
        <v>SQL_For_Beginners_Comprehensive_Programming 2022.pdf</v>
      </c>
      <c r="O513" s="5" t="s">
        <v>2095</v>
      </c>
    </row>
    <row r="514" spans="1:15" ht="179.4" x14ac:dyDescent="0.3">
      <c r="A514" s="2">
        <v>513</v>
      </c>
      <c r="B514" s="3" t="s">
        <v>2096</v>
      </c>
      <c r="C514" s="3" t="s">
        <v>2097</v>
      </c>
      <c r="D514" s="3" t="s">
        <v>77</v>
      </c>
      <c r="E514" s="3" t="s">
        <v>1431</v>
      </c>
      <c r="F514" s="3" t="s">
        <v>2042</v>
      </c>
      <c r="G514" s="3" t="s">
        <v>1756</v>
      </c>
      <c r="H514" s="3" t="s">
        <v>2043</v>
      </c>
      <c r="I514" s="3" t="s">
        <v>20</v>
      </c>
      <c r="J514" s="3">
        <v>97.26</v>
      </c>
      <c r="K514" s="3" t="s">
        <v>21</v>
      </c>
      <c r="L514" s="3" t="s">
        <v>2098</v>
      </c>
      <c r="M514" s="3" t="s">
        <v>2045</v>
      </c>
      <c r="N514" s="6" t="str">
        <f>HYPERLINK("C:\Users\alexa\YandexDisk\Книги\Базы данных\Язык SQL\SQL_Полное_руководство,_3_е_издание.pdf","SQL_Полное_руководство,_3_е_издание.pdf")</f>
        <v>SQL_Полное_руководство,_3_е_издание.pdf</v>
      </c>
      <c r="O514" s="3" t="s">
        <v>2099</v>
      </c>
    </row>
    <row r="515" spans="1:15" ht="165.6" x14ac:dyDescent="0.3">
      <c r="A515" s="4">
        <v>514</v>
      </c>
      <c r="B515" s="5" t="s">
        <v>1835</v>
      </c>
      <c r="C515" s="5" t="s">
        <v>2100</v>
      </c>
      <c r="D515" s="5" t="s">
        <v>77</v>
      </c>
      <c r="E515" s="5" t="s">
        <v>1837</v>
      </c>
      <c r="F515" s="5" t="s">
        <v>2042</v>
      </c>
      <c r="G515" s="5" t="s">
        <v>1756</v>
      </c>
      <c r="H515" s="5" t="s">
        <v>2043</v>
      </c>
      <c r="I515" s="5" t="s">
        <v>20</v>
      </c>
      <c r="J515" s="5">
        <v>7.93</v>
      </c>
      <c r="K515" s="5" t="s">
        <v>21</v>
      </c>
      <c r="L515" s="5" t="s">
        <v>2101</v>
      </c>
      <c r="M515" s="5" t="s">
        <v>2045</v>
      </c>
      <c r="N515" s="7" t="str">
        <f>HYPERLINK("C:\Users\alexa\YandexDisk\Книги\Базы данных\Язык SQL\Using_MySql,_MS_SQL_Server_and_Oracle_by_examples_Svyatoslav_Kulikov (2).pdf","Using_MySql,_MS_SQL_Server_and_Oracle_by_examples_Svyatoslav_Kulikov (2).pdf")</f>
        <v>Using_MySql,_MS_SQL_Server_and_Oracle_by_examples_Svyatoslav_Kulikov (2).pdf</v>
      </c>
      <c r="O515" s="5" t="s">
        <v>2102</v>
      </c>
    </row>
    <row r="516" spans="1:15" ht="179.4" x14ac:dyDescent="0.3">
      <c r="A516" s="2">
        <v>515</v>
      </c>
      <c r="B516" s="3" t="s">
        <v>2103</v>
      </c>
      <c r="C516" s="3" t="s">
        <v>2104</v>
      </c>
      <c r="D516" s="3" t="s">
        <v>17</v>
      </c>
      <c r="E516" s="3" t="s">
        <v>442</v>
      </c>
      <c r="F516" s="3" t="s">
        <v>2042</v>
      </c>
      <c r="G516" s="3" t="s">
        <v>1756</v>
      </c>
      <c r="H516" s="3" t="s">
        <v>2043</v>
      </c>
      <c r="I516" s="3" t="s">
        <v>20</v>
      </c>
      <c r="J516" s="3">
        <v>34.21</v>
      </c>
      <c r="K516" s="3" t="s">
        <v>21</v>
      </c>
      <c r="L516" s="3" t="s">
        <v>2105</v>
      </c>
      <c r="M516" s="3" t="s">
        <v>2045</v>
      </c>
      <c r="N516" s="6" t="str">
        <f>HYPERLINK("C:\Users\alexa\YandexDisk\Книги\Базы данных\Язык SQL\Алан_Болье_Изучаем_SQL_Генерация,_выборка_и_обработка_данных_2021 (2).pdf","Алан_Болье_Изучаем_SQL_Генерация,_выборка_и_обработка_данных_2021 (2).pdf")</f>
        <v>Алан_Болье_Изучаем_SQL_Генерация,_выборка_и_обработка_данных_2021 (2).pdf</v>
      </c>
      <c r="O516" s="3" t="s">
        <v>2106</v>
      </c>
    </row>
    <row r="517" spans="1:15" ht="165.6" x14ac:dyDescent="0.3">
      <c r="A517" s="4">
        <v>516</v>
      </c>
      <c r="B517" s="5" t="s">
        <v>2107</v>
      </c>
      <c r="C517" s="5" t="s">
        <v>2108</v>
      </c>
      <c r="D517" s="5" t="s">
        <v>65</v>
      </c>
      <c r="E517" s="5" t="s">
        <v>187</v>
      </c>
      <c r="F517" s="5" t="s">
        <v>2042</v>
      </c>
      <c r="G517" s="5" t="s">
        <v>1756</v>
      </c>
      <c r="H517" s="5" t="s">
        <v>2043</v>
      </c>
      <c r="I517" s="5" t="s">
        <v>20</v>
      </c>
      <c r="J517" s="5">
        <v>15.74</v>
      </c>
      <c r="K517" s="5" t="s">
        <v>21</v>
      </c>
      <c r="L517" s="5" t="s">
        <v>2109</v>
      </c>
      <c r="M517" s="5" t="s">
        <v>2045</v>
      </c>
      <c r="N517" s="7" t="str">
        <f>HYPERLINK("C:\Users\alexa\YandexDisk\Книги\Базы данных\Язык SQL\Бейли Изучаем SQL 2012.pdf","Бейли Изучаем SQL 2012.pdf")</f>
        <v>Бейли Изучаем SQL 2012.pdf</v>
      </c>
      <c r="O517" s="5" t="s">
        <v>2110</v>
      </c>
    </row>
    <row r="518" spans="1:15" ht="193.2" x14ac:dyDescent="0.3">
      <c r="A518" s="2">
        <v>517</v>
      </c>
      <c r="B518" s="3" t="s">
        <v>2111</v>
      </c>
      <c r="C518" s="3" t="s">
        <v>2112</v>
      </c>
      <c r="D518" s="3" t="s">
        <v>1022</v>
      </c>
      <c r="E518" s="3" t="s">
        <v>2113</v>
      </c>
      <c r="F518" s="3" t="s">
        <v>2042</v>
      </c>
      <c r="G518" s="3" t="s">
        <v>1756</v>
      </c>
      <c r="H518" s="3" t="s">
        <v>2043</v>
      </c>
      <c r="I518" s="3" t="s">
        <v>20</v>
      </c>
      <c r="J518" s="3">
        <v>27.56</v>
      </c>
      <c r="K518" s="3" t="s">
        <v>21</v>
      </c>
      <c r="L518" s="3" t="s">
        <v>2114</v>
      </c>
      <c r="M518" s="3" t="s">
        <v>2045</v>
      </c>
      <c r="N518" s="6" t="str">
        <f>HYPERLINK("C:\Users\alexa\YandexDisk\Книги\Базы данных\Язык SQL\Грофф SQL. Полное руководство. 3-е издание 2015.pdf","Грофф SQL. Полное руководство. 3-е издание 2015.pdf")</f>
        <v>Грофф SQL. Полное руководство. 3-е издание 2015.pdf</v>
      </c>
      <c r="O518" s="3" t="s">
        <v>2115</v>
      </c>
    </row>
    <row r="519" spans="1:15" ht="207" x14ac:dyDescent="0.3">
      <c r="A519" s="4">
        <v>518</v>
      </c>
      <c r="B519" s="5" t="s">
        <v>1835</v>
      </c>
      <c r="C519" s="5" t="s">
        <v>1836</v>
      </c>
      <c r="D519" s="5" t="s">
        <v>77</v>
      </c>
      <c r="E519" s="5" t="s">
        <v>1837</v>
      </c>
      <c r="F519" s="5" t="s">
        <v>2042</v>
      </c>
      <c r="G519" s="5" t="s">
        <v>1756</v>
      </c>
      <c r="H519" s="5" t="s">
        <v>2043</v>
      </c>
      <c r="I519" s="5" t="s">
        <v>20</v>
      </c>
      <c r="J519" s="5">
        <v>7.93</v>
      </c>
      <c r="K519" s="5" t="s">
        <v>21</v>
      </c>
      <c r="L519" s="5" t="s">
        <v>2116</v>
      </c>
      <c r="M519" s="5" t="s">
        <v>2045</v>
      </c>
      <c r="N519" s="7" t="str">
        <f>HYPERLINK("C:\Users\alexa\YandexDisk\Книги\Базы данных\Язык SQL\Использование MySql,_MS_SQL_Server_and_Oracle в прмерах.pdf","Использование MySql,_MS_SQL_Server_and_Oracle в прмерах.pdf")</f>
        <v>Использование MySql,_MS_SQL_Server_and_Oracle в прмерах.pdf</v>
      </c>
      <c r="O519" s="5" t="s">
        <v>2117</v>
      </c>
    </row>
    <row r="520" spans="1:15" ht="151.80000000000001" x14ac:dyDescent="0.3">
      <c r="A520" s="2">
        <v>519</v>
      </c>
      <c r="B520" s="3" t="s">
        <v>2118</v>
      </c>
      <c r="C520" s="3" t="s">
        <v>2119</v>
      </c>
      <c r="D520" s="3"/>
      <c r="E520" s="3"/>
      <c r="F520" s="3" t="s">
        <v>2042</v>
      </c>
      <c r="G520" s="3" t="s">
        <v>1756</v>
      </c>
      <c r="H520" s="3" t="s">
        <v>2043</v>
      </c>
      <c r="I520" s="3" t="s">
        <v>20</v>
      </c>
      <c r="J520" s="3">
        <v>5.37</v>
      </c>
      <c r="K520" s="3" t="s">
        <v>21</v>
      </c>
      <c r="L520" s="3" t="s">
        <v>2120</v>
      </c>
      <c r="M520" s="3" t="s">
        <v>2045</v>
      </c>
      <c r="N520" s="6" t="str">
        <f>HYPERLINK("C:\Users\alexa\YandexDisk\Книги\Базы данных\Язык SQL\Путь программиста T-SQL.pdf","Путь программиста T-SQL.pdf")</f>
        <v>Путь программиста T-SQL.pdf</v>
      </c>
      <c r="O520" s="3" t="s">
        <v>2121</v>
      </c>
    </row>
    <row r="521" spans="1:15" ht="179.4" x14ac:dyDescent="0.3">
      <c r="A521" s="4">
        <v>520</v>
      </c>
      <c r="B521" s="5" t="s">
        <v>2122</v>
      </c>
      <c r="C521" s="5" t="s">
        <v>2123</v>
      </c>
      <c r="D521" s="5" t="s">
        <v>59</v>
      </c>
      <c r="E521" s="5" t="s">
        <v>2124</v>
      </c>
      <c r="F521" s="5" t="s">
        <v>2042</v>
      </c>
      <c r="G521" s="5" t="s">
        <v>1756</v>
      </c>
      <c r="H521" s="5" t="s">
        <v>2043</v>
      </c>
      <c r="I521" s="5" t="s">
        <v>20</v>
      </c>
      <c r="J521" s="5">
        <v>54.74</v>
      </c>
      <c r="K521" s="5" t="s">
        <v>21</v>
      </c>
      <c r="L521" s="5" t="s">
        <v>2125</v>
      </c>
      <c r="M521" s="5" t="s">
        <v>2045</v>
      </c>
      <c r="N521" s="7" t="str">
        <f>HYPERLINK("C:\Users\alexa\YandexDisk\Книги\Базы данных\Язык SQL\Тейлор SQL для чайников 2020.pdf","Тейлор SQL для чайников 2020.pdf")</f>
        <v>Тейлор SQL для чайников 2020.pdf</v>
      </c>
      <c r="O521" s="5" t="s">
        <v>2126</v>
      </c>
    </row>
    <row r="522" spans="1:15" ht="165.6" x14ac:dyDescent="0.3">
      <c r="A522" s="2">
        <v>521</v>
      </c>
      <c r="B522" s="3" t="s">
        <v>2127</v>
      </c>
      <c r="C522" s="3" t="s">
        <v>1911</v>
      </c>
      <c r="D522" s="3" t="s">
        <v>50</v>
      </c>
      <c r="E522" s="3" t="s">
        <v>2128</v>
      </c>
      <c r="F522" s="3" t="s">
        <v>2042</v>
      </c>
      <c r="G522" s="3" t="s">
        <v>1756</v>
      </c>
      <c r="H522" s="3" t="s">
        <v>2043</v>
      </c>
      <c r="I522" s="3" t="s">
        <v>20</v>
      </c>
      <c r="J522" s="3">
        <v>3.12</v>
      </c>
      <c r="K522" s="3" t="s">
        <v>21</v>
      </c>
      <c r="L522" s="3" t="s">
        <v>2129</v>
      </c>
      <c r="M522" s="3" t="s">
        <v>2045</v>
      </c>
      <c r="N522" s="6" t="str">
        <f>HYPERLINK("C:\Users\alexa\YandexDisk\Книги\Базы данных\Язык SQL\Язык SQL. Базовый курс.pdf","Язык SQL. Базовый курс.pdf")</f>
        <v>Язык SQL. Базовый курс.pdf</v>
      </c>
      <c r="O522" s="3" t="s">
        <v>2130</v>
      </c>
    </row>
    <row r="523" spans="1:15" ht="165.6" x14ac:dyDescent="0.3">
      <c r="A523" s="4">
        <v>522</v>
      </c>
      <c r="B523" s="5" t="s">
        <v>321</v>
      </c>
      <c r="C523" s="5" t="s">
        <v>322</v>
      </c>
      <c r="D523" s="5" t="s">
        <v>59</v>
      </c>
      <c r="E523" s="5" t="s">
        <v>18</v>
      </c>
      <c r="F523" s="5" t="s">
        <v>2131</v>
      </c>
      <c r="G523" s="5" t="s">
        <v>2132</v>
      </c>
      <c r="H523" s="5" t="s">
        <v>2133</v>
      </c>
      <c r="I523" s="5" t="s">
        <v>20</v>
      </c>
      <c r="J523" s="5">
        <v>81.83</v>
      </c>
      <c r="K523" s="5" t="s">
        <v>21</v>
      </c>
      <c r="L523" s="5" t="s">
        <v>2134</v>
      </c>
      <c r="M523" s="5" t="s">
        <v>2135</v>
      </c>
      <c r="N523" s="7" t="str">
        <f>HYPERLINK("C:\Users\alexa\YandexDisk\Книги\Безопасность\Безопасность приложений и кода\!!!Безопасный DevOps -Maning 2020.pdf","!!!Безопасный DevOps -Maning 2020.pdf")</f>
        <v>!!!Безопасный DevOps -Maning 2020.pdf</v>
      </c>
      <c r="O523" s="5" t="s">
        <v>2136</v>
      </c>
    </row>
    <row r="524" spans="1:15" ht="179.4" x14ac:dyDescent="0.3">
      <c r="A524" s="2">
        <v>523</v>
      </c>
      <c r="B524" s="3" t="s">
        <v>2137</v>
      </c>
      <c r="C524" s="3" t="s">
        <v>2138</v>
      </c>
      <c r="D524" s="3" t="s">
        <v>17</v>
      </c>
      <c r="E524" s="3" t="s">
        <v>18</v>
      </c>
      <c r="F524" s="3" t="s">
        <v>2139</v>
      </c>
      <c r="G524" s="3" t="s">
        <v>2132</v>
      </c>
      <c r="H524" s="3" t="s">
        <v>2140</v>
      </c>
      <c r="I524" s="3" t="s">
        <v>20</v>
      </c>
      <c r="J524" s="3">
        <v>14.03</v>
      </c>
      <c r="K524" s="3" t="s">
        <v>21</v>
      </c>
      <c r="L524" s="3" t="s">
        <v>2141</v>
      </c>
      <c r="M524" s="3" t="s">
        <v>2142</v>
      </c>
      <c r="N524" s="6" t="str">
        <f>HYPERLINK("C:\Users\alexa\YandexDisk\Книги\Безопасность\Защита данных\Джейсон_Андресс_Защита_данных_От_авторизации_до_аудита 2021.pdf","Джейсон_Андресс_Защита_данных_От_авторизации_до_аудита 2021.pdf")</f>
        <v>Джейсон_Андресс_Защита_данных_От_авторизации_до_аудита 2021.pdf</v>
      </c>
      <c r="O524" s="3" t="s">
        <v>2143</v>
      </c>
    </row>
    <row r="525" spans="1:15" ht="220.8" x14ac:dyDescent="0.3">
      <c r="A525" s="4">
        <v>524</v>
      </c>
      <c r="B525" s="5" t="s">
        <v>2144</v>
      </c>
      <c r="C525" s="5" t="s">
        <v>2145</v>
      </c>
      <c r="D525" s="5" t="s">
        <v>71</v>
      </c>
      <c r="E525" s="5" t="s">
        <v>2146</v>
      </c>
      <c r="F525" s="5" t="s">
        <v>2147</v>
      </c>
      <c r="G525" s="5" t="s">
        <v>2132</v>
      </c>
      <c r="H525" s="5" t="s">
        <v>2148</v>
      </c>
      <c r="I525" s="5" t="s">
        <v>20</v>
      </c>
      <c r="J525" s="5">
        <v>10.57</v>
      </c>
      <c r="K525" s="5" t="s">
        <v>21</v>
      </c>
      <c r="L525" s="5" t="s">
        <v>2149</v>
      </c>
      <c r="M525" s="5" t="s">
        <v>2150</v>
      </c>
      <c r="N525" s="7" t="str">
        <f>HYPERLINK("C:\Users\alexa\YandexDisk\Книги\Безопасность\Кибербезопасность\! Безопасность_информационных_систем_Вооруженных_Сил_РФ.pdf","! Безопасность_информационных_систем_Вооруженных_Сил_РФ.pdf")</f>
        <v>! Безопасность_информационных_систем_Вооруженных_Сил_РФ.pdf</v>
      </c>
      <c r="O525" s="5" t="s">
        <v>2151</v>
      </c>
    </row>
    <row r="526" spans="1:15" ht="179.4" x14ac:dyDescent="0.3">
      <c r="A526" s="2">
        <v>525</v>
      </c>
      <c r="B526" s="3" t="s">
        <v>2152</v>
      </c>
      <c r="C526" s="3" t="s">
        <v>2153</v>
      </c>
      <c r="D526" s="3" t="s">
        <v>59</v>
      </c>
      <c r="E526" s="3" t="s">
        <v>148</v>
      </c>
      <c r="F526" s="3" t="s">
        <v>2147</v>
      </c>
      <c r="G526" s="3" t="s">
        <v>2132</v>
      </c>
      <c r="H526" s="3" t="s">
        <v>2148</v>
      </c>
      <c r="I526" s="3" t="s">
        <v>20</v>
      </c>
      <c r="J526" s="3">
        <v>3.77</v>
      </c>
      <c r="K526" s="3" t="s">
        <v>21</v>
      </c>
      <c r="L526" s="3" t="s">
        <v>2154</v>
      </c>
      <c r="M526" s="3" t="s">
        <v>2150</v>
      </c>
      <c r="N526" s="6" t="str">
        <f>HYPERLINK("C:\Users\alexa\YandexDisk\Книги\Безопасность\Кибербезопасность\! Методы_защиты_информации_Защита_от_внешних_вторжений.pdf","! Методы_защиты_информации_Защита_от_внешних_вторжений.pdf")</f>
        <v>! Методы_защиты_информации_Защита_от_внешних_вторжений.pdf</v>
      </c>
      <c r="O526" s="3" t="s">
        <v>2155</v>
      </c>
    </row>
    <row r="527" spans="1:15" ht="193.2" x14ac:dyDescent="0.3">
      <c r="A527" s="4">
        <v>526</v>
      </c>
      <c r="B527" s="5" t="s">
        <v>2156</v>
      </c>
      <c r="C527" s="5" t="s">
        <v>2157</v>
      </c>
      <c r="D527" s="5" t="s">
        <v>77</v>
      </c>
      <c r="E527" s="5" t="s">
        <v>2158</v>
      </c>
      <c r="F527" s="5" t="s">
        <v>2147</v>
      </c>
      <c r="G527" s="5" t="s">
        <v>2132</v>
      </c>
      <c r="H527" s="5" t="s">
        <v>2148</v>
      </c>
      <c r="I527" s="5" t="s">
        <v>20</v>
      </c>
      <c r="J527" s="5">
        <v>3.2</v>
      </c>
      <c r="K527" s="5" t="s">
        <v>21</v>
      </c>
      <c r="L527" s="5" t="s">
        <v>2159</v>
      </c>
      <c r="M527" s="5" t="s">
        <v>2150</v>
      </c>
      <c r="N527" s="7" t="str">
        <f>HYPERLINK("C:\Users\alexa\YandexDisk\Книги\Безопасность\Кибербезопасность\!!!Модели_безопасности_компьютерных_систем.pdf","!!!Модели_безопасности_компьютерных_систем.pdf")</f>
        <v>!!!Модели_безопасности_компьютерных_систем.pdf</v>
      </c>
      <c r="O527" s="5" t="s">
        <v>2160</v>
      </c>
    </row>
    <row r="528" spans="1:15" ht="207" x14ac:dyDescent="0.3">
      <c r="A528" s="2">
        <v>527</v>
      </c>
      <c r="B528" s="3" t="s">
        <v>2161</v>
      </c>
      <c r="C528" s="3" t="s">
        <v>2162</v>
      </c>
      <c r="D528" s="3"/>
      <c r="E528" s="3"/>
      <c r="F528" s="3" t="s">
        <v>2147</v>
      </c>
      <c r="G528" s="3" t="s">
        <v>2132</v>
      </c>
      <c r="H528" s="3" t="s">
        <v>2148</v>
      </c>
      <c r="I528" s="3" t="s">
        <v>20</v>
      </c>
      <c r="J528" s="3">
        <v>3.02</v>
      </c>
      <c r="K528" s="3" t="s">
        <v>21</v>
      </c>
      <c r="L528" s="3" t="s">
        <v>2163</v>
      </c>
      <c r="M528" s="3" t="s">
        <v>2150</v>
      </c>
      <c r="N528" s="6" t="str">
        <f>HYPERLINK("C:\Users\alexa\YandexDisk\Книги\Безопасность\Кибербезопасность\30039400.pdf","30039400.pdf")</f>
        <v>30039400.pdf</v>
      </c>
      <c r="O528" s="3" t="s">
        <v>2164</v>
      </c>
    </row>
    <row r="529" spans="1:15" ht="193.2" x14ac:dyDescent="0.3">
      <c r="A529" s="4">
        <v>528</v>
      </c>
      <c r="B529" s="5" t="s">
        <v>2165</v>
      </c>
      <c r="C529" s="5" t="s">
        <v>2166</v>
      </c>
      <c r="D529" s="5"/>
      <c r="E529" s="5" t="s">
        <v>908</v>
      </c>
      <c r="F529" s="5" t="s">
        <v>2147</v>
      </c>
      <c r="G529" s="5" t="s">
        <v>2132</v>
      </c>
      <c r="H529" s="5" t="s">
        <v>2148</v>
      </c>
      <c r="I529" s="5" t="s">
        <v>20</v>
      </c>
      <c r="J529" s="5">
        <v>30.31</v>
      </c>
      <c r="K529" s="5" t="s">
        <v>21</v>
      </c>
      <c r="L529" s="5" t="s">
        <v>2167</v>
      </c>
      <c r="M529" s="5" t="s">
        <v>2150</v>
      </c>
      <c r="N529" s="7" t="str">
        <f>HYPERLINK("C:\Users\alexa\YandexDisk\Книги\Безопасность\Кибербезопасность\Advance Cyber Security.pdf","Advance Cyber Security.pdf")</f>
        <v>Advance Cyber Security.pdf</v>
      </c>
      <c r="O529" s="5" t="s">
        <v>2168</v>
      </c>
    </row>
    <row r="530" spans="1:15" ht="165.6" x14ac:dyDescent="0.3">
      <c r="A530" s="2">
        <v>529</v>
      </c>
      <c r="B530" s="3" t="s">
        <v>2169</v>
      </c>
      <c r="C530" s="3" t="s">
        <v>2170</v>
      </c>
      <c r="D530" s="3" t="s">
        <v>71</v>
      </c>
      <c r="E530" s="3" t="s">
        <v>205</v>
      </c>
      <c r="F530" s="3" t="s">
        <v>2147</v>
      </c>
      <c r="G530" s="3" t="s">
        <v>2132</v>
      </c>
      <c r="H530" s="3" t="s">
        <v>2148</v>
      </c>
      <c r="I530" s="3" t="s">
        <v>20</v>
      </c>
      <c r="J530" s="3">
        <v>4.34</v>
      </c>
      <c r="K530" s="3" t="s">
        <v>21</v>
      </c>
      <c r="L530" s="3" t="s">
        <v>2171</v>
      </c>
      <c r="M530" s="3" t="s">
        <v>2150</v>
      </c>
      <c r="N530" s="6" t="str">
        <f>HYPERLINK("C:\Users\alexa\YandexDisk\Книги\Безопасность\Кибербезопасность\Agile_Security_Operations_Engineering_for_agility_in_cyber_defen.pdf","Agile_Security_Operations_Engineering_for_agility_in_cyber_defen.pdf")</f>
        <v>Agile_Security_Operations_Engineering_for_agility_in_cyber_defen.pdf</v>
      </c>
      <c r="O530" s="3" t="s">
        <v>2172</v>
      </c>
    </row>
    <row r="531" spans="1:15" ht="138" x14ac:dyDescent="0.3">
      <c r="A531" s="4">
        <v>530</v>
      </c>
      <c r="B531" s="5" t="s">
        <v>2173</v>
      </c>
      <c r="C531" s="5" t="s">
        <v>2174</v>
      </c>
      <c r="D531" s="5" t="s">
        <v>17</v>
      </c>
      <c r="E531" s="5" t="s">
        <v>402</v>
      </c>
      <c r="F531" s="5" t="s">
        <v>2147</v>
      </c>
      <c r="G531" s="5" t="s">
        <v>2132</v>
      </c>
      <c r="H531" s="5" t="s">
        <v>2148</v>
      </c>
      <c r="I531" s="5" t="s">
        <v>20</v>
      </c>
      <c r="J531" s="5">
        <v>20.52</v>
      </c>
      <c r="K531" s="5" t="s">
        <v>21</v>
      </c>
      <c r="L531" s="5" t="s">
        <v>2175</v>
      </c>
      <c r="M531" s="5" t="s">
        <v>2150</v>
      </c>
      <c r="N531" s="7" t="str">
        <f>HYPERLINK("C:\Users\alexa\YandexDisk\Книги\Безопасность\Кибербезопасность\Android глазами хакера.pdf","Android глазами хакера.pdf")</f>
        <v>Android глазами хакера.pdf</v>
      </c>
      <c r="O531" s="5" t="s">
        <v>2176</v>
      </c>
    </row>
    <row r="532" spans="1:15" ht="207" x14ac:dyDescent="0.3">
      <c r="A532" s="2">
        <v>531</v>
      </c>
      <c r="B532" s="3" t="s">
        <v>2177</v>
      </c>
      <c r="C532" s="3" t="s">
        <v>2178</v>
      </c>
      <c r="D532" s="3" t="s">
        <v>71</v>
      </c>
      <c r="E532" s="3" t="s">
        <v>536</v>
      </c>
      <c r="F532" s="3" t="s">
        <v>2147</v>
      </c>
      <c r="G532" s="3" t="s">
        <v>2132</v>
      </c>
      <c r="H532" s="3" t="s">
        <v>2148</v>
      </c>
      <c r="I532" s="3" t="s">
        <v>20</v>
      </c>
      <c r="J532" s="3">
        <v>5.17</v>
      </c>
      <c r="K532" s="3" t="s">
        <v>21</v>
      </c>
      <c r="L532" s="3" t="s">
        <v>2179</v>
      </c>
      <c r="M532" s="3" t="s">
        <v>2150</v>
      </c>
      <c r="N532" s="6" t="str">
        <f>HYPERLINK("C:\Users\alexa\YandexDisk\Книги\Безопасность\Кибербезопасность\Application Security Program Handbook 2022.pdf","Application Security Program Handbook 2022.pdf")</f>
        <v>Application Security Program Handbook 2022.pdf</v>
      </c>
      <c r="O532" s="3" t="s">
        <v>2180</v>
      </c>
    </row>
    <row r="533" spans="1:15" ht="151.80000000000001" x14ac:dyDescent="0.3">
      <c r="A533" s="4">
        <v>532</v>
      </c>
      <c r="B533" s="5" t="s">
        <v>2181</v>
      </c>
      <c r="C533" s="5" t="s">
        <v>2182</v>
      </c>
      <c r="D533" s="5"/>
      <c r="E533" s="5" t="s">
        <v>2183</v>
      </c>
      <c r="F533" s="5" t="s">
        <v>2147</v>
      </c>
      <c r="G533" s="5" t="s">
        <v>2132</v>
      </c>
      <c r="H533" s="5" t="s">
        <v>2148</v>
      </c>
      <c r="I533" s="5" t="s">
        <v>20</v>
      </c>
      <c r="J533" s="5">
        <v>27.75</v>
      </c>
      <c r="K533" s="5" t="s">
        <v>21</v>
      </c>
      <c r="L533" s="5" t="s">
        <v>2184</v>
      </c>
      <c r="M533" s="5" t="s">
        <v>2150</v>
      </c>
      <c r="N533" s="7" t="str">
        <f>HYPERLINK("C:\Users\alexa\YandexDisk\Книги\Безопасность\Кибербезопасность\Artificial Intelligence for Cyber Defense.pdf","Artificial Intelligence for Cyber Defense.pdf")</f>
        <v>Artificial Intelligence for Cyber Defense.pdf</v>
      </c>
      <c r="O533" s="5" t="s">
        <v>2185</v>
      </c>
    </row>
    <row r="534" spans="1:15" ht="193.2" x14ac:dyDescent="0.3">
      <c r="A534" s="2">
        <v>533</v>
      </c>
      <c r="B534" s="3" t="s">
        <v>2186</v>
      </c>
      <c r="C534" s="3" t="s">
        <v>2187</v>
      </c>
      <c r="D534" s="3" t="s">
        <v>114</v>
      </c>
      <c r="E534" s="3" t="s">
        <v>402</v>
      </c>
      <c r="F534" s="3" t="s">
        <v>2147</v>
      </c>
      <c r="G534" s="3" t="s">
        <v>2132</v>
      </c>
      <c r="H534" s="3" t="s">
        <v>2148</v>
      </c>
      <c r="I534" s="3" t="s">
        <v>20</v>
      </c>
      <c r="J534" s="3">
        <v>32.619999999999997</v>
      </c>
      <c r="K534" s="3" t="s">
        <v>21</v>
      </c>
      <c r="L534" s="3" t="s">
        <v>2188</v>
      </c>
      <c r="M534" s="3" t="s">
        <v>2150</v>
      </c>
      <c r="N534" s="6" t="str">
        <f>HYPERLINK("C:\Users\alexa\YandexDisk\Книги\Безопасность\Кибербезопасность\Babin_-_Laboratoria_khakera.pdf","Babin_-_Laboratoria_khakera.pdf")</f>
        <v>Babin_-_Laboratoria_khakera.pdf</v>
      </c>
      <c r="O534" s="3" t="s">
        <v>2189</v>
      </c>
    </row>
    <row r="535" spans="1:15" ht="179.4" x14ac:dyDescent="0.3">
      <c r="A535" s="4">
        <v>534</v>
      </c>
      <c r="B535" s="5" t="s">
        <v>2190</v>
      </c>
      <c r="C535" s="5" t="s">
        <v>2191</v>
      </c>
      <c r="D535" s="5" t="s">
        <v>27</v>
      </c>
      <c r="E535" s="5" t="s">
        <v>2192</v>
      </c>
      <c r="F535" s="5" t="s">
        <v>2147</v>
      </c>
      <c r="G535" s="5" t="s">
        <v>2132</v>
      </c>
      <c r="H535" s="5" t="s">
        <v>2148</v>
      </c>
      <c r="I535" s="5" t="s">
        <v>20</v>
      </c>
      <c r="J535" s="5">
        <v>0.8</v>
      </c>
      <c r="K535" s="5" t="s">
        <v>21</v>
      </c>
      <c r="L535" s="5" t="s">
        <v>2193</v>
      </c>
      <c r="M535" s="5" t="s">
        <v>2150</v>
      </c>
      <c r="N535" s="7" t="str">
        <f>HYPERLINK("C:\Users\alexa\YandexDisk\Книги\Безопасность\Кибербезопасность\book666- ГосИТ.pdf","book666- ГосИТ.pdf")</f>
        <v>book666- ГосИТ.pdf</v>
      </c>
      <c r="O535" s="5" t="s">
        <v>2194</v>
      </c>
    </row>
    <row r="536" spans="1:15" ht="165.6" x14ac:dyDescent="0.3">
      <c r="A536" s="2">
        <v>535</v>
      </c>
      <c r="B536" s="3" t="s">
        <v>2195</v>
      </c>
      <c r="C536" s="3" t="s">
        <v>2196</v>
      </c>
      <c r="D536" s="3" t="s">
        <v>59</v>
      </c>
      <c r="E536" s="3" t="s">
        <v>442</v>
      </c>
      <c r="F536" s="3" t="s">
        <v>2147</v>
      </c>
      <c r="G536" s="3" t="s">
        <v>2132</v>
      </c>
      <c r="H536" s="3" t="s">
        <v>2148</v>
      </c>
      <c r="I536" s="3" t="s">
        <v>20</v>
      </c>
      <c r="J536" s="3">
        <v>8.02</v>
      </c>
      <c r="K536" s="3" t="s">
        <v>21</v>
      </c>
      <c r="L536" s="3" t="s">
        <v>2197</v>
      </c>
      <c r="M536" s="3" t="s">
        <v>2150</v>
      </c>
      <c r="N536" s="6" t="str">
        <f>HYPERLINK("C:\Users\alexa\YandexDisk\Книги\Безопасность\Кибербезопасность\Container_Security_Fundamental_Technology_Concepts_that_Protect 2020.pdf","Container_Security_Fundamental_Technology_Concepts_that_Protect 2020.pdf")</f>
        <v>Container_Security_Fundamental_Technology_Concepts_that_Protect 2020.pdf</v>
      </c>
      <c r="O536" s="3" t="s">
        <v>2198</v>
      </c>
    </row>
    <row r="537" spans="1:15" ht="179.4" x14ac:dyDescent="0.3">
      <c r="A537" s="4">
        <v>536</v>
      </c>
      <c r="B537" s="5" t="s">
        <v>2199</v>
      </c>
      <c r="C537" s="5" t="s">
        <v>2200</v>
      </c>
      <c r="D537" s="5"/>
      <c r="E537" s="5" t="s">
        <v>2183</v>
      </c>
      <c r="F537" s="5" t="s">
        <v>2147</v>
      </c>
      <c r="G537" s="5" t="s">
        <v>2132</v>
      </c>
      <c r="H537" s="5" t="s">
        <v>2148</v>
      </c>
      <c r="I537" s="5" t="s">
        <v>20</v>
      </c>
      <c r="J537" s="5">
        <v>3.22</v>
      </c>
      <c r="K537" s="5" t="s">
        <v>21</v>
      </c>
      <c r="L537" s="5" t="s">
        <v>2201</v>
      </c>
      <c r="M537" s="5" t="s">
        <v>2150</v>
      </c>
      <c r="N537" s="7" t="str">
        <f>HYPERLINK("C:\Users\alexa\YandexDisk\Книги\Безопасность\Кибербезопасность\CRC_Losing_the_Cybersecurity_War_And_What_We_Can_Do_to_Stop_It_1032364084.pdf","CRC_Losing_the_Cybersecurity_War_And_What_We_Can_Do_to_Stop_It_1032364084.pdf")</f>
        <v>CRC_Losing_the_Cybersecurity_War_And_What_We_Can_Do_to_Stop_It_1032364084.pdf</v>
      </c>
      <c r="O537" s="5" t="s">
        <v>2202</v>
      </c>
    </row>
    <row r="538" spans="1:15" ht="179.4" x14ac:dyDescent="0.3">
      <c r="A538" s="2">
        <v>537</v>
      </c>
      <c r="B538" s="3" t="s">
        <v>2203</v>
      </c>
      <c r="C538" s="3" t="s">
        <v>2204</v>
      </c>
      <c r="D538" s="3"/>
      <c r="E538" s="3"/>
      <c r="F538" s="3" t="s">
        <v>2147</v>
      </c>
      <c r="G538" s="3" t="s">
        <v>2132</v>
      </c>
      <c r="H538" s="3" t="s">
        <v>2148</v>
      </c>
      <c r="I538" s="3" t="s">
        <v>20</v>
      </c>
      <c r="J538" s="3">
        <v>7.19</v>
      </c>
      <c r="K538" s="3" t="s">
        <v>21</v>
      </c>
      <c r="L538" s="3" t="s">
        <v>2205</v>
      </c>
      <c r="M538" s="3" t="s">
        <v>2150</v>
      </c>
      <c r="N538" s="6" t="str">
        <f>HYPERLINK("C:\Users\alexa\YandexDisk\Книги\Безопасность\Кибербезопасность\Cross-Site Scripting Attacks.pdf","Cross-Site Scripting Attacks.pdf")</f>
        <v>Cross-Site Scripting Attacks.pdf</v>
      </c>
      <c r="O538" s="3" t="s">
        <v>2206</v>
      </c>
    </row>
    <row r="539" spans="1:15" ht="193.2" x14ac:dyDescent="0.3">
      <c r="A539" s="4">
        <v>538</v>
      </c>
      <c r="B539" s="5" t="s">
        <v>2207</v>
      </c>
      <c r="C539" s="5" t="s">
        <v>2208</v>
      </c>
      <c r="D539" s="5"/>
      <c r="E539" s="5"/>
      <c r="F539" s="5" t="s">
        <v>2147</v>
      </c>
      <c r="G539" s="5" t="s">
        <v>2132</v>
      </c>
      <c r="H539" s="5" t="s">
        <v>2148</v>
      </c>
      <c r="I539" s="5" t="s">
        <v>20</v>
      </c>
      <c r="J539" s="5">
        <v>3.79</v>
      </c>
      <c r="K539" s="5" t="s">
        <v>21</v>
      </c>
      <c r="L539" s="5" t="s">
        <v>2209</v>
      </c>
      <c r="M539" s="5" t="s">
        <v>2150</v>
      </c>
      <c r="N539" s="7" t="str">
        <f>HYPERLINK("C:\Users\alexa\YandexDisk\Книги\Безопасность\Кибербезопасность\Cybersecurity Career Guide.pdf","Cybersecurity Career Guide.pdf")</f>
        <v>Cybersecurity Career Guide.pdf</v>
      </c>
      <c r="O539" s="5" t="s">
        <v>2210</v>
      </c>
    </row>
    <row r="540" spans="1:15" ht="193.2" x14ac:dyDescent="0.3">
      <c r="A540" s="2">
        <v>539</v>
      </c>
      <c r="B540" s="3" t="s">
        <v>2211</v>
      </c>
      <c r="C540" s="3" t="s">
        <v>2212</v>
      </c>
      <c r="D540" s="3"/>
      <c r="E540" s="3" t="s">
        <v>587</v>
      </c>
      <c r="F540" s="3" t="s">
        <v>2147</v>
      </c>
      <c r="G540" s="3" t="s">
        <v>2132</v>
      </c>
      <c r="H540" s="3" t="s">
        <v>2148</v>
      </c>
      <c r="I540" s="3" t="s">
        <v>20</v>
      </c>
      <c r="J540" s="3">
        <v>4.88</v>
      </c>
      <c r="K540" s="3" t="s">
        <v>21</v>
      </c>
      <c r="L540" s="3" t="s">
        <v>2213</v>
      </c>
      <c r="M540" s="3" t="s">
        <v>2150</v>
      </c>
      <c r="N540" s="6" t="str">
        <f>HYPERLINK("C:\Users\alexa\YandexDisk\Книги\Безопасность\Кибербезопасность\Cybersecurity for Small Networks.pdf","Cybersecurity for Small Networks.pdf")</f>
        <v>Cybersecurity for Small Networks.pdf</v>
      </c>
      <c r="O540" s="3" t="s">
        <v>2214</v>
      </c>
    </row>
    <row r="541" spans="1:15" ht="207" x14ac:dyDescent="0.3">
      <c r="A541" s="4">
        <v>540</v>
      </c>
      <c r="B541" s="5" t="s">
        <v>2215</v>
      </c>
      <c r="C541" s="5" t="s">
        <v>2216</v>
      </c>
      <c r="D541" s="5"/>
      <c r="E541" s="5"/>
      <c r="F541" s="5" t="s">
        <v>2147</v>
      </c>
      <c r="G541" s="5" t="s">
        <v>2132</v>
      </c>
      <c r="H541" s="5" t="s">
        <v>2148</v>
      </c>
      <c r="I541" s="5" t="s">
        <v>20</v>
      </c>
      <c r="J541" s="5">
        <v>2.75</v>
      </c>
      <c r="K541" s="5" t="s">
        <v>21</v>
      </c>
      <c r="L541" s="5" t="s">
        <v>2217</v>
      </c>
      <c r="M541" s="5" t="s">
        <v>2150</v>
      </c>
      <c r="N541" s="7" t="str">
        <f>HYPERLINK("C:\Users\alexa\YandexDisk\Книги\Безопасность\Кибербезопасность\Cybersecurity in Intelligent Networking.pdf","Cybersecurity in Intelligent Networking.pdf")</f>
        <v>Cybersecurity in Intelligent Networking.pdf</v>
      </c>
      <c r="O541" s="5" t="s">
        <v>2218</v>
      </c>
    </row>
    <row r="542" spans="1:15" ht="193.2" x14ac:dyDescent="0.3">
      <c r="A542" s="2">
        <v>541</v>
      </c>
      <c r="B542" s="3" t="s">
        <v>2219</v>
      </c>
      <c r="C542" s="3" t="s">
        <v>2212</v>
      </c>
      <c r="D542" s="3"/>
      <c r="E542" s="3"/>
      <c r="F542" s="3" t="s">
        <v>2147</v>
      </c>
      <c r="G542" s="3" t="s">
        <v>2132</v>
      </c>
      <c r="H542" s="3" t="s">
        <v>2148</v>
      </c>
      <c r="I542" s="3" t="s">
        <v>280</v>
      </c>
      <c r="J542" s="3">
        <v>9.2200000000000006</v>
      </c>
      <c r="K542" s="3" t="s">
        <v>21</v>
      </c>
      <c r="L542" s="3" t="s">
        <v>2220</v>
      </c>
      <c r="M542" s="3" t="s">
        <v>2150</v>
      </c>
      <c r="N542" s="6" t="str">
        <f>HYPERLINK("C:\Users\alexa\YandexDisk\Книги\Безопасность\Кибербезопасность\Cybersecurity.for.Small.Networks.epub","Cybersecurity.for.Small.Networks.epub")</f>
        <v>Cybersecurity.for.Small.Networks.epub</v>
      </c>
      <c r="O542" s="3" t="s">
        <v>2221</v>
      </c>
    </row>
    <row r="543" spans="1:15" ht="262.2" x14ac:dyDescent="0.3">
      <c r="A543" s="4">
        <v>542</v>
      </c>
      <c r="B543" s="5" t="s">
        <v>2222</v>
      </c>
      <c r="C543" s="5" t="s">
        <v>2223</v>
      </c>
      <c r="D543" s="5" t="s">
        <v>77</v>
      </c>
      <c r="E543" s="5" t="s">
        <v>2224</v>
      </c>
      <c r="F543" s="5" t="s">
        <v>2147</v>
      </c>
      <c r="G543" s="5" t="s">
        <v>2132</v>
      </c>
      <c r="H543" s="5" t="s">
        <v>2148</v>
      </c>
      <c r="I543" s="5" t="s">
        <v>20</v>
      </c>
      <c r="J543" s="5">
        <v>19.71</v>
      </c>
      <c r="K543" s="5" t="s">
        <v>21</v>
      </c>
      <c r="L543" s="5" t="s">
        <v>2225</v>
      </c>
      <c r="M543" s="5" t="s">
        <v>2150</v>
      </c>
      <c r="N543" s="7" t="str">
        <f>HYPERLINK("C:\Users\alexa\YandexDisk\Книги\Безопасность\Кибербезопасность\CyBok The Cyber Security Body of Knowledge.pdf","CyBok The Cyber Security Body of Knowledge.pdf")</f>
        <v>CyBok The Cyber Security Body of Knowledge.pdf</v>
      </c>
      <c r="O543" s="5" t="s">
        <v>2226</v>
      </c>
    </row>
    <row r="544" spans="1:15" ht="234.6" x14ac:dyDescent="0.3">
      <c r="A544" s="2">
        <v>543</v>
      </c>
      <c r="B544" s="3" t="s">
        <v>2227</v>
      </c>
      <c r="C544" s="3" t="s">
        <v>2228</v>
      </c>
      <c r="D544" s="3" t="s">
        <v>71</v>
      </c>
      <c r="E544" s="3" t="s">
        <v>269</v>
      </c>
      <c r="F544" s="3" t="s">
        <v>2147</v>
      </c>
      <c r="G544" s="3" t="s">
        <v>2132</v>
      </c>
      <c r="H544" s="3" t="s">
        <v>2148</v>
      </c>
      <c r="I544" s="3" t="s">
        <v>20</v>
      </c>
      <c r="J544" s="3">
        <v>10.54</v>
      </c>
      <c r="K544" s="3" t="s">
        <v>21</v>
      </c>
      <c r="L544" s="3" t="s">
        <v>2229</v>
      </c>
      <c r="M544" s="3" t="s">
        <v>2150</v>
      </c>
      <c r="N544" s="6" t="str">
        <f>HYPERLINK("C:\Users\alexa\YandexDisk\Книги\Безопасность\Кибербезопасность\Data Privacy 2022.pdf","Data Privacy 2022.pdf")</f>
        <v>Data Privacy 2022.pdf</v>
      </c>
      <c r="O544" s="3" t="s">
        <v>2230</v>
      </c>
    </row>
    <row r="545" spans="1:15" ht="220.8" x14ac:dyDescent="0.3">
      <c r="A545" s="4">
        <v>544</v>
      </c>
      <c r="B545" s="5" t="s">
        <v>2231</v>
      </c>
      <c r="C545" s="5" t="s">
        <v>2232</v>
      </c>
      <c r="D545" s="5" t="s">
        <v>600</v>
      </c>
      <c r="E545" s="5" t="s">
        <v>336</v>
      </c>
      <c r="F545" s="5" t="s">
        <v>2147</v>
      </c>
      <c r="G545" s="5" t="s">
        <v>2132</v>
      </c>
      <c r="H545" s="5" t="s">
        <v>2148</v>
      </c>
      <c r="I545" s="5" t="s">
        <v>519</v>
      </c>
      <c r="J545" s="5">
        <v>5.59</v>
      </c>
      <c r="K545" s="5" t="s">
        <v>21</v>
      </c>
      <c r="L545" s="5" t="s">
        <v>2233</v>
      </c>
      <c r="M545" s="5" t="s">
        <v>2150</v>
      </c>
      <c r="N545" s="7" t="str">
        <f>HYPERLINK("C:\Users\alexa\YandexDisk\Книги\Безопасность\Кибербезопасность\Defensive_Security_лучшие_практики_обеспечения_безопасности_инфраструктур.zip","Defensive_Security_лучшие_практики_обеспечения_безопасности_инфраструктур.zip")</f>
        <v>Defensive_Security_лучшие_практики_обеспечения_безопасности_инфраструктур.zip</v>
      </c>
      <c r="O545" s="5" t="s">
        <v>2234</v>
      </c>
    </row>
    <row r="546" spans="1:15" ht="193.2" x14ac:dyDescent="0.3">
      <c r="A546" s="2">
        <v>545</v>
      </c>
      <c r="B546" s="3" t="s">
        <v>2235</v>
      </c>
      <c r="C546" s="3" t="s">
        <v>2236</v>
      </c>
      <c r="D546" s="3" t="s">
        <v>27</v>
      </c>
      <c r="E546" s="3" t="s">
        <v>308</v>
      </c>
      <c r="F546" s="3" t="s">
        <v>2147</v>
      </c>
      <c r="G546" s="3" t="s">
        <v>2132</v>
      </c>
      <c r="H546" s="3" t="s">
        <v>2148</v>
      </c>
      <c r="I546" s="3" t="s">
        <v>20</v>
      </c>
      <c r="J546" s="3">
        <v>14.12</v>
      </c>
      <c r="K546" s="3" t="s">
        <v>21</v>
      </c>
      <c r="L546" s="3" t="s">
        <v>2237</v>
      </c>
      <c r="M546" s="3" t="s">
        <v>2150</v>
      </c>
      <c r="N546" s="6" t="str">
        <f>HYPERLINK("C:\Users\alexa\YandexDisk\Книги\Безопасность\Кибербезопасность\For.Dummies.Cybersecurity.pdf","For.Dummies.Cybersecurity.pdf")</f>
        <v>For.Dummies.Cybersecurity.pdf</v>
      </c>
      <c r="O546" s="3" t="s">
        <v>2238</v>
      </c>
    </row>
    <row r="547" spans="1:15" ht="193.2" x14ac:dyDescent="0.3">
      <c r="A547" s="4">
        <v>546</v>
      </c>
      <c r="B547" s="5" t="s">
        <v>2239</v>
      </c>
      <c r="C547" s="5" t="s">
        <v>2240</v>
      </c>
      <c r="D547" s="5" t="s">
        <v>71</v>
      </c>
      <c r="E547" s="5" t="s">
        <v>102</v>
      </c>
      <c r="F547" s="5" t="s">
        <v>2147</v>
      </c>
      <c r="G547" s="5" t="s">
        <v>2132</v>
      </c>
      <c r="H547" s="5" t="s">
        <v>2148</v>
      </c>
      <c r="I547" s="5" t="s">
        <v>20</v>
      </c>
      <c r="J547" s="5">
        <v>47.02</v>
      </c>
      <c r="K547" s="5" t="s">
        <v>21</v>
      </c>
      <c r="L547" s="5" t="s">
        <v>2241</v>
      </c>
      <c r="M547" s="5" t="s">
        <v>2150</v>
      </c>
      <c r="N547" s="7" t="str">
        <f>HYPERLINK("C:\Users\alexa\YandexDisk\Книги\Безопасность\Кибербезопасность\GHIDRA. Полное руководство.pdf","GHIDRA. Полное руководство.pdf")</f>
        <v>GHIDRA. Полное руководство.pdf</v>
      </c>
      <c r="O547" s="5" t="s">
        <v>2242</v>
      </c>
    </row>
    <row r="548" spans="1:15" ht="151.80000000000001" x14ac:dyDescent="0.3">
      <c r="A548" s="2">
        <v>547</v>
      </c>
      <c r="B548" s="3" t="s">
        <v>2243</v>
      </c>
      <c r="C548" s="3" t="s">
        <v>2244</v>
      </c>
      <c r="D548" s="3" t="s">
        <v>161</v>
      </c>
      <c r="E548" s="3" t="s">
        <v>2245</v>
      </c>
      <c r="F548" s="3" t="s">
        <v>2147</v>
      </c>
      <c r="G548" s="3" t="s">
        <v>2132</v>
      </c>
      <c r="H548" s="3" t="s">
        <v>2148</v>
      </c>
      <c r="I548" s="3" t="s">
        <v>20</v>
      </c>
      <c r="J548" s="3">
        <v>6.04</v>
      </c>
      <c r="K548" s="3" t="s">
        <v>21</v>
      </c>
      <c r="L548" s="3" t="s">
        <v>2246</v>
      </c>
      <c r="M548" s="3" t="s">
        <v>2150</v>
      </c>
      <c r="N548" s="6" t="str">
        <f>HYPERLINK("C:\Users\alexa\YandexDisk\Книги\Безопасность\Кибербезопасность\Gorbatov_V_S_Polyanskaya_O_Yu_-_Osnovy_tekhnologii_PKI.pdf","Gorbatov_V_S_Polyanskaya_O_Yu_-_Osnovy_tekhnologii_PKI.pdf")</f>
        <v>Gorbatov_V_S_Polyanskaya_O_Yu_-_Osnovy_tekhnologii_PKI.pdf</v>
      </c>
      <c r="O548" s="3" t="s">
        <v>2247</v>
      </c>
    </row>
    <row r="549" spans="1:15" ht="193.2" x14ac:dyDescent="0.3">
      <c r="A549" s="4">
        <v>548</v>
      </c>
      <c r="B549" s="5" t="s">
        <v>2248</v>
      </c>
      <c r="C549" s="5" t="s">
        <v>2249</v>
      </c>
      <c r="D549" s="5" t="s">
        <v>109</v>
      </c>
      <c r="E549" s="5" t="s">
        <v>536</v>
      </c>
      <c r="F549" s="5" t="s">
        <v>2147</v>
      </c>
      <c r="G549" s="5" t="s">
        <v>2132</v>
      </c>
      <c r="H549" s="5" t="s">
        <v>2148</v>
      </c>
      <c r="I549" s="5" t="s">
        <v>20</v>
      </c>
      <c r="J549" s="5">
        <v>44.41</v>
      </c>
      <c r="K549" s="5" t="s">
        <v>21</v>
      </c>
      <c r="L549" s="5" t="s">
        <v>2250</v>
      </c>
      <c r="M549" s="5" t="s">
        <v>2150</v>
      </c>
      <c r="N549" s="7" t="str">
        <f>HYPERLINK("C:\Users\alexa\YandexDisk\Книги\Безопасность\Кибербезопасность\Grokking Web Application Security.pdf","Grokking Web Application Security.pdf")</f>
        <v>Grokking Web Application Security.pdf</v>
      </c>
      <c r="O549" s="5" t="s">
        <v>2251</v>
      </c>
    </row>
    <row r="550" spans="1:15" ht="165.6" x14ac:dyDescent="0.3">
      <c r="A550" s="2">
        <v>549</v>
      </c>
      <c r="B550" s="3" t="s">
        <v>2252</v>
      </c>
      <c r="C550" s="3"/>
      <c r="D550" s="3"/>
      <c r="E550" s="3" t="s">
        <v>2253</v>
      </c>
      <c r="F550" s="3" t="s">
        <v>2147</v>
      </c>
      <c r="G550" s="3" t="s">
        <v>2132</v>
      </c>
      <c r="H550" s="3" t="s">
        <v>2148</v>
      </c>
      <c r="I550" s="3" t="s">
        <v>20</v>
      </c>
      <c r="J550" s="3">
        <v>7.04</v>
      </c>
      <c r="K550" s="3" t="s">
        <v>21</v>
      </c>
      <c r="L550" s="3" t="s">
        <v>2254</v>
      </c>
      <c r="M550" s="3" t="s">
        <v>2150</v>
      </c>
      <c r="N550" s="6" t="str">
        <f>HYPERLINK("C:\Users\alexa\YandexDisk\Книги\Безопасность\Кибербезопасность\Hack_the_Stack_Using_Snort_and_Ethereal_to_Master_the_8_Layers_of.pdf","Hack_the_Stack_Using_Snort_and_Ethereal_to_Master_the_8_Layers_of.pdf")</f>
        <v>Hack_the_Stack_Using_Snort_and_Ethereal_to_Master_the_8_Layers_of.pdf</v>
      </c>
      <c r="O550" s="3" t="s">
        <v>2255</v>
      </c>
    </row>
    <row r="551" spans="1:15" ht="124.2" x14ac:dyDescent="0.3">
      <c r="A551" s="4">
        <v>550</v>
      </c>
      <c r="B551" s="5" t="s">
        <v>2256</v>
      </c>
      <c r="C551" s="5" t="s">
        <v>2257</v>
      </c>
      <c r="D551" s="5" t="s">
        <v>114</v>
      </c>
      <c r="E551" s="5" t="s">
        <v>1267</v>
      </c>
      <c r="F551" s="5" t="s">
        <v>2147</v>
      </c>
      <c r="G551" s="5" t="s">
        <v>2132</v>
      </c>
      <c r="H551" s="5" t="s">
        <v>2148</v>
      </c>
      <c r="I551" s="5" t="s">
        <v>20</v>
      </c>
      <c r="J551" s="5">
        <v>8.36</v>
      </c>
      <c r="K551" s="5" t="s">
        <v>21</v>
      </c>
      <c r="L551" s="5" t="s">
        <v>2258</v>
      </c>
      <c r="M551" s="5" t="s">
        <v>2150</v>
      </c>
      <c r="N551" s="7" t="str">
        <f>HYPERLINK("C:\Users\alexa\YandexDisk\Книги\Безопасность\Кибербезопасность\Hiding Behind the Keyboard.pdf","Hiding Behind the Keyboard.pdf")</f>
        <v>Hiding Behind the Keyboard.pdf</v>
      </c>
      <c r="O551" s="5" t="s">
        <v>2259</v>
      </c>
    </row>
    <row r="552" spans="1:15" ht="138" x14ac:dyDescent="0.3">
      <c r="A552" s="2">
        <v>551</v>
      </c>
      <c r="B552" s="3" t="s">
        <v>2260</v>
      </c>
      <c r="C552" s="3" t="s">
        <v>2261</v>
      </c>
      <c r="D552" s="3"/>
      <c r="E552" s="3" t="s">
        <v>587</v>
      </c>
      <c r="F552" s="3" t="s">
        <v>2147</v>
      </c>
      <c r="G552" s="3" t="s">
        <v>2132</v>
      </c>
      <c r="H552" s="3" t="s">
        <v>2148</v>
      </c>
      <c r="I552" s="3" t="s">
        <v>20</v>
      </c>
      <c r="J552" s="3">
        <v>15.42</v>
      </c>
      <c r="K552" s="3" t="s">
        <v>21</v>
      </c>
      <c r="L552" s="3" t="s">
        <v>2262</v>
      </c>
      <c r="M552" s="3" t="s">
        <v>2150</v>
      </c>
      <c r="N552" s="6" t="str">
        <f>HYPERLINK("C:\Users\alexa\YandexDisk\Книги\Безопасность\Кибербезопасность\How_Cybersecurity_Really_Works.pdf","How_Cybersecurity_Really_Works.pdf")</f>
        <v>How_Cybersecurity_Really_Works.pdf</v>
      </c>
      <c r="O552" s="3" t="s">
        <v>2263</v>
      </c>
    </row>
    <row r="553" spans="1:15" ht="165.6" x14ac:dyDescent="0.3">
      <c r="A553" s="4">
        <v>552</v>
      </c>
      <c r="B553" s="5" t="s">
        <v>2264</v>
      </c>
      <c r="C553" s="5"/>
      <c r="D553" s="5"/>
      <c r="E553" s="5"/>
      <c r="F553" s="5" t="s">
        <v>2147</v>
      </c>
      <c r="G553" s="5" t="s">
        <v>2132</v>
      </c>
      <c r="H553" s="5" t="s">
        <v>2148</v>
      </c>
      <c r="I553" s="5" t="s">
        <v>721</v>
      </c>
      <c r="J553" s="5">
        <v>50.83</v>
      </c>
      <c r="K553" s="5" t="s">
        <v>21</v>
      </c>
      <c r="L553" s="5" t="s">
        <v>2264</v>
      </c>
      <c r="M553" s="5" t="s">
        <v>2150</v>
      </c>
      <c r="N553" s="7" t="str">
        <f>HYPERLINK("C:\Users\alexa\YandexDisk\Книги\Безопасность\Кибербезопасность\Kaspersky-Virusy_Iznutri_i_Snaruzhi.RUS@bzd_channel.djvu","Kaspersky-Virusy_Iznutri_i_Snaruzhi.RUS@bzd_channel.djvu")</f>
        <v>Kaspersky-Virusy_Iznutri_i_Snaruzhi.RUS@bzd_channel.djvu</v>
      </c>
      <c r="O553" s="5" t="s">
        <v>2265</v>
      </c>
    </row>
    <row r="554" spans="1:15" ht="124.2" x14ac:dyDescent="0.3">
      <c r="A554" s="2">
        <v>553</v>
      </c>
      <c r="B554" s="3" t="s">
        <v>2266</v>
      </c>
      <c r="C554" s="3" t="s">
        <v>2267</v>
      </c>
      <c r="D554" s="3"/>
      <c r="E554" s="3" t="s">
        <v>72</v>
      </c>
      <c r="F554" s="3" t="s">
        <v>2147</v>
      </c>
      <c r="G554" s="3" t="s">
        <v>2132</v>
      </c>
      <c r="H554" s="3" t="s">
        <v>2148</v>
      </c>
      <c r="I554" s="3" t="s">
        <v>20</v>
      </c>
      <c r="J554" s="3">
        <v>6.13</v>
      </c>
      <c r="K554" s="3" t="s">
        <v>21</v>
      </c>
      <c r="L554" s="3" t="s">
        <v>2268</v>
      </c>
      <c r="M554" s="3" t="s">
        <v>2150</v>
      </c>
      <c r="N554" s="6" t="str">
        <f>HYPERLINK("C:\Users\alexa\YandexDisk\Книги\Безопасность\Кибербезопасность\LINUX_FIREWALLS_Attack_Detection_and_Response_with_iptables,_psad.pdf","LINUX_FIREWALLS_Attack_Detection_and_Response_with_iptables,_psad.pdf")</f>
        <v>LINUX_FIREWALLS_Attack_Detection_and_Response_with_iptables,_psad.pdf</v>
      </c>
      <c r="O554" s="3" t="s">
        <v>2269</v>
      </c>
    </row>
    <row r="555" spans="1:15" ht="220.8" x14ac:dyDescent="0.3">
      <c r="A555" s="4">
        <v>554</v>
      </c>
      <c r="B555" s="5" t="s">
        <v>2199</v>
      </c>
      <c r="C555" s="5" t="s">
        <v>2200</v>
      </c>
      <c r="D555" s="5"/>
      <c r="E555" s="5"/>
      <c r="F555" s="5" t="s">
        <v>2147</v>
      </c>
      <c r="G555" s="5" t="s">
        <v>2132</v>
      </c>
      <c r="H555" s="5" t="s">
        <v>2148</v>
      </c>
      <c r="I555" s="5" t="s">
        <v>20</v>
      </c>
      <c r="J555" s="5">
        <v>3.22</v>
      </c>
      <c r="K555" s="5" t="s">
        <v>21</v>
      </c>
      <c r="L555" s="5" t="s">
        <v>2270</v>
      </c>
      <c r="M555" s="5" t="s">
        <v>2150</v>
      </c>
      <c r="N555" s="7" t="str">
        <f>HYPERLINK("C:\Users\alexa\YandexDisk\Книги\Безопасность\Кибербезопасность\Losing_the_Cybersecurity_War.pdf","Losing_the_Cybersecurity_War.pdf")</f>
        <v>Losing_the_Cybersecurity_War.pdf</v>
      </c>
      <c r="O555" s="5" t="s">
        <v>2271</v>
      </c>
    </row>
    <row r="556" spans="1:15" ht="165.6" x14ac:dyDescent="0.3">
      <c r="A556" s="2">
        <v>555</v>
      </c>
      <c r="B556" s="3" t="s">
        <v>2272</v>
      </c>
      <c r="C556" s="3" t="s">
        <v>2273</v>
      </c>
      <c r="D556" s="3" t="s">
        <v>186</v>
      </c>
      <c r="E556" s="3"/>
      <c r="F556" s="3" t="s">
        <v>2147</v>
      </c>
      <c r="G556" s="3" t="s">
        <v>2132</v>
      </c>
      <c r="H556" s="3" t="s">
        <v>2148</v>
      </c>
      <c r="I556" s="3" t="s">
        <v>20</v>
      </c>
      <c r="J556" s="3">
        <v>1.26</v>
      </c>
      <c r="K556" s="3" t="s">
        <v>21</v>
      </c>
      <c r="L556" s="3" t="s">
        <v>2274</v>
      </c>
      <c r="M556" s="3" t="s">
        <v>2150</v>
      </c>
      <c r="N556" s="6" t="str">
        <f>HYPERLINK("C:\Users\alexa\YandexDisk\Книги\Безопасность\Кибербезопасность\metoddocs.pdf","metoddocs.pdf")</f>
        <v>metoddocs.pdf</v>
      </c>
      <c r="O556" s="3" t="s">
        <v>2275</v>
      </c>
    </row>
    <row r="557" spans="1:15" ht="248.4" x14ac:dyDescent="0.3">
      <c r="A557" s="4">
        <v>556</v>
      </c>
      <c r="B557" s="5" t="s">
        <v>2276</v>
      </c>
      <c r="C557" s="5" t="s">
        <v>2277</v>
      </c>
      <c r="D557" s="5" t="s">
        <v>50</v>
      </c>
      <c r="E557" s="5" t="s">
        <v>536</v>
      </c>
      <c r="F557" s="5" t="s">
        <v>2147</v>
      </c>
      <c r="G557" s="5" t="s">
        <v>2132</v>
      </c>
      <c r="H557" s="5" t="s">
        <v>2148</v>
      </c>
      <c r="I557" s="5" t="s">
        <v>20</v>
      </c>
      <c r="J557" s="5">
        <v>10.97</v>
      </c>
      <c r="K557" s="5" t="s">
        <v>21</v>
      </c>
      <c r="L557" s="5" t="s">
        <v>2278</v>
      </c>
      <c r="M557" s="5" t="s">
        <v>2150</v>
      </c>
      <c r="N557" s="7" t="str">
        <f>HYPERLINK("C:\Users\alexa\YandexDisk\Книги\Безопасность\Кибербезопасность\OAuth 2 in Action (Justin Richer, Antonio Sanso).pdf","OAuth 2 in Action (Justin Richer, Antonio Sanso).pdf")</f>
        <v>OAuth 2 in Action (Justin Richer, Antonio Sanso).pdf</v>
      </c>
      <c r="O557" s="5" t="s">
        <v>2279</v>
      </c>
    </row>
    <row r="558" spans="1:15" ht="220.8" x14ac:dyDescent="0.3">
      <c r="A558" s="2">
        <v>557</v>
      </c>
      <c r="B558" s="3" t="s">
        <v>2280</v>
      </c>
      <c r="C558" s="3" t="s">
        <v>2281</v>
      </c>
      <c r="D558" s="3" t="s">
        <v>71</v>
      </c>
      <c r="E558" s="3" t="s">
        <v>536</v>
      </c>
      <c r="F558" s="3" t="s">
        <v>2147</v>
      </c>
      <c r="G558" s="3" t="s">
        <v>2132</v>
      </c>
      <c r="H558" s="3" t="s">
        <v>2148</v>
      </c>
      <c r="I558" s="3" t="s">
        <v>20</v>
      </c>
      <c r="J558" s="3">
        <v>8.9700000000000006</v>
      </c>
      <c r="K558" s="3" t="s">
        <v>21</v>
      </c>
      <c r="L558" s="3" t="s">
        <v>2282</v>
      </c>
      <c r="M558" s="3" t="s">
        <v>2150</v>
      </c>
      <c r="N558" s="6" t="str">
        <f>HYPERLINK("C:\Users\alexa\YandexDisk\Книги\Безопасность\Кибербезопасность\OpenID Connect in Action V7 2022.pdf","OpenID Connect in Action V7 2022.pdf")</f>
        <v>OpenID Connect in Action V7 2022.pdf</v>
      </c>
      <c r="O558" s="3" t="s">
        <v>2283</v>
      </c>
    </row>
    <row r="559" spans="1:15" ht="41.4" x14ac:dyDescent="0.3">
      <c r="A559" s="4">
        <v>558</v>
      </c>
      <c r="B559" s="5" t="s">
        <v>2284</v>
      </c>
      <c r="C559" s="5"/>
      <c r="D559" s="5"/>
      <c r="E559" s="5"/>
      <c r="F559" s="5" t="s">
        <v>2147</v>
      </c>
      <c r="G559" s="5" t="s">
        <v>2132</v>
      </c>
      <c r="H559" s="5" t="s">
        <v>2148</v>
      </c>
      <c r="I559" s="5" t="s">
        <v>519</v>
      </c>
      <c r="J559" s="5">
        <v>4503.18</v>
      </c>
      <c r="K559" s="5" t="s">
        <v>21</v>
      </c>
      <c r="L559" s="5" t="s">
        <v>2285</v>
      </c>
      <c r="M559" s="5" t="s">
        <v>2150</v>
      </c>
      <c r="N559" s="7" t="str">
        <f>HYPERLINK("C:\Users\alexa\YandexDisk\Книги\Безопасность\Кибербезопасность\OSINT-видеолекции по информационной безопасности.zip","OSINT-видеолекции по информационной безопасности.zip")</f>
        <v>OSINT-видеолекции по информационной безопасности.zip</v>
      </c>
      <c r="O559" s="5" t="s">
        <v>930</v>
      </c>
    </row>
    <row r="560" spans="1:15" ht="179.4" x14ac:dyDescent="0.3">
      <c r="A560" s="2">
        <v>559</v>
      </c>
      <c r="B560" s="3" t="s">
        <v>2286</v>
      </c>
      <c r="C560" s="3" t="s">
        <v>2287</v>
      </c>
      <c r="D560" s="3" t="s">
        <v>335</v>
      </c>
      <c r="E560" s="3" t="s">
        <v>336</v>
      </c>
      <c r="F560" s="3" t="s">
        <v>2147</v>
      </c>
      <c r="G560" s="3" t="s">
        <v>2132</v>
      </c>
      <c r="H560" s="3" t="s">
        <v>2148</v>
      </c>
      <c r="I560" s="3" t="s">
        <v>20</v>
      </c>
      <c r="J560" s="3">
        <v>9.65</v>
      </c>
      <c r="K560" s="3" t="s">
        <v>21</v>
      </c>
      <c r="L560" s="3" t="s">
        <v>2288</v>
      </c>
      <c r="M560" s="3" t="s">
        <v>2150</v>
      </c>
      <c r="N560" s="6" t="str">
        <f>HYPERLINK("C:\Users\alexa\YandexDisk\Книги\Безопасность\Кибербезопасность\OSINT. Руководство по сбору и анализу открытой информации в интернете.pdf","OSINT. Руководство по сбору и анализу открытой информации в интернете.pdf")</f>
        <v>OSINT. Руководство по сбору и анализу открытой информации в интернете.pdf</v>
      </c>
      <c r="O560" s="3" t="s">
        <v>2289</v>
      </c>
    </row>
    <row r="561" spans="1:15" ht="289.8" x14ac:dyDescent="0.3">
      <c r="A561" s="4">
        <v>560</v>
      </c>
      <c r="B561" s="5" t="s">
        <v>2290</v>
      </c>
      <c r="C561" s="5" t="s">
        <v>2291</v>
      </c>
      <c r="D561" s="5" t="s">
        <v>59</v>
      </c>
      <c r="E561" s="5"/>
      <c r="F561" s="5" t="s">
        <v>2147</v>
      </c>
      <c r="G561" s="5" t="s">
        <v>2132</v>
      </c>
      <c r="H561" s="5" t="s">
        <v>2148</v>
      </c>
      <c r="I561" s="5" t="s">
        <v>20</v>
      </c>
      <c r="J561" s="5">
        <v>10.16</v>
      </c>
      <c r="K561" s="5" t="s">
        <v>21</v>
      </c>
      <c r="L561" s="5" t="s">
        <v>2292</v>
      </c>
      <c r="M561" s="5" t="s">
        <v>2150</v>
      </c>
      <c r="N561" s="7" t="str">
        <f>HYPERLINK("C:\Users\alexa\YandexDisk\Книги\Безопасность\Кибербезопасность\OWASP 2020.pdf","OWASP 2020.pdf")</f>
        <v>OWASP 2020.pdf</v>
      </c>
      <c r="O561" s="5" t="s">
        <v>2293</v>
      </c>
    </row>
    <row r="562" spans="1:15" ht="165.6" x14ac:dyDescent="0.3">
      <c r="A562" s="2">
        <v>561</v>
      </c>
      <c r="B562" s="3" t="s">
        <v>2294</v>
      </c>
      <c r="C562" s="3" t="s">
        <v>2295</v>
      </c>
      <c r="D562" s="3"/>
      <c r="E562" s="3"/>
      <c r="F562" s="3" t="s">
        <v>2147</v>
      </c>
      <c r="G562" s="3" t="s">
        <v>2132</v>
      </c>
      <c r="H562" s="3" t="s">
        <v>2148</v>
      </c>
      <c r="I562" s="3" t="s">
        <v>20</v>
      </c>
      <c r="J562" s="3">
        <v>10.92</v>
      </c>
      <c r="K562" s="3" t="s">
        <v>21</v>
      </c>
      <c r="L562" s="3" t="s">
        <v>2296</v>
      </c>
      <c r="M562" s="3" t="s">
        <v>2150</v>
      </c>
      <c r="N562" s="6" t="str">
        <f>HYPERLINK("C:\Users\alexa\YandexDisk\Книги\Безопасность\Кибербезопасность\Practical Security for Agile and DevOps.pdf","Practical Security for Agile and DevOps.pdf")</f>
        <v>Practical Security for Agile and DevOps.pdf</v>
      </c>
      <c r="O562" s="3" t="s">
        <v>2297</v>
      </c>
    </row>
    <row r="563" spans="1:15" ht="179.4" x14ac:dyDescent="0.3">
      <c r="A563" s="4">
        <v>562</v>
      </c>
      <c r="B563" s="5" t="s">
        <v>2298</v>
      </c>
      <c r="C563" s="5" t="s">
        <v>2299</v>
      </c>
      <c r="D563" s="5" t="s">
        <v>59</v>
      </c>
      <c r="E563" s="5" t="s">
        <v>2300</v>
      </c>
      <c r="F563" s="5" t="s">
        <v>2147</v>
      </c>
      <c r="G563" s="5" t="s">
        <v>2132</v>
      </c>
      <c r="H563" s="5" t="s">
        <v>2148</v>
      </c>
      <c r="I563" s="5" t="s">
        <v>20</v>
      </c>
      <c r="J563" s="5">
        <v>8.25</v>
      </c>
      <c r="K563" s="5" t="s">
        <v>21</v>
      </c>
      <c r="L563" s="5" t="s">
        <v>2301</v>
      </c>
      <c r="M563" s="5" t="s">
        <v>2150</v>
      </c>
      <c r="N563" s="7" t="str">
        <f>HYPERLINK("C:\Users\alexa\YandexDisk\Книги\Безопасность\Кибербезопасность\Practical.Network.Security.Monitoring.Using.Free.Software.pdf","Practical.Network.Security.Monitoring.Using.Free.Software.pdf")</f>
        <v>Practical.Network.Security.Monitoring.Using.Free.Software.pdf</v>
      </c>
      <c r="O563" s="5" t="s">
        <v>2302</v>
      </c>
    </row>
    <row r="564" spans="1:15" ht="165.6" x14ac:dyDescent="0.3">
      <c r="A564" s="2">
        <v>563</v>
      </c>
      <c r="B564" s="3" t="s">
        <v>2303</v>
      </c>
      <c r="C564" s="3" t="s">
        <v>2304</v>
      </c>
      <c r="D564" s="3" t="s">
        <v>59</v>
      </c>
      <c r="E564" s="3" t="s">
        <v>998</v>
      </c>
      <c r="F564" s="3" t="s">
        <v>2147</v>
      </c>
      <c r="G564" s="3" t="s">
        <v>2132</v>
      </c>
      <c r="H564" s="3" t="s">
        <v>2148</v>
      </c>
      <c r="I564" s="3" t="s">
        <v>20</v>
      </c>
      <c r="J564" s="3">
        <v>2.2200000000000002</v>
      </c>
      <c r="K564" s="3" t="s">
        <v>21</v>
      </c>
      <c r="L564" s="3" t="s">
        <v>2305</v>
      </c>
      <c r="M564" s="3" t="s">
        <v>2150</v>
      </c>
      <c r="N564" s="6" t="str">
        <f>HYPERLINK("C:\Users\alexa\YandexDisk\Книги\Безопасность\Кибербезопасность\PRO Вирусы.pdf","PRO Вирусы.pdf")</f>
        <v>PRO Вирусы.pdf</v>
      </c>
      <c r="O564" s="3" t="s">
        <v>2306</v>
      </c>
    </row>
    <row r="565" spans="1:15" ht="179.4" x14ac:dyDescent="0.3">
      <c r="A565" s="4">
        <v>564</v>
      </c>
      <c r="B565" s="5" t="s">
        <v>2307</v>
      </c>
      <c r="C565" s="5" t="s">
        <v>2308</v>
      </c>
      <c r="D565" s="5"/>
      <c r="E565" s="5"/>
      <c r="F565" s="5" t="s">
        <v>2147</v>
      </c>
      <c r="G565" s="5" t="s">
        <v>2132</v>
      </c>
      <c r="H565" s="5" t="s">
        <v>2148</v>
      </c>
      <c r="I565" s="5" t="s">
        <v>20</v>
      </c>
      <c r="J565" s="5">
        <v>8.2899999999999991</v>
      </c>
      <c r="K565" s="5" t="s">
        <v>21</v>
      </c>
      <c r="L565" s="5" t="s">
        <v>2309</v>
      </c>
      <c r="M565" s="5" t="s">
        <v>2150</v>
      </c>
      <c r="N565" s="7" t="str">
        <f>HYPERLINK("C:\Users\alexa\YandexDisk\Книги\Безопасность\Кибербезопасность\Python for Cybersecurity Using Python.pdf","Python for Cybersecurity Using Python.pdf")</f>
        <v>Python for Cybersecurity Using Python.pdf</v>
      </c>
      <c r="O565" s="5" t="s">
        <v>2310</v>
      </c>
    </row>
    <row r="566" spans="1:15" ht="179.4" x14ac:dyDescent="0.3">
      <c r="A566" s="2">
        <v>565</v>
      </c>
      <c r="B566" s="3" t="s">
        <v>2311</v>
      </c>
      <c r="C566" s="3"/>
      <c r="D566" s="3" t="s">
        <v>71</v>
      </c>
      <c r="E566" s="3" t="s">
        <v>402</v>
      </c>
      <c r="F566" s="3" t="s">
        <v>2147</v>
      </c>
      <c r="G566" s="3" t="s">
        <v>2132</v>
      </c>
      <c r="H566" s="3" t="s">
        <v>2148</v>
      </c>
      <c r="I566" s="3" t="s">
        <v>20</v>
      </c>
      <c r="J566" s="3">
        <v>20.46</v>
      </c>
      <c r="K566" s="3" t="s">
        <v>21</v>
      </c>
      <c r="L566" s="3" t="s">
        <v>2312</v>
      </c>
      <c r="M566" s="3" t="s">
        <v>2150</v>
      </c>
      <c r="N566" s="6" t="str">
        <f>HYPERLINK("C:\Users\alexa\YandexDisk\Книги\Безопасность\Кибербезопасность\Python глазами хакера.pdf","Python глазами хакера.pdf")</f>
        <v>Python глазами хакера.pdf</v>
      </c>
      <c r="O566" s="3" t="s">
        <v>2313</v>
      </c>
    </row>
    <row r="567" spans="1:15" ht="151.80000000000001" x14ac:dyDescent="0.3">
      <c r="A567" s="4">
        <v>566</v>
      </c>
      <c r="B567" s="5" t="s">
        <v>2307</v>
      </c>
      <c r="C567" s="5"/>
      <c r="D567" s="5"/>
      <c r="E567" s="5"/>
      <c r="F567" s="5" t="s">
        <v>2147</v>
      </c>
      <c r="G567" s="5" t="s">
        <v>2132</v>
      </c>
      <c r="H567" s="5" t="s">
        <v>2148</v>
      </c>
      <c r="I567" s="5" t="s">
        <v>280</v>
      </c>
      <c r="J567" s="5">
        <v>10.48</v>
      </c>
      <c r="K567" s="5" t="s">
        <v>21</v>
      </c>
      <c r="L567" s="5" t="s">
        <v>2314</v>
      </c>
      <c r="M567" s="5" t="s">
        <v>2150</v>
      </c>
      <c r="N567" s="7" t="str">
        <f>HYPERLINK("C:\Users\alexa\YandexDisk\Книги\Безопасность\Кибербезопасность\Python_for_Cybersecurity_Using_Python_for_Cyber_Offense_and_Defense.epub","Python_for_Cybersecurity_Using_Python_for_Cyber_Offense_and_Defense.epub")</f>
        <v>Python_for_Cybersecurity_Using_Python_for_Cyber_Offense_and_Defense.epub</v>
      </c>
      <c r="O567" s="5" t="s">
        <v>2315</v>
      </c>
    </row>
    <row r="568" spans="1:15" ht="248.4" x14ac:dyDescent="0.3">
      <c r="A568" s="2">
        <v>567</v>
      </c>
      <c r="B568" s="3" t="s">
        <v>2316</v>
      </c>
      <c r="C568" s="3" t="s">
        <v>2317</v>
      </c>
      <c r="D568" s="3" t="s">
        <v>71</v>
      </c>
      <c r="E568" s="3"/>
      <c r="F568" s="3" t="s">
        <v>2147</v>
      </c>
      <c r="G568" s="3" t="s">
        <v>2132</v>
      </c>
      <c r="H568" s="3" t="s">
        <v>2148</v>
      </c>
      <c r="I568" s="3" t="s">
        <v>20</v>
      </c>
      <c r="J568" s="3">
        <v>3.52</v>
      </c>
      <c r="K568" s="3" t="s">
        <v>21</v>
      </c>
      <c r="L568" s="3" t="s">
        <v>2318</v>
      </c>
      <c r="M568" s="3" t="s">
        <v>2150</v>
      </c>
      <c r="N568" s="6" t="str">
        <f>HYPERLINK("C:\Users\alexa\YandexDisk\Книги\Безопасность\Кибербезопасность\Ransomware and Cybercrime 2022.pdf","Ransomware and Cybercrime 2022.pdf")</f>
        <v>Ransomware and Cybercrime 2022.pdf</v>
      </c>
      <c r="O568" s="3" t="s">
        <v>2319</v>
      </c>
    </row>
    <row r="569" spans="1:15" ht="151.80000000000001" x14ac:dyDescent="0.3">
      <c r="A569" s="4">
        <v>568</v>
      </c>
      <c r="B569" s="5" t="s">
        <v>2320</v>
      </c>
      <c r="C569" s="5" t="s">
        <v>2321</v>
      </c>
      <c r="D569" s="5" t="s">
        <v>600</v>
      </c>
      <c r="E569" s="5" t="s">
        <v>536</v>
      </c>
      <c r="F569" s="5" t="s">
        <v>2147</v>
      </c>
      <c r="G569" s="5" t="s">
        <v>2132</v>
      </c>
      <c r="H569" s="5" t="s">
        <v>2148</v>
      </c>
      <c r="I569" s="5" t="s">
        <v>20</v>
      </c>
      <c r="J569" s="5">
        <v>36.35</v>
      </c>
      <c r="K569" s="5" t="s">
        <v>21</v>
      </c>
      <c r="L569" s="5" t="s">
        <v>2322</v>
      </c>
      <c r="M569" s="5" t="s">
        <v>2150</v>
      </c>
      <c r="N569" s="7" t="str">
        <f>HYPERLINK("C:\Users\alexa\YandexDisk\Книги\Безопасность\Кибербезопасность\Secure APIs_Final.pdf","Secure APIs_Final.pdf")</f>
        <v>Secure APIs_Final.pdf</v>
      </c>
      <c r="O569" s="5" t="s">
        <v>2323</v>
      </c>
    </row>
    <row r="570" spans="1:15" ht="207" x14ac:dyDescent="0.3">
      <c r="A570" s="2">
        <v>569</v>
      </c>
      <c r="B570" s="3" t="s">
        <v>2324</v>
      </c>
      <c r="C570" s="3" t="s">
        <v>2325</v>
      </c>
      <c r="D570" s="3"/>
      <c r="E570" s="3" t="s">
        <v>2326</v>
      </c>
      <c r="F570" s="3" t="s">
        <v>2147</v>
      </c>
      <c r="G570" s="3" t="s">
        <v>2132</v>
      </c>
      <c r="H570" s="3" t="s">
        <v>2148</v>
      </c>
      <c r="I570" s="3" t="s">
        <v>20</v>
      </c>
      <c r="J570" s="3">
        <v>5.6</v>
      </c>
      <c r="K570" s="3" t="s">
        <v>21</v>
      </c>
      <c r="L570" s="3" t="s">
        <v>2327</v>
      </c>
      <c r="M570" s="3" t="s">
        <v>2150</v>
      </c>
      <c r="N570" s="6" t="str">
        <f>HYPERLINK("C:\Users\alexa\YandexDisk\Книги\Безопасность\Кибербезопасность\Secure Communication for 5G and IoT.pdf","Secure Communication for 5G and IoT.pdf")</f>
        <v>Secure Communication for 5G and IoT.pdf</v>
      </c>
      <c r="O570" s="3" t="s">
        <v>2328</v>
      </c>
    </row>
    <row r="571" spans="1:15" ht="193.2" x14ac:dyDescent="0.3">
      <c r="A571" s="4">
        <v>570</v>
      </c>
      <c r="B571" s="5" t="s">
        <v>2329</v>
      </c>
      <c r="C571" s="5" t="s">
        <v>2187</v>
      </c>
      <c r="D571" s="5" t="s">
        <v>186</v>
      </c>
      <c r="E571" s="5" t="s">
        <v>402</v>
      </c>
      <c r="F571" s="5" t="s">
        <v>2147</v>
      </c>
      <c r="G571" s="5" t="s">
        <v>2132</v>
      </c>
      <c r="H571" s="5" t="s">
        <v>2148</v>
      </c>
      <c r="I571" s="5" t="s">
        <v>20</v>
      </c>
      <c r="J571" s="5">
        <v>19.079999999999998</v>
      </c>
      <c r="K571" s="5" t="s">
        <v>21</v>
      </c>
      <c r="L571" s="5" t="s">
        <v>2330</v>
      </c>
      <c r="M571" s="5" t="s">
        <v>2150</v>
      </c>
      <c r="N571" s="7" t="str">
        <f>HYPERLINK("C:\Users\alexa\YandexDisk\Книги\Безопасность\Кибербезопасность\Sergey_Babin_-_Instrumentariy_khakera_2014.pdf","Sergey_Babin_-_Instrumentariy_khakera_2014.pdf")</f>
        <v>Sergey_Babin_-_Instrumentariy_khakera_2014.pdf</v>
      </c>
      <c r="O571" s="5" t="s">
        <v>2331</v>
      </c>
    </row>
    <row r="572" spans="1:15" ht="179.4" x14ac:dyDescent="0.3">
      <c r="A572" s="2">
        <v>571</v>
      </c>
      <c r="B572" s="3" t="s">
        <v>2332</v>
      </c>
      <c r="C572" s="3" t="s">
        <v>2333</v>
      </c>
      <c r="D572" s="3" t="s">
        <v>32</v>
      </c>
      <c r="E572" s="3" t="s">
        <v>18</v>
      </c>
      <c r="F572" s="3" t="s">
        <v>2147</v>
      </c>
      <c r="G572" s="3" t="s">
        <v>2132</v>
      </c>
      <c r="H572" s="3" t="s">
        <v>2148</v>
      </c>
      <c r="I572" s="3" t="s">
        <v>20</v>
      </c>
      <c r="J572" s="3">
        <v>8.58</v>
      </c>
      <c r="K572" s="3" t="s">
        <v>21</v>
      </c>
      <c r="L572" s="3" t="s">
        <v>2334</v>
      </c>
      <c r="M572" s="3" t="s">
        <v>2150</v>
      </c>
      <c r="N572" s="6" t="str">
        <f>HYPERLINK("C:\Users\alexa\YandexDisk\Книги\Безопасность\Кибербезопасность\Skabtsov_N_V_-_Audit_bezopasnosti_informatsionnykh_sistem_-_2018.pdf","Skabtsov_N_V_-_Audit_bezopasnosti_informatsionnykh_sistem_-_2018.pdf")</f>
        <v>Skabtsov_N_V_-_Audit_bezopasnosti_informatsionnykh_sistem_-_2018.pdf</v>
      </c>
      <c r="O572" s="3" t="s">
        <v>2335</v>
      </c>
    </row>
    <row r="573" spans="1:15" ht="262.2" x14ac:dyDescent="0.3">
      <c r="A573" s="4">
        <v>572</v>
      </c>
      <c r="B573" s="5" t="s">
        <v>2336</v>
      </c>
      <c r="C573" s="5" t="s">
        <v>2337</v>
      </c>
      <c r="D573" s="5"/>
      <c r="E573" s="5"/>
      <c r="F573" s="5" t="s">
        <v>2147</v>
      </c>
      <c r="G573" s="5" t="s">
        <v>2132</v>
      </c>
      <c r="H573" s="5" t="s">
        <v>2148</v>
      </c>
      <c r="I573" s="5" t="s">
        <v>20</v>
      </c>
      <c r="J573" s="5">
        <v>14.39</v>
      </c>
      <c r="K573" s="5" t="s">
        <v>21</v>
      </c>
      <c r="L573" s="5" t="s">
        <v>2338</v>
      </c>
      <c r="M573" s="5" t="s">
        <v>2150</v>
      </c>
      <c r="N573" s="7" t="str">
        <f>HYPERLINK("C:\Users\alexa\YandexDisk\Книги\Безопасность\Кибербезопасность\Software_Security_Concepts__Practices.pdf","Software_Security_Concepts__Practices.pdf")</f>
        <v>Software_Security_Concepts__Practices.pdf</v>
      </c>
      <c r="O573" s="5" t="s">
        <v>2339</v>
      </c>
    </row>
    <row r="574" spans="1:15" ht="151.80000000000001" x14ac:dyDescent="0.3">
      <c r="A574" s="2">
        <v>573</v>
      </c>
      <c r="B574" s="3" t="s">
        <v>2340</v>
      </c>
      <c r="C574" s="3" t="s">
        <v>2341</v>
      </c>
      <c r="D574" s="3"/>
      <c r="E574" s="3" t="s">
        <v>678</v>
      </c>
      <c r="F574" s="3" t="s">
        <v>2147</v>
      </c>
      <c r="G574" s="3" t="s">
        <v>2132</v>
      </c>
      <c r="H574" s="3" t="s">
        <v>2148</v>
      </c>
      <c r="I574" s="3" t="s">
        <v>20</v>
      </c>
      <c r="J574" s="3">
        <v>7.9</v>
      </c>
      <c r="K574" s="3" t="s">
        <v>21</v>
      </c>
      <c r="L574" s="3" t="s">
        <v>2342</v>
      </c>
      <c r="M574" s="3" t="s">
        <v>2150</v>
      </c>
      <c r="N574" s="6" t="str">
        <f>HYPERLINK("C:\Users\alexa\YandexDisk\Книги\Безопасность\Кибербезопасность\Springer_Blockchain_for_Cybersecurity_in_Cyber_Physical_Systems.pdf","Springer_Blockchain_for_Cybersecurity_in_Cyber_Physical_Systems.pdf")</f>
        <v>Springer_Blockchain_for_Cybersecurity_in_Cyber_Physical_Systems.pdf</v>
      </c>
      <c r="O574" s="3" t="s">
        <v>2343</v>
      </c>
    </row>
    <row r="575" spans="1:15" ht="179.4" x14ac:dyDescent="0.3">
      <c r="A575" s="4">
        <v>574</v>
      </c>
      <c r="B575" s="5" t="s">
        <v>2344</v>
      </c>
      <c r="C575" s="5" t="s">
        <v>2345</v>
      </c>
      <c r="D575" s="5" t="s">
        <v>50</v>
      </c>
      <c r="E575" s="5" t="s">
        <v>2346</v>
      </c>
      <c r="F575" s="5" t="s">
        <v>2147</v>
      </c>
      <c r="G575" s="5" t="s">
        <v>2132</v>
      </c>
      <c r="H575" s="5" t="s">
        <v>2148</v>
      </c>
      <c r="I575" s="5" t="s">
        <v>20</v>
      </c>
      <c r="J575" s="5">
        <v>40.72</v>
      </c>
      <c r="K575" s="5" t="s">
        <v>21</v>
      </c>
      <c r="L575" s="5" t="s">
        <v>2347</v>
      </c>
      <c r="M575" s="5" t="s">
        <v>2150</v>
      </c>
      <c r="N575" s="7" t="str">
        <f>HYPERLINK("C:\Users\alexa\YandexDisk\Книги\Безопасность\Кибербезопасность\The_Complete_Cyber_Security_Course,_Volume_1_Hackers_Exposed_Nathan.pdf","The_Complete_Cyber_Security_Course,_Volume_1_Hackers_Exposed_Nathan.pdf")</f>
        <v>The_Complete_Cyber_Security_Course,_Volume_1_Hackers_Exposed_Nathan.pdf</v>
      </c>
      <c r="O575" s="5" t="s">
        <v>2348</v>
      </c>
    </row>
    <row r="576" spans="1:15" ht="165.6" x14ac:dyDescent="0.3">
      <c r="A576" s="2">
        <v>575</v>
      </c>
      <c r="B576" s="3" t="s">
        <v>2349</v>
      </c>
      <c r="C576" s="3"/>
      <c r="D576" s="3" t="s">
        <v>476</v>
      </c>
      <c r="E576" s="3" t="s">
        <v>2350</v>
      </c>
      <c r="F576" s="3" t="s">
        <v>2147</v>
      </c>
      <c r="G576" s="3" t="s">
        <v>2132</v>
      </c>
      <c r="H576" s="3" t="s">
        <v>2148</v>
      </c>
      <c r="I576" s="3" t="s">
        <v>20</v>
      </c>
      <c r="J576" s="3">
        <v>21.1</v>
      </c>
      <c r="K576" s="3" t="s">
        <v>21</v>
      </c>
      <c r="L576" s="3" t="s">
        <v>2351</v>
      </c>
      <c r="M576" s="3" t="s">
        <v>2150</v>
      </c>
      <c r="N576" s="6" t="str">
        <f>HYPERLINK("C:\Users\alexa\YandexDisk\Книги\Безопасность\Кибербезопасность\Violent_Python_-_A_Cookbook_for_Hackers_Forensic_Analysts_Penetration_Testers_and_Security_Engineers.pdf","Violent_Python_-_A_Cookbook_for_Hackers_Forensic_Analysts_Penetration_Testers_and_Security_Engineers.pdf")</f>
        <v>Violent_Python_-_A_Cookbook_for_Hackers_Forensic_Analysts_Penetration_Testers_and_Security_Engineers.pdf</v>
      </c>
      <c r="O576" s="3" t="s">
        <v>2352</v>
      </c>
    </row>
    <row r="577" spans="1:15" ht="124.2" x14ac:dyDescent="0.3">
      <c r="A577" s="4">
        <v>576</v>
      </c>
      <c r="B577" s="5" t="s">
        <v>2353</v>
      </c>
      <c r="C577" s="5" t="s">
        <v>2354</v>
      </c>
      <c r="D577" s="5" t="s">
        <v>17</v>
      </c>
      <c r="E577" s="5" t="s">
        <v>402</v>
      </c>
      <c r="F577" s="5" t="s">
        <v>2147</v>
      </c>
      <c r="G577" s="5" t="s">
        <v>2132</v>
      </c>
      <c r="H577" s="5" t="s">
        <v>2148</v>
      </c>
      <c r="I577" s="5" t="s">
        <v>20</v>
      </c>
      <c r="J577" s="5">
        <v>16.16</v>
      </c>
      <c r="K577" s="5" t="s">
        <v>21</v>
      </c>
      <c r="L577" s="5" t="s">
        <v>2355</v>
      </c>
      <c r="M577" s="5" t="s">
        <v>2150</v>
      </c>
      <c r="N577" s="7" t="str">
        <f>HYPERLINK("C:\Users\alexa\YandexDisk\Книги\Безопасность\Кибербезопасность\Web-сервер глазами хакера.pdf","Web-сервер глазами хакера.pdf")</f>
        <v>Web-сервер глазами хакера.pdf</v>
      </c>
      <c r="O577" s="5" t="s">
        <v>2356</v>
      </c>
    </row>
    <row r="578" spans="1:15" ht="179.4" x14ac:dyDescent="0.3">
      <c r="A578" s="2">
        <v>577</v>
      </c>
      <c r="B578" s="3" t="s">
        <v>2357</v>
      </c>
      <c r="C578" s="3" t="s">
        <v>2358</v>
      </c>
      <c r="D578" s="3"/>
      <c r="E578" s="3" t="s">
        <v>2359</v>
      </c>
      <c r="F578" s="3" t="s">
        <v>2147</v>
      </c>
      <c r="G578" s="3" t="s">
        <v>2132</v>
      </c>
      <c r="H578" s="3" t="s">
        <v>2148</v>
      </c>
      <c r="I578" s="3" t="s">
        <v>20</v>
      </c>
      <c r="J578" s="3">
        <v>13.22</v>
      </c>
      <c r="K578" s="3" t="s">
        <v>21</v>
      </c>
      <c r="L578" s="3" t="s">
        <v>2360</v>
      </c>
      <c r="M578" s="3" t="s">
        <v>2150</v>
      </c>
      <c r="N578" s="6" t="str">
        <f>HYPERLINK("C:\Users\alexa\YandexDisk\Книги\Безопасность\Кибербезопасность\Wireless Communication Security.pdf","Wireless Communication Security.pdf")</f>
        <v>Wireless Communication Security.pdf</v>
      </c>
      <c r="O578" s="3" t="s">
        <v>2361</v>
      </c>
    </row>
    <row r="579" spans="1:15" ht="124.2" x14ac:dyDescent="0.3">
      <c r="A579" s="4">
        <v>578</v>
      </c>
      <c r="B579" s="5" t="s">
        <v>2362</v>
      </c>
      <c r="C579" s="5" t="s">
        <v>2363</v>
      </c>
      <c r="D579" s="5" t="s">
        <v>50</v>
      </c>
      <c r="E579" s="5" t="s">
        <v>485</v>
      </c>
      <c r="F579" s="5" t="s">
        <v>2147</v>
      </c>
      <c r="G579" s="5" t="s">
        <v>2132</v>
      </c>
      <c r="H579" s="5" t="s">
        <v>2148</v>
      </c>
      <c r="I579" s="5" t="s">
        <v>20</v>
      </c>
      <c r="J579" s="5">
        <v>63.23</v>
      </c>
      <c r="K579" s="5" t="s">
        <v>21</v>
      </c>
      <c r="L579" s="5" t="s">
        <v>2364</v>
      </c>
      <c r="M579" s="5" t="s">
        <v>2150</v>
      </c>
      <c r="N579" s="7" t="str">
        <f>HYPERLINK("C:\Users\alexa\YandexDisk\Книги\Безопасность\Кибербезопасность\Zaschita_lichnoy_informatsii_v_internete_smartfone_i_kompyutere 2017.pdf","Zaschita_lichnoy_informatsii_v_internete_smartfone_i_kompyutere 2017.pdf")</f>
        <v>Zaschita_lichnoy_informatsii_v_internete_smartfone_i_kompyutere 2017.pdf</v>
      </c>
      <c r="O579" s="5" t="s">
        <v>2365</v>
      </c>
    </row>
    <row r="580" spans="1:15" ht="138" x14ac:dyDescent="0.3">
      <c r="A580" s="2">
        <v>579</v>
      </c>
      <c r="B580" s="3" t="s">
        <v>2366</v>
      </c>
      <c r="C580" s="3" t="s">
        <v>2367</v>
      </c>
      <c r="D580" s="3"/>
      <c r="E580" s="3"/>
      <c r="F580" s="3" t="s">
        <v>2147</v>
      </c>
      <c r="G580" s="3" t="s">
        <v>2132</v>
      </c>
      <c r="H580" s="3" t="s">
        <v>2148</v>
      </c>
      <c r="I580" s="3" t="s">
        <v>20</v>
      </c>
      <c r="J580" s="3">
        <v>48.65</v>
      </c>
      <c r="K580" s="3" t="s">
        <v>21</v>
      </c>
      <c r="L580" s="3" t="s">
        <v>2368</v>
      </c>
      <c r="M580" s="3" t="s">
        <v>2150</v>
      </c>
      <c r="N580" s="6" t="str">
        <f>HYPERLINK("C:\Users\alexa\YandexDisk\Книги\Безопасность\Кибербезопасность\А_С_Масалков_Особенности_киберпреступлений_инструменты_нападения.pdf","А_С_Масалков_Особенности_киберпреступлений_инструменты_нападения.pdf")</f>
        <v>А_С_Масалков_Особенности_киберпреступлений_инструменты_нападения.pdf</v>
      </c>
      <c r="O580" s="3" t="s">
        <v>2369</v>
      </c>
    </row>
    <row r="581" spans="1:15" ht="179.4" x14ac:dyDescent="0.3">
      <c r="A581" s="4">
        <v>580</v>
      </c>
      <c r="B581" s="5" t="s">
        <v>2370</v>
      </c>
      <c r="C581" s="5" t="s">
        <v>2371</v>
      </c>
      <c r="D581" s="5" t="s">
        <v>71</v>
      </c>
      <c r="E581" s="5" t="s">
        <v>102</v>
      </c>
      <c r="F581" s="5" t="s">
        <v>2147</v>
      </c>
      <c r="G581" s="5" t="s">
        <v>2132</v>
      </c>
      <c r="H581" s="5" t="s">
        <v>2148</v>
      </c>
      <c r="I581" s="5" t="s">
        <v>20</v>
      </c>
      <c r="J581" s="5">
        <v>91.08</v>
      </c>
      <c r="K581" s="5" t="s">
        <v>21</v>
      </c>
      <c r="L581" s="5" t="s">
        <v>2372</v>
      </c>
      <c r="M581" s="5" t="s">
        <v>2150</v>
      </c>
      <c r="N581" s="7" t="str">
        <f>HYPERLINK("C:\Users\alexa\YandexDisk\Книги\Безопасность\Кибербезопасность\Активное_выявление_угроз_c_Elastic_Stack 2022.pdf","Активное_выявление_угроз_c_Elastic_Stack 2022.pdf")</f>
        <v>Активное_выявление_угроз_c_Elastic_Stack 2022.pdf</v>
      </c>
      <c r="O581" s="5" t="s">
        <v>2373</v>
      </c>
    </row>
    <row r="582" spans="1:15" ht="151.80000000000001" x14ac:dyDescent="0.3">
      <c r="A582" s="2">
        <v>581</v>
      </c>
      <c r="B582" s="3" t="s">
        <v>2374</v>
      </c>
      <c r="C582" s="3" t="s">
        <v>2375</v>
      </c>
      <c r="D582" s="3" t="s">
        <v>1022</v>
      </c>
      <c r="E582" s="3" t="s">
        <v>2376</v>
      </c>
      <c r="F582" s="3" t="s">
        <v>2147</v>
      </c>
      <c r="G582" s="3" t="s">
        <v>2132</v>
      </c>
      <c r="H582" s="3" t="s">
        <v>2148</v>
      </c>
      <c r="I582" s="3" t="s">
        <v>20</v>
      </c>
      <c r="J582" s="3">
        <v>5.33</v>
      </c>
      <c r="K582" s="3" t="s">
        <v>21</v>
      </c>
      <c r="L582" s="3" t="s">
        <v>2377</v>
      </c>
      <c r="M582" s="3" t="s">
        <v>2150</v>
      </c>
      <c r="N582" s="6" t="str">
        <f>HYPERLINK("C:\Users\alexa\YandexDisk\Книги\Безопасность\Кибербезопасность\Акулов  - учебник Хранение и защита компьютерной информации 2013.pdf","Акулов  - учебник Хранение и защита компьютерной информации 2013.pdf")</f>
        <v>Акулов  - учебник Хранение и защита компьютерной информации 2013.pdf</v>
      </c>
      <c r="O582" s="3" t="s">
        <v>2378</v>
      </c>
    </row>
    <row r="583" spans="1:15" ht="165.6" x14ac:dyDescent="0.3">
      <c r="A583" s="4">
        <v>582</v>
      </c>
      <c r="B583" s="5" t="s">
        <v>2379</v>
      </c>
      <c r="C583" s="5" t="s">
        <v>2380</v>
      </c>
      <c r="D583" s="5" t="s">
        <v>17</v>
      </c>
      <c r="E583" s="5" t="s">
        <v>102</v>
      </c>
      <c r="F583" s="5" t="s">
        <v>2147</v>
      </c>
      <c r="G583" s="5" t="s">
        <v>2132</v>
      </c>
      <c r="H583" s="5" t="s">
        <v>2148</v>
      </c>
      <c r="I583" s="5" t="s">
        <v>20</v>
      </c>
      <c r="J583" s="5">
        <v>30.18</v>
      </c>
      <c r="K583" s="5" t="s">
        <v>21</v>
      </c>
      <c r="L583" s="5" t="s">
        <v>2381</v>
      </c>
      <c r="M583" s="5" t="s">
        <v>2150</v>
      </c>
      <c r="N583" s="7" t="str">
        <f>HYPERLINK("C:\Users\alexa\YandexDisk\Книги\Безопасность\Кибербезопасность\Атака сетей на уровне протоколов.pdf","Атака сетей на уровне протоколов.pdf")</f>
        <v>Атака сетей на уровне протоколов.pdf</v>
      </c>
      <c r="O583" s="5" t="s">
        <v>2382</v>
      </c>
    </row>
    <row r="584" spans="1:15" ht="193.2" x14ac:dyDescent="0.3">
      <c r="A584" s="2">
        <v>583</v>
      </c>
      <c r="B584" s="3" t="s">
        <v>2383</v>
      </c>
      <c r="C584" s="3" t="s">
        <v>2384</v>
      </c>
      <c r="D584" s="3" t="s">
        <v>17</v>
      </c>
      <c r="E584" s="3" t="s">
        <v>18</v>
      </c>
      <c r="F584" s="3" t="s">
        <v>2147</v>
      </c>
      <c r="G584" s="3" t="s">
        <v>2132</v>
      </c>
      <c r="H584" s="3" t="s">
        <v>2148</v>
      </c>
      <c r="I584" s="3" t="s">
        <v>20</v>
      </c>
      <c r="J584" s="3">
        <v>30.78</v>
      </c>
      <c r="K584" s="3" t="s">
        <v>21</v>
      </c>
      <c r="L584" s="3" t="s">
        <v>2385</v>
      </c>
      <c r="M584" s="3" t="s">
        <v>2150</v>
      </c>
      <c r="N584" s="6" t="str">
        <f>HYPERLINK("C:\Users\alexa\YandexDisk\Книги\Безопасность\Кибербезопасность\Безопасно by design.pdf","Безопасно by design.pdf")</f>
        <v>Безопасно by design.pdf</v>
      </c>
      <c r="O584" s="3" t="s">
        <v>2386</v>
      </c>
    </row>
    <row r="585" spans="1:15" ht="193.2" x14ac:dyDescent="0.3">
      <c r="A585" s="4">
        <v>584</v>
      </c>
      <c r="B585" s="5" t="s">
        <v>2387</v>
      </c>
      <c r="C585" s="5" t="s">
        <v>2388</v>
      </c>
      <c r="D585" s="5" t="s">
        <v>17</v>
      </c>
      <c r="E585" s="5" t="s">
        <v>18</v>
      </c>
      <c r="F585" s="5" t="s">
        <v>2147</v>
      </c>
      <c r="G585" s="5" t="s">
        <v>2132</v>
      </c>
      <c r="H585" s="5" t="s">
        <v>2148</v>
      </c>
      <c r="I585" s="5" t="s">
        <v>20</v>
      </c>
      <c r="J585" s="5">
        <v>6.19</v>
      </c>
      <c r="K585" s="5" t="s">
        <v>21</v>
      </c>
      <c r="L585" s="5" t="s">
        <v>2389</v>
      </c>
      <c r="M585" s="5" t="s">
        <v>2150</v>
      </c>
      <c r="N585" s="7" t="str">
        <f>HYPERLINK("C:\Users\alexa\YandexDisk\Книги\Безопасность\Кибербезопасность\Безопасность веб-приложений (2021).pdf","Безопасность веб-приложений (2021).pdf")</f>
        <v>Безопасность веб-приложений (2021).pdf</v>
      </c>
      <c r="O585" s="5" t="s">
        <v>2390</v>
      </c>
    </row>
    <row r="586" spans="1:15" ht="207" x14ac:dyDescent="0.3">
      <c r="A586" s="2">
        <v>585</v>
      </c>
      <c r="B586" s="3" t="s">
        <v>2391</v>
      </c>
      <c r="C586" s="3" t="s">
        <v>2392</v>
      </c>
      <c r="D586" s="3" t="s">
        <v>17</v>
      </c>
      <c r="E586" s="3" t="s">
        <v>308</v>
      </c>
      <c r="F586" s="3" t="s">
        <v>2147</v>
      </c>
      <c r="G586" s="3" t="s">
        <v>2132</v>
      </c>
      <c r="H586" s="3" t="s">
        <v>2148</v>
      </c>
      <c r="I586" s="3" t="s">
        <v>519</v>
      </c>
      <c r="J586" s="3">
        <v>3.47</v>
      </c>
      <c r="K586" s="3" t="s">
        <v>21</v>
      </c>
      <c r="L586" s="3" t="s">
        <v>2393</v>
      </c>
      <c r="M586" s="3" t="s">
        <v>2150</v>
      </c>
      <c r="N586" s="6" t="str">
        <f>HYPERLINK("C:\Users\alexa\YandexDisk\Книги\Безопасность\Кибербезопасность\Безопасность веб-приложений.zip","Безопасность веб-приложений.zip")</f>
        <v>Безопасность веб-приложений.zip</v>
      </c>
      <c r="O586" s="3" t="s">
        <v>2394</v>
      </c>
    </row>
    <row r="587" spans="1:15" ht="151.80000000000001" x14ac:dyDescent="0.3">
      <c r="A587" s="4">
        <v>586</v>
      </c>
      <c r="B587" s="5" t="s">
        <v>2395</v>
      </c>
      <c r="C587" s="5" t="s">
        <v>2396</v>
      </c>
      <c r="D587" s="5" t="s">
        <v>17</v>
      </c>
      <c r="E587" s="5" t="s">
        <v>18</v>
      </c>
      <c r="F587" s="5" t="s">
        <v>2147</v>
      </c>
      <c r="G587" s="5" t="s">
        <v>2132</v>
      </c>
      <c r="H587" s="5" t="s">
        <v>2148</v>
      </c>
      <c r="I587" s="5" t="s">
        <v>20</v>
      </c>
      <c r="J587" s="5">
        <v>3.91</v>
      </c>
      <c r="K587" s="5" t="s">
        <v>21</v>
      </c>
      <c r="L587" s="5" t="s">
        <v>2397</v>
      </c>
      <c r="M587" s="5" t="s">
        <v>2150</v>
      </c>
      <c r="N587" s="7" t="str">
        <f>HYPERLINK("C:\Users\alexa\YandexDisk\Книги\Безопасность\Кибербезопасность\Безопасность контейнеров.pdf","Безопасность контейнеров.pdf")</f>
        <v>Безопасность контейнеров.pdf</v>
      </c>
      <c r="O587" s="5" t="s">
        <v>2398</v>
      </c>
    </row>
    <row r="588" spans="1:15" ht="165.6" x14ac:dyDescent="0.3">
      <c r="A588" s="2">
        <v>587</v>
      </c>
      <c r="B588" s="3" t="s">
        <v>2399</v>
      </c>
      <c r="C588" s="3" t="s">
        <v>2400</v>
      </c>
      <c r="D588" s="3" t="s">
        <v>27</v>
      </c>
      <c r="E588" s="3"/>
      <c r="F588" s="3" t="s">
        <v>2147</v>
      </c>
      <c r="G588" s="3" t="s">
        <v>2132</v>
      </c>
      <c r="H588" s="3" t="s">
        <v>2148</v>
      </c>
      <c r="I588" s="3" t="s">
        <v>20</v>
      </c>
      <c r="J588" s="3">
        <v>10.17</v>
      </c>
      <c r="K588" s="3" t="s">
        <v>21</v>
      </c>
      <c r="L588" s="3" t="s">
        <v>2401</v>
      </c>
      <c r="M588" s="3" t="s">
        <v>2150</v>
      </c>
      <c r="N588" s="6" t="str">
        <f>HYPERLINK("C:\Users\alexa\YandexDisk\Книги\Безопасность\Кибербезопасность\Безопасность_веб_приложений_на_Python_2023_Деннис_Бирн.pdf","Безопасность_веб_приложений_на_Python_2023_Деннис_Бирн.pdf")</f>
        <v>Безопасность_веб_приложений_на_Python_2023_Деннис_Бирн.pdf</v>
      </c>
      <c r="O588" s="3" t="s">
        <v>2402</v>
      </c>
    </row>
    <row r="589" spans="1:15" ht="165.6" x14ac:dyDescent="0.3">
      <c r="A589" s="4">
        <v>588</v>
      </c>
      <c r="B589" s="5" t="s">
        <v>2403</v>
      </c>
      <c r="C589" s="5" t="s">
        <v>2388</v>
      </c>
      <c r="D589" s="5" t="s">
        <v>17</v>
      </c>
      <c r="E589" s="5" t="s">
        <v>18</v>
      </c>
      <c r="F589" s="5" t="s">
        <v>2147</v>
      </c>
      <c r="G589" s="5" t="s">
        <v>2132</v>
      </c>
      <c r="H589" s="5" t="s">
        <v>2148</v>
      </c>
      <c r="I589" s="5" t="s">
        <v>20</v>
      </c>
      <c r="J589" s="5">
        <v>6.86</v>
      </c>
      <c r="K589" s="5" t="s">
        <v>21</v>
      </c>
      <c r="L589" s="5" t="s">
        <v>2404</v>
      </c>
      <c r="M589" s="5" t="s">
        <v>2150</v>
      </c>
      <c r="N589" s="7" t="str">
        <f>HYPERLINK("C:\Users\alexa\YandexDisk\Книги\Безопасность\Кибербезопасность\Безопасность_веб_приложений_Разведка,_защита,_нападение.pdf","Безопасность_веб_приложений_Разведка,_защита,_нападение.pdf")</f>
        <v>Безопасность_веб_приложений_Разведка,_защита,_нападение.pdf</v>
      </c>
      <c r="O589" s="5" t="s">
        <v>2405</v>
      </c>
    </row>
    <row r="590" spans="1:15" ht="151.80000000000001" x14ac:dyDescent="0.3">
      <c r="A590" s="2">
        <v>589</v>
      </c>
      <c r="B590" s="3" t="s">
        <v>2399</v>
      </c>
      <c r="C590" s="3" t="s">
        <v>2400</v>
      </c>
      <c r="D590" s="3" t="s">
        <v>27</v>
      </c>
      <c r="E590" s="3"/>
      <c r="F590" s="3" t="s">
        <v>2147</v>
      </c>
      <c r="G590" s="3" t="s">
        <v>2132</v>
      </c>
      <c r="H590" s="3" t="s">
        <v>2148</v>
      </c>
      <c r="I590" s="3" t="s">
        <v>519</v>
      </c>
      <c r="J590" s="3">
        <v>8.94</v>
      </c>
      <c r="K590" s="3" t="s">
        <v>21</v>
      </c>
      <c r="L590" s="3" t="s">
        <v>2406</v>
      </c>
      <c r="M590" s="3" t="s">
        <v>2150</v>
      </c>
      <c r="N590" s="6" t="str">
        <f>HYPERLINK("C:\Users\alexa\YandexDisk\Книги\Безопасность\Кибербезопасность\Безопасность_веб_приложений_на_Python.zip","Безопасность_веб_приложений_на_Python.zip")</f>
        <v>Безопасность_веб_приложений_на_Python.zip</v>
      </c>
      <c r="O590" s="3" t="s">
        <v>2407</v>
      </c>
    </row>
    <row r="591" spans="1:15" ht="207" x14ac:dyDescent="0.3">
      <c r="A591" s="4">
        <v>590</v>
      </c>
      <c r="B591" s="5" t="s">
        <v>2144</v>
      </c>
      <c r="C591" s="5" t="s">
        <v>2145</v>
      </c>
      <c r="D591" s="5" t="s">
        <v>71</v>
      </c>
      <c r="E591" s="5" t="s">
        <v>2146</v>
      </c>
      <c r="F591" s="5" t="s">
        <v>2147</v>
      </c>
      <c r="G591" s="5" t="s">
        <v>2132</v>
      </c>
      <c r="H591" s="5" t="s">
        <v>2148</v>
      </c>
      <c r="I591" s="5" t="s">
        <v>20</v>
      </c>
      <c r="J591" s="5">
        <v>10.58</v>
      </c>
      <c r="K591" s="5" t="s">
        <v>21</v>
      </c>
      <c r="L591" s="5" t="s">
        <v>2408</v>
      </c>
      <c r="M591" s="5" t="s">
        <v>2150</v>
      </c>
      <c r="N591" s="7" t="str">
        <f>HYPERLINK("C:\Users\alexa\YandexDisk\Книги\Безопасность\Кибербезопасность\Безопасность_информационных_систем_Вооруженных_Сил_РФ.pdf","Безопасность_информационных_систем_Вооруженных_Сил_РФ.pdf")</f>
        <v>Безопасность_информационных_систем_Вооруженных_Сил_РФ.pdf</v>
      </c>
      <c r="O591" s="5" t="s">
        <v>2409</v>
      </c>
    </row>
    <row r="592" spans="1:15" ht="207" x14ac:dyDescent="0.3">
      <c r="A592" s="2">
        <v>591</v>
      </c>
      <c r="B592" s="3" t="s">
        <v>2410</v>
      </c>
      <c r="C592" s="3" t="s">
        <v>2411</v>
      </c>
      <c r="D592" s="3" t="s">
        <v>32</v>
      </c>
      <c r="E592" s="3" t="s">
        <v>102</v>
      </c>
      <c r="F592" s="3" t="s">
        <v>2147</v>
      </c>
      <c r="G592" s="3" t="s">
        <v>2132</v>
      </c>
      <c r="H592" s="3" t="s">
        <v>2148</v>
      </c>
      <c r="I592" s="3" t="s">
        <v>20</v>
      </c>
      <c r="J592" s="3">
        <v>3</v>
      </c>
      <c r="K592" s="3" t="s">
        <v>21</v>
      </c>
      <c r="L592" s="3" t="s">
        <v>2412</v>
      </c>
      <c r="M592" s="3" t="s">
        <v>2150</v>
      </c>
      <c r="N592" s="6" t="str">
        <f>HYPERLINK("C:\Users\alexa\YandexDisk\Книги\Безопасность\Кибербезопасность\Безопасность_разработки_в_Agile.pdf","Безопасность_разработки_в_Agile.pdf")</f>
        <v>Безопасность_разработки_в_Agile.pdf</v>
      </c>
      <c r="O592" s="3" t="s">
        <v>2413</v>
      </c>
    </row>
    <row r="593" spans="1:15" ht="165.6" x14ac:dyDescent="0.3">
      <c r="A593" s="4">
        <v>592</v>
      </c>
      <c r="B593" s="5" t="s">
        <v>2414</v>
      </c>
      <c r="C593" s="5" t="s">
        <v>2415</v>
      </c>
      <c r="D593" s="5" t="s">
        <v>32</v>
      </c>
      <c r="E593" s="5" t="s">
        <v>18</v>
      </c>
      <c r="F593" s="5" t="s">
        <v>2147</v>
      </c>
      <c r="G593" s="5" t="s">
        <v>2132</v>
      </c>
      <c r="H593" s="5" t="s">
        <v>2148</v>
      </c>
      <c r="I593" s="5" t="s">
        <v>20</v>
      </c>
      <c r="J593" s="5">
        <v>17.47</v>
      </c>
      <c r="K593" s="5" t="s">
        <v>21</v>
      </c>
      <c r="L593" s="5" t="s">
        <v>2416</v>
      </c>
      <c r="M593" s="5" t="s">
        <v>2150</v>
      </c>
      <c r="N593" s="7" t="str">
        <f>HYPERLINK("C:\Users\alexa\YandexDisk\Книги\Безопасность\Кибербезопасность\Вскрытие покажет!.pdf","Вскрытие покажет!.pdf")</f>
        <v>Вскрытие покажет!.pdf</v>
      </c>
      <c r="O593" s="5" t="s">
        <v>2417</v>
      </c>
    </row>
    <row r="594" spans="1:15" ht="193.2" x14ac:dyDescent="0.3">
      <c r="A594" s="2">
        <v>593</v>
      </c>
      <c r="B594" s="3" t="s">
        <v>2418</v>
      </c>
      <c r="C594" s="3" t="s">
        <v>2419</v>
      </c>
      <c r="D594" s="3" t="s">
        <v>77</v>
      </c>
      <c r="E594" s="3" t="s">
        <v>2420</v>
      </c>
      <c r="F594" s="3" t="s">
        <v>2147</v>
      </c>
      <c r="G594" s="3" t="s">
        <v>2132</v>
      </c>
      <c r="H594" s="3" t="s">
        <v>2148</v>
      </c>
      <c r="I594" s="3" t="s">
        <v>20</v>
      </c>
      <c r="J594" s="3">
        <v>29.16</v>
      </c>
      <c r="K594" s="3" t="s">
        <v>21</v>
      </c>
      <c r="L594" s="3" t="s">
        <v>2421</v>
      </c>
      <c r="M594" s="3" t="s">
        <v>2150</v>
      </c>
      <c r="N594" s="6" t="str">
        <f>HYPERLINK("C:\Users\alexa\YandexDisk\Книги\Безопасность\Кибербезопасность\Выявление_с_пециальных_технических_средств_несанкциони­рованного.pdf","Выявление_с_пециальных_технических_средств_несанкциони­рованного.pdf")</f>
        <v>Выявление_с_пециальных_технических_средств_несанкциони­рованного.pdf</v>
      </c>
      <c r="O594" s="3" t="s">
        <v>2422</v>
      </c>
    </row>
    <row r="595" spans="1:15" ht="165.6" x14ac:dyDescent="0.3">
      <c r="A595" s="4">
        <v>594</v>
      </c>
      <c r="B595" s="5" t="s">
        <v>2423</v>
      </c>
      <c r="C595" s="5" t="s">
        <v>2424</v>
      </c>
      <c r="D595" s="5" t="s">
        <v>59</v>
      </c>
      <c r="E595" s="5" t="s">
        <v>2425</v>
      </c>
      <c r="F595" s="5" t="s">
        <v>2147</v>
      </c>
      <c r="G595" s="5" t="s">
        <v>2132</v>
      </c>
      <c r="H595" s="5" t="s">
        <v>2148</v>
      </c>
      <c r="I595" s="5" t="s">
        <v>20</v>
      </c>
      <c r="J595" s="5">
        <v>1.3</v>
      </c>
      <c r="K595" s="5" t="s">
        <v>21</v>
      </c>
      <c r="L595" s="5" t="s">
        <v>2426</v>
      </c>
      <c r="M595" s="5" t="s">
        <v>2150</v>
      </c>
      <c r="N595" s="7" t="str">
        <f>HYPERLINK("C:\Users\alexa\YandexDisk\Книги\Безопасность\Кибербезопасность\Гродзенский_Я_С_Информационная_безопасность_Учебное_пособие_2020.pdf","Гродзенский_Я_С_Информационная_безопасность_Учебное_пособие_2020.pdf")</f>
        <v>Гродзенский_Я_С_Информационная_безопасность_Учебное_пособие_2020.pdf</v>
      </c>
      <c r="O595" s="5" t="s">
        <v>2427</v>
      </c>
    </row>
    <row r="596" spans="1:15" ht="165.6" x14ac:dyDescent="0.3">
      <c r="A596" s="2">
        <v>595</v>
      </c>
      <c r="B596" s="3" t="s">
        <v>2428</v>
      </c>
      <c r="C596" s="3" t="s">
        <v>2429</v>
      </c>
      <c r="D596" s="3" t="s">
        <v>32</v>
      </c>
      <c r="E596" s="3" t="s">
        <v>2430</v>
      </c>
      <c r="F596" s="3" t="s">
        <v>2147</v>
      </c>
      <c r="G596" s="3" t="s">
        <v>2132</v>
      </c>
      <c r="H596" s="3" t="s">
        <v>2148</v>
      </c>
      <c r="I596" s="3" t="s">
        <v>519</v>
      </c>
      <c r="J596" s="3">
        <v>14.85</v>
      </c>
      <c r="K596" s="3" t="s">
        <v>21</v>
      </c>
      <c r="L596" s="3" t="s">
        <v>2431</v>
      </c>
      <c r="M596" s="3" t="s">
        <v>2150</v>
      </c>
      <c r="N596" s="6" t="str">
        <f>HYPERLINK("C:\Users\alexa\YandexDisk\Книги\Безопасность\Кибербезопасность\Защита информации.zip","Защита информации.zip")</f>
        <v>Защита информации.zip</v>
      </c>
      <c r="O596" s="3" t="s">
        <v>2432</v>
      </c>
    </row>
    <row r="597" spans="1:15" ht="193.2" x14ac:dyDescent="0.3">
      <c r="A597" s="4">
        <v>596</v>
      </c>
      <c r="B597" s="5" t="s">
        <v>2433</v>
      </c>
      <c r="C597" s="5" t="s">
        <v>2434</v>
      </c>
      <c r="D597" s="5" t="s">
        <v>59</v>
      </c>
      <c r="E597" s="5" t="s">
        <v>102</v>
      </c>
      <c r="F597" s="5" t="s">
        <v>2147</v>
      </c>
      <c r="G597" s="5" t="s">
        <v>2132</v>
      </c>
      <c r="H597" s="5" t="s">
        <v>2148</v>
      </c>
      <c r="I597" s="5" t="s">
        <v>20</v>
      </c>
      <c r="J597" s="5">
        <v>12.67</v>
      </c>
      <c r="K597" s="5" t="s">
        <v>21</v>
      </c>
      <c r="L597" s="5" t="s">
        <v>2435</v>
      </c>
      <c r="M597" s="5" t="s">
        <v>2150</v>
      </c>
      <c r="N597" s="7" t="str">
        <f>HYPERLINK("C:\Users\alexa\YandexDisk\Книги\Безопасность\Кибербезопасность\Защита сетей на основе аналиа данных - 2020.pdf","Защита сетей на основе аналиа данных - 2020.pdf")</f>
        <v>Защита сетей на основе аналиа данных - 2020.pdf</v>
      </c>
      <c r="O597" s="5" t="s">
        <v>2436</v>
      </c>
    </row>
    <row r="598" spans="1:15" ht="220.8" x14ac:dyDescent="0.3">
      <c r="A598" s="2">
        <v>597</v>
      </c>
      <c r="B598" s="3" t="s">
        <v>2433</v>
      </c>
      <c r="C598" s="3" t="s">
        <v>2434</v>
      </c>
      <c r="D598" s="3" t="s">
        <v>59</v>
      </c>
      <c r="E598" s="3" t="s">
        <v>102</v>
      </c>
      <c r="F598" s="3" t="s">
        <v>2147</v>
      </c>
      <c r="G598" s="3" t="s">
        <v>2132</v>
      </c>
      <c r="H598" s="3" t="s">
        <v>2148</v>
      </c>
      <c r="I598" s="3" t="s">
        <v>20</v>
      </c>
      <c r="J598" s="3">
        <v>12.67</v>
      </c>
      <c r="K598" s="3" t="s">
        <v>21</v>
      </c>
      <c r="L598" s="3" t="s">
        <v>2437</v>
      </c>
      <c r="M598" s="3" t="s">
        <v>2150</v>
      </c>
      <c r="N598" s="6" t="str">
        <f>HYPERLINK("C:\Users\alexa\YandexDisk\Книги\Безопасность\Кибербезопасность\Защита сетй - подход.pdf","Защита сетй - подход.pdf")</f>
        <v>Защита сетй - подход.pdf</v>
      </c>
      <c r="O598" s="3" t="s">
        <v>2438</v>
      </c>
    </row>
    <row r="599" spans="1:15" ht="179.4" x14ac:dyDescent="0.3">
      <c r="A599" s="4">
        <v>598</v>
      </c>
      <c r="B599" s="5" t="s">
        <v>2439</v>
      </c>
      <c r="C599" s="5" t="s">
        <v>2440</v>
      </c>
      <c r="D599" s="5" t="s">
        <v>109</v>
      </c>
      <c r="E599" s="5" t="s">
        <v>2441</v>
      </c>
      <c r="F599" s="5" t="s">
        <v>2147</v>
      </c>
      <c r="G599" s="5" t="s">
        <v>2132</v>
      </c>
      <c r="H599" s="5" t="s">
        <v>2148</v>
      </c>
      <c r="I599" s="5" t="s">
        <v>519</v>
      </c>
      <c r="J599" s="5">
        <v>13.03</v>
      </c>
      <c r="K599" s="5" t="s">
        <v>21</v>
      </c>
      <c r="L599" s="5" t="s">
        <v>2442</v>
      </c>
      <c r="M599" s="5" t="s">
        <v>2150</v>
      </c>
      <c r="N599" s="7" t="str">
        <f>HYPERLINK("C:\Users\alexa\YandexDisk\Книги\Безопасность\Кибербезопасность\Защита_компьютерных_сетей_и_телекоммуникаций.zip","Защита_компьютерных_сетей_и_телекоммуникаций.zip")</f>
        <v>Защита_компьютерных_сетей_и_телекоммуникаций.zip</v>
      </c>
      <c r="O599" s="5" t="s">
        <v>2443</v>
      </c>
    </row>
    <row r="600" spans="1:15" ht="110.4" x14ac:dyDescent="0.3">
      <c r="A600" s="2">
        <v>599</v>
      </c>
      <c r="B600" s="3" t="s">
        <v>2362</v>
      </c>
      <c r="C600" s="3" t="s">
        <v>2363</v>
      </c>
      <c r="D600" s="3" t="s">
        <v>50</v>
      </c>
      <c r="E600" s="3" t="s">
        <v>485</v>
      </c>
      <c r="F600" s="3" t="s">
        <v>2147</v>
      </c>
      <c r="G600" s="3" t="s">
        <v>2132</v>
      </c>
      <c r="H600" s="3" t="s">
        <v>2148</v>
      </c>
      <c r="I600" s="3" t="s">
        <v>20</v>
      </c>
      <c r="J600" s="3">
        <v>61.62</v>
      </c>
      <c r="K600" s="3" t="s">
        <v>21</v>
      </c>
      <c r="L600" s="3" t="s">
        <v>2444</v>
      </c>
      <c r="M600" s="3" t="s">
        <v>2150</v>
      </c>
      <c r="N600" s="6" t="str">
        <f>HYPERLINK("C:\Users\alexa\YandexDisk\Книги\Безопасность\Кибербезопасность\Защита_личной_информации_в_интернете.pdf","Защита_личной_информации_в_интернете.pdf")</f>
        <v>Защита_личной_информации_в_интернете.pdf</v>
      </c>
      <c r="O600" s="3" t="s">
        <v>2445</v>
      </c>
    </row>
    <row r="601" spans="1:15" ht="220.8" x14ac:dyDescent="0.3">
      <c r="A601" s="4">
        <v>600</v>
      </c>
      <c r="B601" s="5" t="s">
        <v>2446</v>
      </c>
      <c r="C601" s="5" t="s">
        <v>2447</v>
      </c>
      <c r="D601" s="5"/>
      <c r="E601" s="5" t="s">
        <v>2448</v>
      </c>
      <c r="F601" s="5" t="s">
        <v>2147</v>
      </c>
      <c r="G601" s="5" t="s">
        <v>2132</v>
      </c>
      <c r="H601" s="5" t="s">
        <v>2148</v>
      </c>
      <c r="I601" s="5" t="s">
        <v>20</v>
      </c>
      <c r="J601" s="5">
        <v>13.24</v>
      </c>
      <c r="K601" s="5" t="s">
        <v>21</v>
      </c>
      <c r="L601" s="5" t="s">
        <v>2449</v>
      </c>
      <c r="M601" s="5" t="s">
        <v>2150</v>
      </c>
      <c r="N601" s="7" t="str">
        <f>HYPERLINK("C:\Users\alexa\YandexDisk\Книги\Безопасность\Кибербезопасность\Инструменты_ИИ_в_руках_злоумышленников_Исследование.pdf","Инструменты_ИИ_в_руках_злоумышленников_Исследование.pdf")</f>
        <v>Инструменты_ИИ_в_руках_злоумышленников_Исследование.pdf</v>
      </c>
      <c r="O601" s="5" t="s">
        <v>2450</v>
      </c>
    </row>
    <row r="602" spans="1:15" ht="179.4" x14ac:dyDescent="0.3">
      <c r="A602" s="2">
        <v>601</v>
      </c>
      <c r="B602" s="3" t="s">
        <v>2423</v>
      </c>
      <c r="C602" s="3" t="s">
        <v>2424</v>
      </c>
      <c r="D602" s="3" t="s">
        <v>59</v>
      </c>
      <c r="E602" s="3" t="s">
        <v>2425</v>
      </c>
      <c r="F602" s="3" t="s">
        <v>2147</v>
      </c>
      <c r="G602" s="3" t="s">
        <v>2132</v>
      </c>
      <c r="H602" s="3" t="s">
        <v>2148</v>
      </c>
      <c r="I602" s="3" t="s">
        <v>20</v>
      </c>
      <c r="J602" s="3">
        <v>1.3</v>
      </c>
      <c r="K602" s="3" t="s">
        <v>21</v>
      </c>
      <c r="L602" s="3" t="s">
        <v>2451</v>
      </c>
      <c r="M602" s="3" t="s">
        <v>2150</v>
      </c>
      <c r="N602" s="6" t="str">
        <f>HYPERLINK("C:\Users\alexa\YandexDisk\Книги\Безопасность\Кибербезопасность\Информационная безопасность.pdf","Информационная безопасность.pdf")</f>
        <v>Информационная безопасность.pdf</v>
      </c>
      <c r="O602" s="3" t="s">
        <v>2452</v>
      </c>
    </row>
    <row r="603" spans="1:15" ht="193.2" x14ac:dyDescent="0.3">
      <c r="A603" s="4">
        <v>602</v>
      </c>
      <c r="B603" s="5" t="s">
        <v>2423</v>
      </c>
      <c r="C603" s="5" t="s">
        <v>2453</v>
      </c>
      <c r="D603" s="5" t="s">
        <v>59</v>
      </c>
      <c r="E603" s="5" t="s">
        <v>2454</v>
      </c>
      <c r="F603" s="5" t="s">
        <v>2147</v>
      </c>
      <c r="G603" s="5" t="s">
        <v>2132</v>
      </c>
      <c r="H603" s="5" t="s">
        <v>2148</v>
      </c>
      <c r="I603" s="5" t="s">
        <v>20</v>
      </c>
      <c r="J603" s="5">
        <v>37.78</v>
      </c>
      <c r="K603" s="5" t="s">
        <v>21</v>
      </c>
      <c r="L603" s="5" t="s">
        <v>2455</v>
      </c>
      <c r="M603" s="5" t="s">
        <v>2150</v>
      </c>
      <c r="N603" s="7" t="str">
        <f>HYPERLINK("C:\Users\alexa\YandexDisk\Книги\Безопасность\Кибербезопасность\Информационная безопасность_.pdf","Информационная безопасность_.pdf")</f>
        <v>Информационная безопасность_.pdf</v>
      </c>
      <c r="O603" s="5" t="s">
        <v>2456</v>
      </c>
    </row>
    <row r="604" spans="1:15" ht="165.6" x14ac:dyDescent="0.3">
      <c r="A604" s="2">
        <v>603</v>
      </c>
      <c r="B604" s="3" t="s">
        <v>2457</v>
      </c>
      <c r="C604" s="3"/>
      <c r="D604" s="3" t="s">
        <v>50</v>
      </c>
      <c r="E604" s="3"/>
      <c r="F604" s="3" t="s">
        <v>2147</v>
      </c>
      <c r="G604" s="3" t="s">
        <v>2132</v>
      </c>
      <c r="H604" s="3" t="s">
        <v>2148</v>
      </c>
      <c r="I604" s="3" t="s">
        <v>20</v>
      </c>
      <c r="J604" s="3">
        <v>91.51</v>
      </c>
      <c r="K604" s="3" t="s">
        <v>21</v>
      </c>
      <c r="L604" s="3" t="s">
        <v>2458</v>
      </c>
      <c r="M604" s="3" t="s">
        <v>2150</v>
      </c>
      <c r="N604" s="6" t="str">
        <f>HYPERLINK("C:\Users\alexa\YandexDisk\Книги\Безопасность\Кибербезопасность\Информационная_безопасность_Защита_и_нападение 2017.pdf","Информационная_безопасность_Защита_и_нападение 2017.pdf")</f>
        <v>Информационная_безопасность_Защита_и_нападение 2017.pdf</v>
      </c>
      <c r="O604" s="3" t="s">
        <v>2459</v>
      </c>
    </row>
    <row r="605" spans="1:15" ht="165.6" x14ac:dyDescent="0.3">
      <c r="A605" s="4">
        <v>604</v>
      </c>
      <c r="B605" s="5" t="s">
        <v>2460</v>
      </c>
      <c r="C605" s="5" t="s">
        <v>2461</v>
      </c>
      <c r="D605" s="5" t="s">
        <v>59</v>
      </c>
      <c r="E605" s="5" t="s">
        <v>143</v>
      </c>
      <c r="F605" s="5" t="s">
        <v>2147</v>
      </c>
      <c r="G605" s="5" t="s">
        <v>2132</v>
      </c>
      <c r="H605" s="5" t="s">
        <v>2148</v>
      </c>
      <c r="I605" s="5" t="s">
        <v>20</v>
      </c>
      <c r="J605" s="5">
        <v>5.87</v>
      </c>
      <c r="K605" s="5" t="s">
        <v>21</v>
      </c>
      <c r="L605" s="5" t="s">
        <v>2462</v>
      </c>
      <c r="M605" s="5" t="s">
        <v>2150</v>
      </c>
      <c r="N605" s="7" t="str">
        <f>HYPERLINK("C:\Users\alexa\YandexDisk\Книги\Безопасность\Кибербезопасность\Как_быстро_восстановить_потерянные_компьютерные_данные.pdf","Как_быстро_восстановить_потерянные_компьютерные_данные.pdf")</f>
        <v>Как_быстро_восстановить_потерянные_компьютерные_данные.pdf</v>
      </c>
      <c r="O605" s="5" t="s">
        <v>2463</v>
      </c>
    </row>
    <row r="606" spans="1:15" ht="41.4" x14ac:dyDescent="0.3">
      <c r="A606" s="2">
        <v>605</v>
      </c>
      <c r="B606" s="3" t="s">
        <v>2464</v>
      </c>
      <c r="C606" s="3" t="s">
        <v>1693</v>
      </c>
      <c r="D606" s="3"/>
      <c r="E606" s="3"/>
      <c r="F606" s="3" t="s">
        <v>2147</v>
      </c>
      <c r="G606" s="3" t="s">
        <v>2132</v>
      </c>
      <c r="H606" s="3" t="s">
        <v>2148</v>
      </c>
      <c r="I606" s="3" t="s">
        <v>20</v>
      </c>
      <c r="J606" s="3">
        <v>148.11000000000001</v>
      </c>
      <c r="K606" s="3" t="s">
        <v>21</v>
      </c>
      <c r="L606" s="3" t="s">
        <v>2465</v>
      </c>
      <c r="M606" s="3" t="s">
        <v>2150</v>
      </c>
      <c r="N606" s="6" t="str">
        <f>HYPERLINK("C:\Users\alexa\YandexDisk\Книги\Безопасность\Кибербезопасность\Кибербезопасность объектов.pdf","Кибербезопасность объектов.pdf")</f>
        <v>Кибербезопасность объектов.pdf</v>
      </c>
      <c r="O606" s="3" t="s">
        <v>930</v>
      </c>
    </row>
    <row r="607" spans="1:15" ht="138" x14ac:dyDescent="0.3">
      <c r="A607" s="4">
        <v>606</v>
      </c>
      <c r="B607" s="5" t="s">
        <v>2466</v>
      </c>
      <c r="C607" s="5" t="s">
        <v>2467</v>
      </c>
      <c r="D607" s="5"/>
      <c r="E607" s="5" t="s">
        <v>102</v>
      </c>
      <c r="F607" s="5" t="s">
        <v>2147</v>
      </c>
      <c r="G607" s="5" t="s">
        <v>2132</v>
      </c>
      <c r="H607" s="5" t="s">
        <v>2148</v>
      </c>
      <c r="I607" s="5" t="s">
        <v>20</v>
      </c>
      <c r="J607" s="5">
        <v>18.66</v>
      </c>
      <c r="K607" s="5" t="s">
        <v>21</v>
      </c>
      <c r="L607" s="5" t="s">
        <v>2468</v>
      </c>
      <c r="M607" s="5" t="s">
        <v>2150</v>
      </c>
      <c r="N607" s="7" t="str">
        <f>HYPERLINK("C:\Users\alexa\YandexDisk\Книги\Безопасность\Кибербезопасность\Кибербезопасность_стратегия_атак_и_обороны.pdf","Кибербезопасность_стратегия_атак_и_обороны.pdf")</f>
        <v>Кибербезопасность_стратегия_атак_и_обороны.pdf</v>
      </c>
      <c r="O607" s="5" t="s">
        <v>2469</v>
      </c>
    </row>
    <row r="608" spans="1:15" ht="207" x14ac:dyDescent="0.3">
      <c r="A608" s="2">
        <v>607</v>
      </c>
      <c r="B608" s="3" t="s">
        <v>2470</v>
      </c>
      <c r="C608" s="3" t="s">
        <v>2471</v>
      </c>
      <c r="D608" s="3" t="s">
        <v>71</v>
      </c>
      <c r="E608" s="3" t="s">
        <v>18</v>
      </c>
      <c r="F608" s="3" t="s">
        <v>2147</v>
      </c>
      <c r="G608" s="3" t="s">
        <v>2132</v>
      </c>
      <c r="H608" s="3" t="s">
        <v>2148</v>
      </c>
      <c r="I608" s="3" t="s">
        <v>20</v>
      </c>
      <c r="J608" s="3">
        <v>6.88</v>
      </c>
      <c r="K608" s="3" t="s">
        <v>21</v>
      </c>
      <c r="L608" s="3" t="s">
        <v>2472</v>
      </c>
      <c r="M608" s="3" t="s">
        <v>2150</v>
      </c>
      <c r="N608" s="6" t="str">
        <f>HYPERLINK("C:\Users\alexa\YandexDisk\Книги\Безопасность\Кибербезопасность\Кибердзюцу.pdf","Кибердзюцу.pdf")</f>
        <v>Кибердзюцу.pdf</v>
      </c>
      <c r="O608" s="3" t="s">
        <v>2473</v>
      </c>
    </row>
    <row r="609" spans="1:15" ht="41.4" x14ac:dyDescent="0.3">
      <c r="A609" s="4">
        <v>608</v>
      </c>
      <c r="B609" s="5" t="s">
        <v>2474</v>
      </c>
      <c r="C609" s="5" t="s">
        <v>1693</v>
      </c>
      <c r="D609" s="5"/>
      <c r="E609" s="5"/>
      <c r="F609" s="5" t="s">
        <v>2147</v>
      </c>
      <c r="G609" s="5" t="s">
        <v>2132</v>
      </c>
      <c r="H609" s="5" t="s">
        <v>2148</v>
      </c>
      <c r="I609" s="5" t="s">
        <v>20</v>
      </c>
      <c r="J609" s="5">
        <v>167.53</v>
      </c>
      <c r="K609" s="5" t="s">
        <v>21</v>
      </c>
      <c r="L609" s="5" t="s">
        <v>2475</v>
      </c>
      <c r="M609" s="5" t="s">
        <v>2150</v>
      </c>
      <c r="N609" s="7" t="str">
        <f>HYPERLINK("C:\Users\alexa\YandexDisk\Книги\Безопасность\Кибербезопасность\Кибероружие и кибербезопасность.pdf","Кибероружие и кибербезопасность.pdf")</f>
        <v>Кибероружие и кибербезопасность.pdf</v>
      </c>
      <c r="O609" s="5" t="s">
        <v>930</v>
      </c>
    </row>
    <row r="610" spans="1:15" ht="165.6" x14ac:dyDescent="0.3">
      <c r="A610" s="2">
        <v>609</v>
      </c>
      <c r="B610" s="3" t="s">
        <v>2433</v>
      </c>
      <c r="C610" s="3" t="s">
        <v>2434</v>
      </c>
      <c r="D610" s="3" t="s">
        <v>59</v>
      </c>
      <c r="E610" s="3" t="s">
        <v>102</v>
      </c>
      <c r="F610" s="3" t="s">
        <v>2147</v>
      </c>
      <c r="G610" s="3" t="s">
        <v>2132</v>
      </c>
      <c r="H610" s="3" t="s">
        <v>2148</v>
      </c>
      <c r="I610" s="3" t="s">
        <v>20</v>
      </c>
      <c r="J610" s="3">
        <v>12.67</v>
      </c>
      <c r="K610" s="3" t="s">
        <v>21</v>
      </c>
      <c r="L610" s="3" t="s">
        <v>2476</v>
      </c>
      <c r="M610" s="3" t="s">
        <v>2150</v>
      </c>
      <c r="N610" s="6" t="str">
        <f>HYPERLINK("C:\Users\alexa\YandexDisk\Книги\Безопасность\Кибербезопасность\Коллинз Защита сетей - подход на основе анализа данных 2020.pdf","Коллинз Защита сетей - подход на основе анализа данных 2020.pdf")</f>
        <v>Коллинз Защита сетей - подход на основе анализа данных 2020.pdf</v>
      </c>
      <c r="O610" s="3" t="s">
        <v>2477</v>
      </c>
    </row>
    <row r="611" spans="1:15" ht="151.80000000000001" x14ac:dyDescent="0.3">
      <c r="A611" s="4">
        <v>610</v>
      </c>
      <c r="B611" s="5" t="s">
        <v>2478</v>
      </c>
      <c r="C611" s="5"/>
      <c r="D611" s="5" t="s">
        <v>71</v>
      </c>
      <c r="E611" s="5" t="s">
        <v>402</v>
      </c>
      <c r="F611" s="5" t="s">
        <v>2147</v>
      </c>
      <c r="G611" s="5" t="s">
        <v>2132</v>
      </c>
      <c r="H611" s="5" t="s">
        <v>2148</v>
      </c>
      <c r="I611" s="5" t="s">
        <v>20</v>
      </c>
      <c r="J611" s="5">
        <v>30.62</v>
      </c>
      <c r="K611" s="5" t="s">
        <v>21</v>
      </c>
      <c r="L611" s="5" t="s">
        <v>2479</v>
      </c>
      <c r="M611" s="5" t="s">
        <v>2150</v>
      </c>
      <c r="N611" s="7" t="str">
        <f>HYPERLINK("C:\Users\alexa\YandexDisk\Книги\Безопасность\Кибербезопасность\Компьютер глазами хакера.pdf","Компьютер глазами хакера.pdf")</f>
        <v>Компьютер глазами хакера.pdf</v>
      </c>
      <c r="O611" s="5" t="s">
        <v>2480</v>
      </c>
    </row>
    <row r="612" spans="1:15" ht="234.6" x14ac:dyDescent="0.3">
      <c r="A612" s="2">
        <v>611</v>
      </c>
      <c r="B612" s="3" t="s">
        <v>2481</v>
      </c>
      <c r="C612" s="3" t="s">
        <v>2482</v>
      </c>
      <c r="D612" s="3" t="s">
        <v>17</v>
      </c>
      <c r="E612" s="3" t="s">
        <v>2483</v>
      </c>
      <c r="F612" s="3" t="s">
        <v>2147</v>
      </c>
      <c r="G612" s="3" t="s">
        <v>2132</v>
      </c>
      <c r="H612" s="3" t="s">
        <v>2148</v>
      </c>
      <c r="I612" s="3" t="s">
        <v>20</v>
      </c>
      <c r="J612" s="3">
        <v>8.39</v>
      </c>
      <c r="K612" s="3" t="s">
        <v>21</v>
      </c>
      <c r="L612" s="3" t="s">
        <v>2484</v>
      </c>
      <c r="M612" s="3" t="s">
        <v>2150</v>
      </c>
      <c r="N612" s="6" t="str">
        <f>HYPERLINK("C:\Users\alexa\YandexDisk\Книги\Безопасность\Кибербезопасность\Компьютерная_конкурентная_разведка.pdf","Компьютерная_конкурентная_разведка.pdf")</f>
        <v>Компьютерная_конкурентная_разведка.pdf</v>
      </c>
      <c r="O612" s="3" t="s">
        <v>2485</v>
      </c>
    </row>
    <row r="613" spans="1:15" ht="220.8" x14ac:dyDescent="0.3">
      <c r="A613" s="4">
        <v>612</v>
      </c>
      <c r="B613" s="5" t="s">
        <v>2486</v>
      </c>
      <c r="C613" s="5" t="s">
        <v>2487</v>
      </c>
      <c r="D613" s="5" t="s">
        <v>109</v>
      </c>
      <c r="E613" s="5" t="s">
        <v>402</v>
      </c>
      <c r="F613" s="5" t="s">
        <v>2147</v>
      </c>
      <c r="G613" s="5" t="s">
        <v>2132</v>
      </c>
      <c r="H613" s="5" t="s">
        <v>2148</v>
      </c>
      <c r="I613" s="5" t="s">
        <v>519</v>
      </c>
      <c r="J613" s="5">
        <v>30.59</v>
      </c>
      <c r="K613" s="5" t="s">
        <v>21</v>
      </c>
      <c r="L613" s="5" t="s">
        <v>2488</v>
      </c>
      <c r="M613" s="5" t="s">
        <v>2150</v>
      </c>
      <c r="N613" s="7" t="str">
        <f>HYPERLINK("C:\Users\alexa\YandexDisk\Книги\Безопасность\Кибербезопасность\Контролируемый взлом.zip","Контролируемый взлом.zip")</f>
        <v>Контролируемый взлом.zip</v>
      </c>
      <c r="O613" s="5" t="s">
        <v>2489</v>
      </c>
    </row>
    <row r="614" spans="1:15" ht="207" x14ac:dyDescent="0.3">
      <c r="A614" s="2">
        <v>613</v>
      </c>
      <c r="B614" s="3" t="s">
        <v>2186</v>
      </c>
      <c r="C614" s="3" t="s">
        <v>2187</v>
      </c>
      <c r="D614" s="3" t="s">
        <v>114</v>
      </c>
      <c r="E614" s="3" t="s">
        <v>402</v>
      </c>
      <c r="F614" s="3" t="s">
        <v>2147</v>
      </c>
      <c r="G614" s="3" t="s">
        <v>2132</v>
      </c>
      <c r="H614" s="3" t="s">
        <v>2148</v>
      </c>
      <c r="I614" s="3" t="s">
        <v>20</v>
      </c>
      <c r="J614" s="3">
        <v>32.659999999999997</v>
      </c>
      <c r="K614" s="3" t="s">
        <v>21</v>
      </c>
      <c r="L614" s="3" t="s">
        <v>2490</v>
      </c>
      <c r="M614" s="3" t="s">
        <v>2150</v>
      </c>
      <c r="N614" s="6" t="str">
        <f>HYPERLINK("C:\Users\alexa\YandexDisk\Книги\Безопасность\Кибербезопасность\Лаборатория_Хакера_Алгоритмы_раз.pdf","Лаборатория_Хакера_Алгоритмы_раз.pdf")</f>
        <v>Лаборатория_Хакера_Алгоритмы_раз.pdf</v>
      </c>
      <c r="O614" s="3" t="s">
        <v>2491</v>
      </c>
    </row>
    <row r="615" spans="1:15" ht="179.4" x14ac:dyDescent="0.3">
      <c r="A615" s="4">
        <v>614</v>
      </c>
      <c r="B615" s="5" t="s">
        <v>2492</v>
      </c>
      <c r="C615" s="5" t="s">
        <v>2493</v>
      </c>
      <c r="D615" s="5" t="s">
        <v>59</v>
      </c>
      <c r="E615" s="5" t="s">
        <v>18</v>
      </c>
      <c r="F615" s="5" t="s">
        <v>2147</v>
      </c>
      <c r="G615" s="5" t="s">
        <v>2132</v>
      </c>
      <c r="H615" s="5" t="s">
        <v>2148</v>
      </c>
      <c r="I615" s="5" t="s">
        <v>20</v>
      </c>
      <c r="J615" s="5">
        <v>6.99</v>
      </c>
      <c r="K615" s="5" t="s">
        <v>21</v>
      </c>
      <c r="L615" s="5" t="s">
        <v>2494</v>
      </c>
      <c r="M615" s="5" t="s">
        <v>2150</v>
      </c>
      <c r="N615" s="7" t="str">
        <f>HYPERLINK("C:\Users\alexa\YandexDisk\Книги\Безопасность\Кибербезопасность\Ловушка_для_багов_Полевое_руководство_по_веб_хакингу_.pdf","Ловушка_для_багов_Полевое_руководство_по_веб_хакингу_.pdf")</f>
        <v>Ловушка_для_багов_Полевое_руководство_по_веб_хакингу_.pdf</v>
      </c>
      <c r="O615" s="5" t="s">
        <v>2495</v>
      </c>
    </row>
    <row r="616" spans="1:15" ht="193.2" x14ac:dyDescent="0.3">
      <c r="A616" s="2">
        <v>615</v>
      </c>
      <c r="B616" s="3" t="s">
        <v>2496</v>
      </c>
      <c r="C616" s="3" t="s">
        <v>2497</v>
      </c>
      <c r="D616" s="3" t="s">
        <v>50</v>
      </c>
      <c r="E616" s="3" t="s">
        <v>402</v>
      </c>
      <c r="F616" s="3" t="s">
        <v>2147</v>
      </c>
      <c r="G616" s="3" t="s">
        <v>2132</v>
      </c>
      <c r="H616" s="3" t="s">
        <v>2148</v>
      </c>
      <c r="I616" s="3" t="s">
        <v>20</v>
      </c>
      <c r="J616" s="3">
        <v>41.09</v>
      </c>
      <c r="K616" s="3" t="s">
        <v>21</v>
      </c>
      <c r="L616" s="3" t="s">
        <v>2498</v>
      </c>
      <c r="M616" s="3" t="s">
        <v>2150</v>
      </c>
      <c r="N616" s="6" t="str">
        <f>HYPERLINK("C:\Users\alexa\YandexDisk\Книги\Безопасность\Кибербезопасность\Михаил_Райтман_Искусство_легального доступа.pdf","Михаил_Райтман_Искусство_легального доступа.pdf")</f>
        <v>Михаил_Райтман_Искусство_легального доступа.pdf</v>
      </c>
      <c r="O616" s="3" t="s">
        <v>2499</v>
      </c>
    </row>
    <row r="617" spans="1:15" ht="179.4" x14ac:dyDescent="0.3">
      <c r="A617" s="4">
        <v>616</v>
      </c>
      <c r="B617" s="5" t="s">
        <v>2500</v>
      </c>
      <c r="C617" s="5" t="s">
        <v>2501</v>
      </c>
      <c r="D617" s="5" t="s">
        <v>50</v>
      </c>
      <c r="E617" s="5" t="s">
        <v>2502</v>
      </c>
      <c r="F617" s="5" t="s">
        <v>2147</v>
      </c>
      <c r="G617" s="5" t="s">
        <v>2132</v>
      </c>
      <c r="H617" s="5" t="s">
        <v>2148</v>
      </c>
      <c r="I617" s="5" t="s">
        <v>20</v>
      </c>
      <c r="J617" s="5">
        <v>63.01</v>
      </c>
      <c r="K617" s="5" t="s">
        <v>21</v>
      </c>
      <c r="L617" s="5" t="s">
        <v>2503</v>
      </c>
      <c r="M617" s="5" t="s">
        <v>2150</v>
      </c>
      <c r="N617" s="7" t="str">
        <f>HYPERLINK("C:\Users\alexa\YandexDisk\Книги\Безопасность\Кибербезопасность\Научная монография. петренко С.А., Ступин Д.Д. Национальная_система_раннего_предупреждения.pdf.pdf","Научная монография. петренко С.А., Ступин Д.Д. Национальная_система_раннего_предупреждения.pdf.pdf")</f>
        <v>Научная монография. петренко С.А., Ступин Д.Д. Национальная_система_раннего_предупреждения.pdf.pdf</v>
      </c>
      <c r="O617" s="5" t="s">
        <v>2504</v>
      </c>
    </row>
    <row r="618" spans="1:15" ht="124.2" x14ac:dyDescent="0.3">
      <c r="A618" s="2">
        <v>617</v>
      </c>
      <c r="B618" s="3" t="s">
        <v>2505</v>
      </c>
      <c r="C618" s="3"/>
      <c r="D618" s="3" t="s">
        <v>476</v>
      </c>
      <c r="E618" s="3"/>
      <c r="F618" s="3" t="s">
        <v>2147</v>
      </c>
      <c r="G618" s="3" t="s">
        <v>2132</v>
      </c>
      <c r="H618" s="3" t="s">
        <v>2148</v>
      </c>
      <c r="I618" s="3" t="s">
        <v>20</v>
      </c>
      <c r="J618" s="3">
        <v>0</v>
      </c>
      <c r="K618" s="3" t="s">
        <v>21</v>
      </c>
      <c r="L618" s="3" t="s">
        <v>2506</v>
      </c>
      <c r="M618" s="3" t="s">
        <v>2150</v>
      </c>
      <c r="N618" s="6" t="str">
        <f>HYPERLINK("C:\Users\alexa\YandexDisk\Книги\Безопасность\Кибербезопасность\Обнаружение_вторжений 2013.pdf","Обнаружение_вторжений 2013.pdf")</f>
        <v>Обнаружение_вторжений 2013.pdf</v>
      </c>
      <c r="O618" s="3" t="s">
        <v>2507</v>
      </c>
    </row>
    <row r="619" spans="1:15" ht="165.6" x14ac:dyDescent="0.3">
      <c r="A619" s="4">
        <v>618</v>
      </c>
      <c r="B619" s="5" t="s">
        <v>2508</v>
      </c>
      <c r="C619" s="5" t="s">
        <v>2509</v>
      </c>
      <c r="D619" s="5"/>
      <c r="E619" s="5"/>
      <c r="F619" s="5" t="s">
        <v>2147</v>
      </c>
      <c r="G619" s="5" t="s">
        <v>2132</v>
      </c>
      <c r="H619" s="5" t="s">
        <v>2148</v>
      </c>
      <c r="I619" s="5" t="s">
        <v>20</v>
      </c>
      <c r="J619" s="5">
        <v>38.43</v>
      </c>
      <c r="K619" s="5" t="s">
        <v>21</v>
      </c>
      <c r="L619" s="5" t="s">
        <v>2510</v>
      </c>
      <c r="M619" s="5" t="s">
        <v>2150</v>
      </c>
      <c r="N619" s="7" t="str">
        <f>HYPERLINK("C:\Users\alexa\YandexDisk\Книги\Безопасность\Кибербезопасность\Обнаружение_вторжений_в_компьютерные_сети.pdf","Обнаружение_вторжений_в_компьютерные_сети.pdf")</f>
        <v>Обнаружение_вторжений_в_компьютерные_сети.pdf</v>
      </c>
      <c r="O619" s="5" t="s">
        <v>2511</v>
      </c>
    </row>
    <row r="620" spans="1:15" ht="179.4" x14ac:dyDescent="0.3">
      <c r="A620" s="2">
        <v>619</v>
      </c>
      <c r="B620" s="3" t="s">
        <v>2512</v>
      </c>
      <c r="C620" s="3" t="s">
        <v>2513</v>
      </c>
      <c r="D620" s="3" t="s">
        <v>1022</v>
      </c>
      <c r="E620" s="3" t="s">
        <v>2514</v>
      </c>
      <c r="F620" s="3" t="s">
        <v>2147</v>
      </c>
      <c r="G620" s="3" t="s">
        <v>2132</v>
      </c>
      <c r="H620" s="3" t="s">
        <v>2148</v>
      </c>
      <c r="I620" s="3" t="s">
        <v>20</v>
      </c>
      <c r="J620" s="3">
        <v>0.38</v>
      </c>
      <c r="K620" s="3" t="s">
        <v>21</v>
      </c>
      <c r="L620" s="3" t="s">
        <v>2515</v>
      </c>
      <c r="M620" s="3" t="s">
        <v>2150</v>
      </c>
      <c r="N620" s="6" t="str">
        <f>HYPERLINK("C:\Users\alexa\YandexDisk\Книги\Безопасность\Кибербезопасность\Опреднление класса защищенности.pdf","Опреднление класса защищенности.pdf")</f>
        <v>Опреднление класса защищенности.pdf</v>
      </c>
      <c r="O620" s="3" t="s">
        <v>2516</v>
      </c>
    </row>
    <row r="621" spans="1:15" ht="179.4" x14ac:dyDescent="0.3">
      <c r="A621" s="4">
        <v>620</v>
      </c>
      <c r="B621" s="5" t="s">
        <v>2517</v>
      </c>
      <c r="C621" s="5" t="s">
        <v>2518</v>
      </c>
      <c r="D621" s="5" t="s">
        <v>50</v>
      </c>
      <c r="E621" s="5" t="s">
        <v>2519</v>
      </c>
      <c r="F621" s="5" t="s">
        <v>2147</v>
      </c>
      <c r="G621" s="5" t="s">
        <v>2132</v>
      </c>
      <c r="H621" s="5" t="s">
        <v>2148</v>
      </c>
      <c r="I621" s="5" t="s">
        <v>20</v>
      </c>
      <c r="J621" s="5">
        <v>6.62</v>
      </c>
      <c r="K621" s="5" t="s">
        <v>21</v>
      </c>
      <c r="L621" s="5" t="s">
        <v>2520</v>
      </c>
      <c r="M621" s="5" t="s">
        <v>2150</v>
      </c>
      <c r="N621" s="7" t="str">
        <f>HYPERLINK("C:\Users\alexa\YandexDisk\Книги\Безопасность\Кибербезопасность\Основы_информационной_безопасности 2017.pdf","Основы_информационной_безопасности 2017.pdf")</f>
        <v>Основы_информационной_безопасности 2017.pdf</v>
      </c>
      <c r="O621" s="5" t="s">
        <v>2521</v>
      </c>
    </row>
    <row r="622" spans="1:15" ht="165.6" x14ac:dyDescent="0.3">
      <c r="A622" s="2">
        <v>621</v>
      </c>
      <c r="B622" s="3" t="s">
        <v>2366</v>
      </c>
      <c r="C622" s="3"/>
      <c r="D622" s="3"/>
      <c r="E622" s="3"/>
      <c r="F622" s="3" t="s">
        <v>2147</v>
      </c>
      <c r="G622" s="3" t="s">
        <v>2132</v>
      </c>
      <c r="H622" s="3" t="s">
        <v>2148</v>
      </c>
      <c r="I622" s="3" t="s">
        <v>20</v>
      </c>
      <c r="J622" s="3">
        <v>48.65</v>
      </c>
      <c r="K622" s="3" t="s">
        <v>21</v>
      </c>
      <c r="L622" s="3" t="s">
        <v>2522</v>
      </c>
      <c r="M622" s="3" t="s">
        <v>2150</v>
      </c>
      <c r="N622" s="6" t="str">
        <f>HYPERLINK("C:\Users\alexa\YandexDisk\Книги\Безопасность\Кибербезопасность\Особенности_киберпреступлений_инструменты_нападения.pdf","Особенности_киберпреступлений_инструменты_нападения.pdf")</f>
        <v>Особенности_киберпреступлений_инструменты_нападения.pdf</v>
      </c>
      <c r="O622" s="3" t="s">
        <v>2523</v>
      </c>
    </row>
    <row r="623" spans="1:15" ht="179.4" x14ac:dyDescent="0.3">
      <c r="A623" s="4">
        <v>622</v>
      </c>
      <c r="B623" s="5" t="s">
        <v>2524</v>
      </c>
      <c r="C623" s="5" t="s">
        <v>2525</v>
      </c>
      <c r="D623" s="5" t="s">
        <v>186</v>
      </c>
      <c r="E623" s="5" t="s">
        <v>2526</v>
      </c>
      <c r="F623" s="5" t="s">
        <v>2147</v>
      </c>
      <c r="G623" s="5" t="s">
        <v>2132</v>
      </c>
      <c r="H623" s="5" t="s">
        <v>2148</v>
      </c>
      <c r="I623" s="5" t="s">
        <v>20</v>
      </c>
      <c r="J623" s="5">
        <v>5.15</v>
      </c>
      <c r="K623" s="5" t="s">
        <v>21</v>
      </c>
      <c r="L623" s="5" t="s">
        <v>2527</v>
      </c>
      <c r="M623" s="5" t="s">
        <v>2150</v>
      </c>
      <c r="N623" s="7" t="str">
        <f>HYPERLINK("C:\Users\alexa\YandexDisk\Книги\Безопасность\Кибербезопасность\От_первых_вирусов_до_целевых_атак.pdf","От_первых_вирусов_до_целевых_атак.pdf")</f>
        <v>От_первых_вирусов_до_целевых_атак.pdf</v>
      </c>
      <c r="O623" s="5" t="s">
        <v>2528</v>
      </c>
    </row>
    <row r="624" spans="1:15" ht="179.4" x14ac:dyDescent="0.3">
      <c r="A624" s="2">
        <v>623</v>
      </c>
      <c r="B624" s="3" t="s">
        <v>2529</v>
      </c>
      <c r="C624" s="3" t="s">
        <v>2530</v>
      </c>
      <c r="D624" s="3" t="s">
        <v>476</v>
      </c>
      <c r="E624" s="3" t="s">
        <v>2531</v>
      </c>
      <c r="F624" s="3" t="s">
        <v>2147</v>
      </c>
      <c r="G624" s="3" t="s">
        <v>2132</v>
      </c>
      <c r="H624" s="3" t="s">
        <v>2148</v>
      </c>
      <c r="I624" s="3" t="s">
        <v>20</v>
      </c>
      <c r="J624" s="3">
        <v>13.52</v>
      </c>
      <c r="K624" s="3" t="s">
        <v>21</v>
      </c>
      <c r="L624" s="3" t="s">
        <v>2532</v>
      </c>
      <c r="M624" s="3" t="s">
        <v>2150</v>
      </c>
      <c r="N624" s="6" t="str">
        <f>HYPERLINK("C:\Users\alexa\YandexDisk\Книги\Безопасность\Кибербезопасность\Платонов рограммно-аппаратные средства защиты информации 2013.pdf","Платонов рограммно-аппаратные средства защиты информации 2013.pdf")</f>
        <v>Платонов рограммно-аппаратные средства защиты информации 2013.pdf</v>
      </c>
      <c r="O624" s="3" t="s">
        <v>2533</v>
      </c>
    </row>
    <row r="625" spans="1:15" ht="179.4" x14ac:dyDescent="0.3">
      <c r="A625" s="4">
        <v>624</v>
      </c>
      <c r="B625" s="5" t="s">
        <v>2534</v>
      </c>
      <c r="C625" s="5" t="s">
        <v>2535</v>
      </c>
      <c r="D625" s="5" t="s">
        <v>600</v>
      </c>
      <c r="E625" s="5" t="s">
        <v>402</v>
      </c>
      <c r="F625" s="5" t="s">
        <v>2147</v>
      </c>
      <c r="G625" s="5" t="s">
        <v>2132</v>
      </c>
      <c r="H625" s="5" t="s">
        <v>2148</v>
      </c>
      <c r="I625" s="5" t="s">
        <v>519</v>
      </c>
      <c r="J625" s="5">
        <v>22.67</v>
      </c>
      <c r="K625" s="5" t="s">
        <v>21</v>
      </c>
      <c r="L625" s="5" t="s">
        <v>2536</v>
      </c>
      <c r="M625" s="5" t="s">
        <v>2150</v>
      </c>
      <c r="N625" s="7" t="str">
        <f>HYPERLINK("C:\Users\alexa\YandexDisk\Книги\Безопасность\Кибербезопасность\Практическая безопасность Linux.zip","Практическая безопасность Linux.zip")</f>
        <v>Практическая безопасность Linux.zip</v>
      </c>
      <c r="O625" s="5" t="s">
        <v>2537</v>
      </c>
    </row>
    <row r="626" spans="1:15" ht="179.4" x14ac:dyDescent="0.3">
      <c r="A626" s="2">
        <v>625</v>
      </c>
      <c r="B626" s="3" t="s">
        <v>2538</v>
      </c>
      <c r="C626" s="3" t="s">
        <v>2539</v>
      </c>
      <c r="D626" s="3" t="s">
        <v>59</v>
      </c>
      <c r="E626" s="3" t="s">
        <v>2540</v>
      </c>
      <c r="F626" s="3" t="s">
        <v>2147</v>
      </c>
      <c r="G626" s="3" t="s">
        <v>2132</v>
      </c>
      <c r="H626" s="3" t="s">
        <v>2148</v>
      </c>
      <c r="I626" s="3" t="s">
        <v>20</v>
      </c>
      <c r="J626" s="3">
        <v>2.56</v>
      </c>
      <c r="K626" s="3" t="s">
        <v>21</v>
      </c>
      <c r="L626" s="3" t="s">
        <v>2541</v>
      </c>
      <c r="M626" s="3" t="s">
        <v>2150</v>
      </c>
      <c r="N626" s="6" t="str">
        <f>HYPERLINK("C:\Users\alexa\YandexDisk\Книги\Безопасность\Кибербезопасность\Преступления в сфере обращения цифровой информации.pdf","Преступления в сфере обращения цифровой информации.pdf")</f>
        <v>Преступления в сфере обращения цифровой информации.pdf</v>
      </c>
      <c r="O626" s="3" t="s">
        <v>2542</v>
      </c>
    </row>
    <row r="627" spans="1:15" ht="193.2" x14ac:dyDescent="0.3">
      <c r="A627" s="4">
        <v>626</v>
      </c>
      <c r="B627" s="5" t="s">
        <v>2543</v>
      </c>
      <c r="C627" s="5" t="s">
        <v>2544</v>
      </c>
      <c r="D627" s="5"/>
      <c r="E627" s="5"/>
      <c r="F627" s="5" t="s">
        <v>2147</v>
      </c>
      <c r="G627" s="5" t="s">
        <v>2132</v>
      </c>
      <c r="H627" s="5" t="s">
        <v>2148</v>
      </c>
      <c r="I627" s="5" t="s">
        <v>20</v>
      </c>
      <c r="J627" s="5">
        <v>4.9000000000000004</v>
      </c>
      <c r="K627" s="5" t="s">
        <v>21</v>
      </c>
      <c r="L627" s="5" t="s">
        <v>2545</v>
      </c>
      <c r="M627" s="5" t="s">
        <v>2150</v>
      </c>
      <c r="N627" s="7" t="str">
        <f>HYPERLINK("C:\Users\alexa\YandexDisk\Книги\Безопасность\Кибербезопасность\Призрак_в_сети_Мемуары_величайшего_х.pdf","Призрак_в_сети_Мемуары_величайшего_х.pdf")</f>
        <v>Призрак_в_сети_Мемуары_величайшего_х.pdf</v>
      </c>
      <c r="O627" s="5" t="s">
        <v>2546</v>
      </c>
    </row>
    <row r="628" spans="1:15" ht="138" x14ac:dyDescent="0.3">
      <c r="A628" s="2">
        <v>627</v>
      </c>
      <c r="B628" s="3" t="s">
        <v>2529</v>
      </c>
      <c r="C628" s="3"/>
      <c r="D628" s="3"/>
      <c r="E628" s="3" t="s">
        <v>2547</v>
      </c>
      <c r="F628" s="3" t="s">
        <v>2147</v>
      </c>
      <c r="G628" s="3" t="s">
        <v>2132</v>
      </c>
      <c r="H628" s="3" t="s">
        <v>2148</v>
      </c>
      <c r="I628" s="3" t="s">
        <v>20</v>
      </c>
      <c r="J628" s="3">
        <v>133.47999999999999</v>
      </c>
      <c r="K628" s="3" t="s">
        <v>21</v>
      </c>
      <c r="L628" s="3" t="s">
        <v>2548</v>
      </c>
      <c r="M628" s="3" t="s">
        <v>2150</v>
      </c>
      <c r="N628" s="6" t="str">
        <f>HYPERLINK("C:\Users\alexa\YandexDisk\Книги\Безопасность\Кибербезопасность\Программно_аппаратные_средства_защиты_информации.pdf","Программно_аппаратные_средства_защиты_информации.pdf")</f>
        <v>Программно_аппаратные_средства_защиты_информации.pdf</v>
      </c>
      <c r="O628" s="3" t="s">
        <v>2549</v>
      </c>
    </row>
    <row r="629" spans="1:15" ht="193.2" x14ac:dyDescent="0.3">
      <c r="A629" s="4">
        <v>628</v>
      </c>
      <c r="B629" s="5" t="s">
        <v>2550</v>
      </c>
      <c r="C629" s="5" t="s">
        <v>2551</v>
      </c>
      <c r="D629" s="5" t="s">
        <v>77</v>
      </c>
      <c r="E629" s="5" t="s">
        <v>2420</v>
      </c>
      <c r="F629" s="5" t="s">
        <v>2147</v>
      </c>
      <c r="G629" s="5" t="s">
        <v>2132</v>
      </c>
      <c r="H629" s="5" t="s">
        <v>2148</v>
      </c>
      <c r="I629" s="5" t="s">
        <v>20</v>
      </c>
      <c r="J629" s="5">
        <v>73.510000000000005</v>
      </c>
      <c r="K629" s="5" t="s">
        <v>21</v>
      </c>
      <c r="L629" s="5" t="s">
        <v>2552</v>
      </c>
      <c r="M629" s="5" t="s">
        <v>2150</v>
      </c>
      <c r="N629" s="7" t="str">
        <f>HYPERLINK("C:\Users\alexa\YandexDisk\Книги\Безопасность\Кибербезопасность\Программно_аппаратные_средства_обеспечения_информационной_безопасности.pdf","Программно_аппаратные_средства_обеспечения_информационной_безопасности.pdf")</f>
        <v>Программно_аппаратные_средства_обеспечения_информационной_безопасности.pdf</v>
      </c>
      <c r="O629" s="5" t="s">
        <v>2553</v>
      </c>
    </row>
    <row r="630" spans="1:15" ht="165.6" x14ac:dyDescent="0.3">
      <c r="A630" s="2">
        <v>629</v>
      </c>
      <c r="B630" s="3" t="s">
        <v>2554</v>
      </c>
      <c r="C630" s="3" t="s">
        <v>2555</v>
      </c>
      <c r="D630" s="3" t="s">
        <v>335</v>
      </c>
      <c r="E630" s="3" t="s">
        <v>18</v>
      </c>
      <c r="F630" s="3" t="s">
        <v>2147</v>
      </c>
      <c r="G630" s="3" t="s">
        <v>2132</v>
      </c>
      <c r="H630" s="3" t="s">
        <v>2148</v>
      </c>
      <c r="I630" s="3" t="s">
        <v>519</v>
      </c>
      <c r="J630" s="3">
        <v>4.17</v>
      </c>
      <c r="K630" s="3" t="s">
        <v>21</v>
      </c>
      <c r="L630" s="3" t="s">
        <v>2556</v>
      </c>
      <c r="M630" s="3" t="s">
        <v>2150</v>
      </c>
      <c r="N630" s="6" t="str">
        <f>HYPERLINK("C:\Users\alexa\YandexDisk\Книги\Безопасность\Кибербезопасность\Прозрачное_ПО_безопасность _цепочек _поставок.zip","Прозрачное_ПО_безопасность _цепочек _поставок.zip")</f>
        <v>Прозрачное_ПО_безопасность _цепочек _поставок.zip</v>
      </c>
      <c r="O630" s="3" t="s">
        <v>2557</v>
      </c>
    </row>
    <row r="631" spans="1:15" ht="220.8" x14ac:dyDescent="0.3">
      <c r="A631" s="4">
        <v>630</v>
      </c>
      <c r="B631" s="5" t="s">
        <v>2558</v>
      </c>
      <c r="C631" s="5" t="s">
        <v>2559</v>
      </c>
      <c r="D631" s="5" t="s">
        <v>335</v>
      </c>
      <c r="E631" s="5" t="s">
        <v>2560</v>
      </c>
      <c r="F631" s="5" t="s">
        <v>2147</v>
      </c>
      <c r="G631" s="5" t="s">
        <v>2132</v>
      </c>
      <c r="H631" s="5" t="s">
        <v>2148</v>
      </c>
      <c r="I631" s="5" t="s">
        <v>519</v>
      </c>
      <c r="J631" s="5">
        <v>154.44999999999999</v>
      </c>
      <c r="K631" s="5" t="s">
        <v>21</v>
      </c>
      <c r="L631" s="5" t="s">
        <v>2561</v>
      </c>
      <c r="M631" s="5" t="s">
        <v>2150</v>
      </c>
      <c r="N631" s="7" t="str">
        <f>HYPERLINK("C:\Users\alexa\YandexDisk\Книги\Безопасность\Кибербезопасность\Путеводитель_по_карьере_в_кибербезопасности.zip","Путеводитель_по_карьере_в_кибербезопасности.zip")</f>
        <v>Путеводитель_по_карьере_в_кибербезопасности.zip</v>
      </c>
      <c r="O631" s="5" t="s">
        <v>2562</v>
      </c>
    </row>
    <row r="632" spans="1:15" ht="179.4" x14ac:dyDescent="0.3">
      <c r="A632" s="2">
        <v>631</v>
      </c>
      <c r="B632" s="3" t="s">
        <v>2563</v>
      </c>
      <c r="C632" s="3" t="s">
        <v>2564</v>
      </c>
      <c r="D632" s="3" t="s">
        <v>17</v>
      </c>
      <c r="E632" s="3" t="s">
        <v>102</v>
      </c>
      <c r="F632" s="3" t="s">
        <v>2147</v>
      </c>
      <c r="G632" s="3" t="s">
        <v>2132</v>
      </c>
      <c r="H632" s="3" t="s">
        <v>2148</v>
      </c>
      <c r="I632" s="3" t="s">
        <v>20</v>
      </c>
      <c r="J632" s="3">
        <v>33.83</v>
      </c>
      <c r="K632" s="3" t="s">
        <v>21</v>
      </c>
      <c r="L632" s="3" t="s">
        <v>2565</v>
      </c>
      <c r="M632" s="3" t="s">
        <v>2150</v>
      </c>
      <c r="N632" s="6" t="str">
        <f>HYPERLINK("C:\Users\alexa\YandexDisk\Книги\Безопасность\Кибербезопасность\Реагирование_на_компьютерные_инциденты 2021.pdf","Реагирование_на_компьютерные_инциденты 2021.pdf")</f>
        <v>Реагирование_на_компьютерные_инциденты 2021.pdf</v>
      </c>
      <c r="O632" s="3" t="s">
        <v>2566</v>
      </c>
    </row>
    <row r="633" spans="1:15" ht="151.80000000000001" x14ac:dyDescent="0.3">
      <c r="A633" s="4">
        <v>632</v>
      </c>
      <c r="B633" s="5" t="s">
        <v>2567</v>
      </c>
      <c r="C633" s="5" t="s">
        <v>2568</v>
      </c>
      <c r="D633" s="5" t="s">
        <v>71</v>
      </c>
      <c r="E633" s="5" t="s">
        <v>102</v>
      </c>
      <c r="F633" s="5" t="s">
        <v>2147</v>
      </c>
      <c r="G633" s="5" t="s">
        <v>2132</v>
      </c>
      <c r="H633" s="5" t="s">
        <v>2148</v>
      </c>
      <c r="I633" s="5" t="s">
        <v>20</v>
      </c>
      <c r="J633" s="5">
        <v>35.909999999999997</v>
      </c>
      <c r="K633" s="5" t="s">
        <v>21</v>
      </c>
      <c r="L633" s="5" t="s">
        <v>2569</v>
      </c>
      <c r="M633" s="5" t="s">
        <v>2150</v>
      </c>
      <c r="N633" s="7" t="str">
        <f>HYPERLINK("C:\Users\alexa\YandexDisk\Книги\Безопасность\Кибербезопасность\Руткиты и буткиты 2022.pdf","Руткиты и буткиты 2022.pdf")</f>
        <v>Руткиты и буткиты 2022.pdf</v>
      </c>
      <c r="O633" s="5" t="s">
        <v>2570</v>
      </c>
    </row>
    <row r="634" spans="1:15" ht="138" x14ac:dyDescent="0.3">
      <c r="A634" s="2">
        <v>633</v>
      </c>
      <c r="B634" s="3" t="s">
        <v>2571</v>
      </c>
      <c r="C634" s="3" t="s">
        <v>2572</v>
      </c>
      <c r="D634" s="3" t="s">
        <v>17</v>
      </c>
      <c r="E634" s="3"/>
      <c r="F634" s="3" t="s">
        <v>2147</v>
      </c>
      <c r="G634" s="3" t="s">
        <v>2132</v>
      </c>
      <c r="H634" s="3" t="s">
        <v>2148</v>
      </c>
      <c r="I634" s="3" t="s">
        <v>20</v>
      </c>
      <c r="J634" s="3">
        <v>114.15</v>
      </c>
      <c r="K634" s="3" t="s">
        <v>21</v>
      </c>
      <c r="L634" s="3" t="s">
        <v>2573</v>
      </c>
      <c r="M634" s="3" t="s">
        <v>2150</v>
      </c>
      <c r="N634" s="6" t="str">
        <f>HYPERLINK("C:\Users\alexa\YandexDisk\Книги\Безопасность\Кибербезопасность\Секреты_безопасности_и_анонимности_в_Интернете_Д_Колисниченко_2021.pdf","Секреты_безопасности_и_анонимности_в_Интернете_Д_Колисниченко_2021.pdf")</f>
        <v>Секреты_безопасности_и_анонимности_в_Интернете_Д_Колисниченко_2021.pdf</v>
      </c>
      <c r="O634" s="3" t="s">
        <v>2574</v>
      </c>
    </row>
    <row r="635" spans="1:15" ht="165.6" x14ac:dyDescent="0.3">
      <c r="A635" s="4">
        <v>634</v>
      </c>
      <c r="B635" s="5" t="s">
        <v>2575</v>
      </c>
      <c r="C635" s="5" t="s">
        <v>2576</v>
      </c>
      <c r="D635" s="5" t="s">
        <v>32</v>
      </c>
      <c r="E635" s="5"/>
      <c r="F635" s="5" t="s">
        <v>2147</v>
      </c>
      <c r="G635" s="5" t="s">
        <v>2132</v>
      </c>
      <c r="H635" s="5" t="s">
        <v>2148</v>
      </c>
      <c r="I635" s="5" t="s">
        <v>20</v>
      </c>
      <c r="J635" s="5">
        <v>198.96</v>
      </c>
      <c r="K635" s="5" t="s">
        <v>21</v>
      </c>
      <c r="L635" s="5" t="s">
        <v>2577</v>
      </c>
      <c r="M635" s="5" t="s">
        <v>2150</v>
      </c>
      <c r="N635" s="7" t="str">
        <f>HYPERLINK("C:\Users\alexa\YandexDisk\Книги\Безопасность\Кибербезопасность\Скиба_В_Ю_Курбатов_В_А_Руководство_по_защите_от_внутренних_угроз 2018.pdf","Скиба_В_Ю_Курбатов_В_А_Руководство_по_защите_от_внутренних_угроз 2018.pdf")</f>
        <v>Скиба_В_Ю_Курбатов_В_А_Руководство_по_защите_от_внутренних_угроз 2018.pdf</v>
      </c>
      <c r="O635" s="5" t="s">
        <v>2578</v>
      </c>
    </row>
    <row r="636" spans="1:15" ht="248.4" x14ac:dyDescent="0.3">
      <c r="A636" s="2">
        <v>635</v>
      </c>
      <c r="B636" s="3" t="s">
        <v>2579</v>
      </c>
      <c r="C636" s="3" t="s">
        <v>2580</v>
      </c>
      <c r="D636" s="3" t="s">
        <v>17</v>
      </c>
      <c r="E636" s="3"/>
      <c r="F636" s="3" t="s">
        <v>2147</v>
      </c>
      <c r="G636" s="3" t="s">
        <v>2132</v>
      </c>
      <c r="H636" s="3" t="s">
        <v>2148</v>
      </c>
      <c r="I636" s="3" t="s">
        <v>20</v>
      </c>
      <c r="J636" s="3">
        <v>2.34</v>
      </c>
      <c r="K636" s="3" t="s">
        <v>21</v>
      </c>
      <c r="L636" s="3" t="s">
        <v>2581</v>
      </c>
      <c r="M636" s="3" t="s">
        <v>2150</v>
      </c>
      <c r="N636" s="6" t="str">
        <f>HYPERLINK("C:\Users\alexa\YandexDisk\Книги\Безопасность\Кибербезопасность\Смит Б., Браун К. - IT как оружие - 2021.pdf","Смит Б., Браун К. - IT как оружие - 2021.pdf")</f>
        <v>Смит Б., Браун К. - IT как оружие - 2021.pdf</v>
      </c>
      <c r="O636" s="3" t="s">
        <v>2582</v>
      </c>
    </row>
    <row r="637" spans="1:15" ht="234.6" x14ac:dyDescent="0.3">
      <c r="A637" s="4">
        <v>636</v>
      </c>
      <c r="B637" s="5" t="s">
        <v>2583</v>
      </c>
      <c r="C637" s="5" t="s">
        <v>2584</v>
      </c>
      <c r="D637" s="5"/>
      <c r="E637" s="5"/>
      <c r="F637" s="5" t="s">
        <v>2147</v>
      </c>
      <c r="G637" s="5" t="s">
        <v>2132</v>
      </c>
      <c r="H637" s="5" t="s">
        <v>2148</v>
      </c>
      <c r="I637" s="5" t="s">
        <v>280</v>
      </c>
      <c r="J637" s="5">
        <v>0.72</v>
      </c>
      <c r="K637" s="5" t="s">
        <v>21</v>
      </c>
      <c r="L637" s="5" t="s">
        <v>2585</v>
      </c>
      <c r="M637" s="5" t="s">
        <v>2150</v>
      </c>
      <c r="N637" s="7" t="str">
        <f>HYPERLINK("C:\Users\alexa\YandexDisk\Книги\Безопасность\Кибербезопасность\Туровский_ Краткая история русских хакеров.epub","Туровский_ Краткая история русских хакеров.epub")</f>
        <v>Туровский_ Краткая история русских хакеров.epub</v>
      </c>
      <c r="O637" s="5" t="s">
        <v>2586</v>
      </c>
    </row>
    <row r="638" spans="1:15" ht="193.2" x14ac:dyDescent="0.3">
      <c r="A638" s="2">
        <v>637</v>
      </c>
      <c r="B638" s="3" t="s">
        <v>2478</v>
      </c>
      <c r="C638" s="3" t="s">
        <v>2587</v>
      </c>
      <c r="D638" s="3" t="s">
        <v>65</v>
      </c>
      <c r="E638" s="3" t="s">
        <v>402</v>
      </c>
      <c r="F638" s="3" t="s">
        <v>2147</v>
      </c>
      <c r="G638" s="3" t="s">
        <v>2132</v>
      </c>
      <c r="H638" s="3" t="s">
        <v>2148</v>
      </c>
      <c r="I638" s="3" t="s">
        <v>20</v>
      </c>
      <c r="J638" s="3">
        <v>6.02</v>
      </c>
      <c r="K638" s="3" t="s">
        <v>21</v>
      </c>
      <c r="L638" s="3" t="s">
        <v>2588</v>
      </c>
      <c r="M638" s="3" t="s">
        <v>2150</v>
      </c>
      <c r="N638" s="6" t="str">
        <f>HYPERLINK("C:\Users\alexa\YandexDisk\Книги\Безопасность\Кибербезопасность\Фленов Компьютер глазами хакера, 3-е издание.pdf","Фленов Компьютер глазами хакера, 3-е издание.pdf")</f>
        <v>Фленов Компьютер глазами хакера, 3-е издание.pdf</v>
      </c>
      <c r="O638" s="3" t="s">
        <v>2589</v>
      </c>
    </row>
    <row r="639" spans="1:15" ht="234.6" x14ac:dyDescent="0.3">
      <c r="A639" s="4">
        <v>638</v>
      </c>
      <c r="B639" s="5" t="s">
        <v>2590</v>
      </c>
      <c r="C639" s="5" t="s">
        <v>2591</v>
      </c>
      <c r="D639" s="5" t="s">
        <v>335</v>
      </c>
      <c r="E639" s="5" t="s">
        <v>402</v>
      </c>
      <c r="F639" s="5" t="s">
        <v>2147</v>
      </c>
      <c r="G639" s="5" t="s">
        <v>2132</v>
      </c>
      <c r="H639" s="5" t="s">
        <v>2148</v>
      </c>
      <c r="I639" s="5" t="s">
        <v>519</v>
      </c>
      <c r="J639" s="5">
        <v>21.02</v>
      </c>
      <c r="K639" s="5" t="s">
        <v>21</v>
      </c>
      <c r="L639" s="5" t="s">
        <v>2592</v>
      </c>
      <c r="M639" s="5" t="s">
        <v>2150</v>
      </c>
      <c r="N639" s="7" t="str">
        <f>HYPERLINK("C:\Users\alexa\YandexDisk\Книги\Безопасность\Кибербезопасность\Хакерская самооборона.zip","Хакерская самооборона.zip")</f>
        <v>Хакерская самооборона.zip</v>
      </c>
      <c r="O639" s="5" t="s">
        <v>2593</v>
      </c>
    </row>
    <row r="640" spans="1:15" ht="179.4" x14ac:dyDescent="0.3">
      <c r="A640" s="2">
        <v>639</v>
      </c>
      <c r="B640" s="3" t="s">
        <v>2594</v>
      </c>
      <c r="C640" s="3" t="s">
        <v>2595</v>
      </c>
      <c r="D640" s="3" t="s">
        <v>32</v>
      </c>
      <c r="E640" s="3" t="s">
        <v>72</v>
      </c>
      <c r="F640" s="3" t="s">
        <v>2147</v>
      </c>
      <c r="G640" s="3" t="s">
        <v>2132</v>
      </c>
      <c r="H640" s="3" t="s">
        <v>2148</v>
      </c>
      <c r="I640" s="3" t="s">
        <v>20</v>
      </c>
      <c r="J640" s="3">
        <v>20.59</v>
      </c>
      <c r="K640" s="3" t="s">
        <v>21</v>
      </c>
      <c r="L640" s="3" t="s">
        <v>2596</v>
      </c>
      <c r="M640" s="3" t="s">
        <v>2150</v>
      </c>
      <c r="N640" s="6" t="str">
        <f>HYPERLINK("C:\Users\alexa\YandexDisk\Книги\Безопасность\Кибербезопасность\Хаккинг-искусство эксплойта_2018.pdf","Хаккинг-искусство эксплойта_2018.pdf")</f>
        <v>Хаккинг-искусство эксплойта_2018.pdf</v>
      </c>
      <c r="O640" s="3" t="s">
        <v>2597</v>
      </c>
    </row>
    <row r="641" spans="1:15" ht="193.2" x14ac:dyDescent="0.3">
      <c r="A641" s="4">
        <v>640</v>
      </c>
      <c r="B641" s="5" t="s">
        <v>2598</v>
      </c>
      <c r="C641" s="5" t="s">
        <v>2599</v>
      </c>
      <c r="D641" s="5" t="s">
        <v>274</v>
      </c>
      <c r="E641" s="5"/>
      <c r="F641" s="5" t="s">
        <v>2147</v>
      </c>
      <c r="G641" s="5" t="s">
        <v>2132</v>
      </c>
      <c r="H641" s="5" t="s">
        <v>2148</v>
      </c>
      <c r="I641" s="5" t="s">
        <v>721</v>
      </c>
      <c r="J641" s="5">
        <v>9.5299999999999994</v>
      </c>
      <c r="K641" s="5" t="s">
        <v>21</v>
      </c>
      <c r="L641" s="5" t="s">
        <v>2600</v>
      </c>
      <c r="M641" s="5" t="s">
        <v>2150</v>
      </c>
      <c r="N641" s="7" t="str">
        <f>HYPERLINK("C:\Users\alexa\YandexDisk\Книги\Безопасность\Кибербезопасность\Ховард М., Лебланк Д., Вьега Дж. 24 смертных греха компьютерной безопасности. Как написать безопасный код (2010).djvu","Ховард М., Лебланк Д., Вьега Дж. 24 смертных греха компьютерной безопасности. Как написать безопасный код (2010).djvu")</f>
        <v>Ховард М., Лебланк Д., Вьега Дж. 24 смертных греха компьютерной безопасности. Как написать безопасный код (2010).djvu</v>
      </c>
      <c r="O641" s="5" t="s">
        <v>2601</v>
      </c>
    </row>
    <row r="642" spans="1:15" ht="138" x14ac:dyDescent="0.3">
      <c r="A642" s="2">
        <v>641</v>
      </c>
      <c r="B642" s="3" t="s">
        <v>2602</v>
      </c>
      <c r="C642" s="3" t="s">
        <v>2603</v>
      </c>
      <c r="D642" s="3"/>
      <c r="E642" s="3"/>
      <c r="F642" s="3" t="s">
        <v>2147</v>
      </c>
      <c r="G642" s="3" t="s">
        <v>2132</v>
      </c>
      <c r="H642" s="3" t="s">
        <v>2148</v>
      </c>
      <c r="I642" s="3" t="s">
        <v>20</v>
      </c>
      <c r="J642" s="3">
        <v>71.17</v>
      </c>
      <c r="K642" s="3" t="s">
        <v>21</v>
      </c>
      <c r="L642" s="3" t="s">
        <v>2604</v>
      </c>
      <c r="M642" s="3" t="s">
        <v>2150</v>
      </c>
      <c r="N642" s="6" t="str">
        <f>HYPERLINK("C:\Users\alexa\YandexDisk\Книги\Безопасность\Кибербезопасность\Шаньгин Защита информации в компьютерных системах и сетях.pdf","Шаньгин Защита информации в компьютерных системах и сетях.pdf")</f>
        <v>Шаньгин Защита информации в компьютерных системах и сетях.pdf</v>
      </c>
      <c r="O642" s="3" t="s">
        <v>2605</v>
      </c>
    </row>
    <row r="643" spans="1:15" ht="179.4" x14ac:dyDescent="0.3">
      <c r="A643" s="4">
        <v>642</v>
      </c>
      <c r="B643" s="5" t="s">
        <v>2606</v>
      </c>
      <c r="C643" s="5" t="s">
        <v>2607</v>
      </c>
      <c r="D643" s="5" t="s">
        <v>837</v>
      </c>
      <c r="E643" s="5" t="s">
        <v>2608</v>
      </c>
      <c r="F643" s="5" t="s">
        <v>2147</v>
      </c>
      <c r="G643" s="5" t="s">
        <v>2132</v>
      </c>
      <c r="H643" s="5" t="s">
        <v>2148</v>
      </c>
      <c r="I643" s="5" t="s">
        <v>20</v>
      </c>
      <c r="J643" s="5">
        <v>5.69</v>
      </c>
      <c r="K643" s="5" t="s">
        <v>21</v>
      </c>
      <c r="L643" s="5" t="s">
        <v>2609</v>
      </c>
      <c r="M643" s="5" t="s">
        <v>2150</v>
      </c>
      <c r="N643" s="7" t="str">
        <f>HYPERLINK("C:\Users\alexa\YandexDisk\Книги\Безопасность\Кибербезопасность\Шаньгин Информ безопасность.pdf","Шаньгин Информ безопасность.pdf")</f>
        <v>Шаньгин Информ безопасность.pdf</v>
      </c>
      <c r="O643" s="5" t="s">
        <v>2610</v>
      </c>
    </row>
    <row r="644" spans="1:15" ht="138" x14ac:dyDescent="0.3">
      <c r="A644" s="2">
        <v>643</v>
      </c>
      <c r="B644" s="3" t="s">
        <v>2611</v>
      </c>
      <c r="C644" s="3" t="s">
        <v>2612</v>
      </c>
      <c r="D644" s="3" t="s">
        <v>71</v>
      </c>
      <c r="E644" s="3" t="s">
        <v>102</v>
      </c>
      <c r="F644" s="3" t="s">
        <v>2613</v>
      </c>
      <c r="G644" s="3" t="s">
        <v>2132</v>
      </c>
      <c r="H644" s="3" t="s">
        <v>2614</v>
      </c>
      <c r="I644" s="3" t="s">
        <v>20</v>
      </c>
      <c r="J644" s="3">
        <v>18.43</v>
      </c>
      <c r="K644" s="3" t="s">
        <v>21</v>
      </c>
      <c r="L644" s="3" t="s">
        <v>2615</v>
      </c>
      <c r="M644" s="3" t="s">
        <v>2616</v>
      </c>
      <c r="N644" s="6" t="str">
        <f>HYPERLINK("C:\Users\alexa\YandexDisk\Книги\Безопасность\Криптография\!!! Криптографические_основы_блокчейн_технологий.pdf","!!! Криптографические_основы_блокчейн_технологий.pdf")</f>
        <v>!!! Криптографические_основы_блокчейн_технологий.pdf</v>
      </c>
      <c r="O644" s="3" t="s">
        <v>2617</v>
      </c>
    </row>
    <row r="645" spans="1:15" ht="138" x14ac:dyDescent="0.3">
      <c r="A645" s="4">
        <v>644</v>
      </c>
      <c r="B645" s="5" t="s">
        <v>2618</v>
      </c>
      <c r="C645" s="5" t="s">
        <v>2619</v>
      </c>
      <c r="D645" s="5" t="s">
        <v>476</v>
      </c>
      <c r="E645" s="5" t="s">
        <v>167</v>
      </c>
      <c r="F645" s="5" t="s">
        <v>2613</v>
      </c>
      <c r="G645" s="5" t="s">
        <v>2132</v>
      </c>
      <c r="H645" s="5" t="s">
        <v>2614</v>
      </c>
      <c r="I645" s="5" t="s">
        <v>20</v>
      </c>
      <c r="J645" s="5">
        <v>1.49</v>
      </c>
      <c r="K645" s="5" t="s">
        <v>21</v>
      </c>
      <c r="L645" s="5" t="s">
        <v>2620</v>
      </c>
      <c r="M645" s="5" t="s">
        <v>2616</v>
      </c>
      <c r="N645" s="7" t="str">
        <f>HYPERLINK("C:\Users\alexa\YandexDisk\Книги\Безопасность\Криптография\!!!Основы_современной_криптографии_и_стеганографии.pdf","!!!Основы_современной_криптографии_и_стеганографии.pdf")</f>
        <v>!!!Основы_современной_криптографии_и_стеганографии.pdf</v>
      </c>
      <c r="O645" s="5" t="s">
        <v>2621</v>
      </c>
    </row>
    <row r="646" spans="1:15" ht="165.6" x14ac:dyDescent="0.3">
      <c r="A646" s="2">
        <v>645</v>
      </c>
      <c r="B646" s="3" t="s">
        <v>2622</v>
      </c>
      <c r="C646" s="3" t="s">
        <v>2623</v>
      </c>
      <c r="D646" s="3" t="s">
        <v>2624</v>
      </c>
      <c r="E646" s="3" t="s">
        <v>2625</v>
      </c>
      <c r="F646" s="3" t="s">
        <v>2613</v>
      </c>
      <c r="G646" s="3" t="s">
        <v>2132</v>
      </c>
      <c r="H646" s="3" t="s">
        <v>2614</v>
      </c>
      <c r="I646" s="3" t="s">
        <v>721</v>
      </c>
      <c r="J646" s="3">
        <v>6.95</v>
      </c>
      <c r="K646" s="3" t="s">
        <v>21</v>
      </c>
      <c r="L646" s="3" t="s">
        <v>2626</v>
      </c>
      <c r="M646" s="3" t="s">
        <v>2616</v>
      </c>
      <c r="N646" s="6" t="str">
        <f>HYPERLINK("C:\Users\alexa\YandexDisk\Книги\Безопасность\Криптография\(Аспекты защиты) А. В. Аграновский, Р. А. Хади - Практическая криптография. Алгоритмы и их программирование-Солон-Пресс (2009).djvu","(Аспекты защиты) А. В. Аграновский, Р. А. Хади - Практическая криптография. Алгоритмы и их программирование-Солон-Пресс (2009).djvu")</f>
        <v>(Аспекты защиты) А. В. Аграновский, Р. А. Хади - Практическая криптография. Алгоритмы и их программирование-Солон-Пресс (2009).djvu</v>
      </c>
      <c r="O646" s="3" t="s">
        <v>2627</v>
      </c>
    </row>
    <row r="647" spans="1:15" ht="165.6" x14ac:dyDescent="0.3">
      <c r="A647" s="4">
        <v>646</v>
      </c>
      <c r="B647" s="5" t="s">
        <v>2628</v>
      </c>
      <c r="C647" s="5" t="s">
        <v>2629</v>
      </c>
      <c r="D647" s="5" t="s">
        <v>172</v>
      </c>
      <c r="E647" s="5" t="s">
        <v>2630</v>
      </c>
      <c r="F647" s="5" t="s">
        <v>2613</v>
      </c>
      <c r="G647" s="5" t="s">
        <v>2132</v>
      </c>
      <c r="H647" s="5" t="s">
        <v>2614</v>
      </c>
      <c r="I647" s="5" t="s">
        <v>721</v>
      </c>
      <c r="J647" s="5">
        <v>15.62</v>
      </c>
      <c r="K647" s="5" t="s">
        <v>21</v>
      </c>
      <c r="L647" s="5" t="s">
        <v>2631</v>
      </c>
      <c r="M647" s="5" t="s">
        <v>2616</v>
      </c>
      <c r="N647" s="7"/>
      <c r="O647" s="5" t="s">
        <v>2632</v>
      </c>
    </row>
    <row r="648" spans="1:15" ht="41.4" x14ac:dyDescent="0.3">
      <c r="A648" s="2">
        <v>647</v>
      </c>
      <c r="B648" s="3" t="s">
        <v>2633</v>
      </c>
      <c r="C648" s="3"/>
      <c r="D648" s="3"/>
      <c r="E648" s="3"/>
      <c r="F648" s="3" t="s">
        <v>2613</v>
      </c>
      <c r="G648" s="3" t="s">
        <v>2132</v>
      </c>
      <c r="H648" s="3" t="s">
        <v>2614</v>
      </c>
      <c r="I648" s="3" t="s">
        <v>519</v>
      </c>
      <c r="J648" s="3">
        <v>55.61</v>
      </c>
      <c r="K648" s="3" t="s">
        <v>21</v>
      </c>
      <c r="L648" s="3" t="s">
        <v>2634</v>
      </c>
      <c r="M648" s="3" t="s">
        <v>2616</v>
      </c>
      <c r="N648" s="6" t="str">
        <f>HYPERLINK("C:\Users\alexa\YandexDisk\Книги\Безопасность\Криптография\Cryptography.zip","Cryptography.zip")</f>
        <v>Cryptography.zip</v>
      </c>
      <c r="O648" s="3" t="s">
        <v>930</v>
      </c>
    </row>
    <row r="649" spans="1:15" ht="193.2" x14ac:dyDescent="0.3">
      <c r="A649" s="4">
        <v>648</v>
      </c>
      <c r="B649" s="5" t="s">
        <v>2635</v>
      </c>
      <c r="C649" s="5" t="s">
        <v>2636</v>
      </c>
      <c r="D649" s="5" t="s">
        <v>71</v>
      </c>
      <c r="E649" s="5" t="s">
        <v>205</v>
      </c>
      <c r="F649" s="5" t="s">
        <v>2613</v>
      </c>
      <c r="G649" s="5" t="s">
        <v>2132</v>
      </c>
      <c r="H649" s="5" t="s">
        <v>2614</v>
      </c>
      <c r="I649" s="5" t="s">
        <v>20</v>
      </c>
      <c r="J649" s="5">
        <v>10.77</v>
      </c>
      <c r="K649" s="5" t="s">
        <v>21</v>
      </c>
      <c r="L649" s="5" t="s">
        <v>2637</v>
      </c>
      <c r="M649" s="5" t="s">
        <v>2616</v>
      </c>
      <c r="N649" s="7" t="str">
        <f>HYPERLINK("C:\Users\alexa\YandexDisk\Книги\Безопасность\Криптография\Cryptography_Algorithms_A_guide_to_algorithms_in_blockchain 2022.pdf","Cryptography_Algorithms_A_guide_to_algorithms_in_blockchain 2022.pdf")</f>
        <v>Cryptography_Algorithms_A_guide_to_algorithms_in_blockchain 2022.pdf</v>
      </c>
      <c r="O649" s="5" t="s">
        <v>2638</v>
      </c>
    </row>
    <row r="650" spans="1:15" ht="179.4" x14ac:dyDescent="0.3">
      <c r="A650" s="2">
        <v>649</v>
      </c>
      <c r="B650" s="3" t="s">
        <v>2639</v>
      </c>
      <c r="C650" s="3" t="s">
        <v>2640</v>
      </c>
      <c r="D650" s="3" t="s">
        <v>17</v>
      </c>
      <c r="E650" s="3" t="s">
        <v>536</v>
      </c>
      <c r="F650" s="3" t="s">
        <v>2613</v>
      </c>
      <c r="G650" s="3" t="s">
        <v>2132</v>
      </c>
      <c r="H650" s="3" t="s">
        <v>2614</v>
      </c>
      <c r="I650" s="3" t="s">
        <v>20</v>
      </c>
      <c r="J650" s="3">
        <v>37.43</v>
      </c>
      <c r="K650" s="3" t="s">
        <v>21</v>
      </c>
      <c r="L650" s="3" t="s">
        <v>2641</v>
      </c>
      <c r="M650" s="3" t="s">
        <v>2616</v>
      </c>
      <c r="N650" s="6" t="str">
        <f>HYPERLINK("C:\Users\alexa\YandexDisk\Книги\Безопасность\Криптография\David_Wong_Real_World_Cryptography_Manning_Publications_2021.pdf","David_Wong_Real_World_Cryptography_Manning_Publications_2021.pdf")</f>
        <v>David_Wong_Real_World_Cryptography_Manning_Publications_2021.pdf</v>
      </c>
      <c r="O650" s="3" t="s">
        <v>2642</v>
      </c>
    </row>
    <row r="651" spans="1:15" ht="234.6" x14ac:dyDescent="0.3">
      <c r="A651" s="4">
        <v>650</v>
      </c>
      <c r="B651" s="5" t="s">
        <v>2643</v>
      </c>
      <c r="C651" s="5" t="s">
        <v>2644</v>
      </c>
      <c r="D651" s="5" t="s">
        <v>2624</v>
      </c>
      <c r="E651" s="5" t="s">
        <v>2645</v>
      </c>
      <c r="F651" s="5" t="s">
        <v>2613</v>
      </c>
      <c r="G651" s="5" t="s">
        <v>2132</v>
      </c>
      <c r="H651" s="5" t="s">
        <v>2614</v>
      </c>
      <c r="I651" s="5" t="s">
        <v>20</v>
      </c>
      <c r="J651" s="5">
        <v>4.13</v>
      </c>
      <c r="K651" s="5" t="s">
        <v>21</v>
      </c>
      <c r="L651" s="5" t="s">
        <v>2646</v>
      </c>
      <c r="M651" s="5" t="s">
        <v>2616</v>
      </c>
      <c r="N651" s="7" t="str">
        <f>HYPERLINK("C:\Users\alexa\YandexDisk\Книги\Безопасность\Криптография\Fast Implementation of Two Hash.pdf","Fast Implementation of Two Hash.pdf")</f>
        <v>Fast Implementation of Two Hash.pdf</v>
      </c>
      <c r="O651" s="5" t="s">
        <v>2647</v>
      </c>
    </row>
    <row r="652" spans="1:15" ht="165.6" x14ac:dyDescent="0.3">
      <c r="A652" s="2">
        <v>651</v>
      </c>
      <c r="B652" s="3" t="s">
        <v>2648</v>
      </c>
      <c r="C652" s="3" t="s">
        <v>2649</v>
      </c>
      <c r="D652" s="3" t="s">
        <v>17</v>
      </c>
      <c r="E652" s="3" t="s">
        <v>536</v>
      </c>
      <c r="F652" s="3" t="s">
        <v>2613</v>
      </c>
      <c r="G652" s="3" t="s">
        <v>2132</v>
      </c>
      <c r="H652" s="3" t="s">
        <v>2614</v>
      </c>
      <c r="I652" s="3" t="s">
        <v>280</v>
      </c>
      <c r="J652" s="3">
        <v>6.34</v>
      </c>
      <c r="K652" s="3" t="s">
        <v>21</v>
      </c>
      <c r="L652" s="3" t="s">
        <v>2650</v>
      </c>
      <c r="M652" s="3" t="s">
        <v>2616</v>
      </c>
      <c r="N652" s="6" t="str">
        <f>HYPERLINK("C:\Users\alexa\YandexDisk\Книги\Безопасность\Криптография\Full_Stack_Python_Security_Cryptography.epub","Full_Stack_Python_Security_Cryptography.epub")</f>
        <v>Full_Stack_Python_Security_Cryptography.epub</v>
      </c>
      <c r="O652" s="3" t="s">
        <v>2651</v>
      </c>
    </row>
    <row r="653" spans="1:15" ht="193.2" x14ac:dyDescent="0.3">
      <c r="A653" s="4">
        <v>652</v>
      </c>
      <c r="B653" s="5" t="s">
        <v>2652</v>
      </c>
      <c r="C653" s="5" t="s">
        <v>2653</v>
      </c>
      <c r="D653" s="5" t="s">
        <v>59</v>
      </c>
      <c r="E653" s="5" t="s">
        <v>308</v>
      </c>
      <c r="F653" s="5" t="s">
        <v>2613</v>
      </c>
      <c r="G653" s="5" t="s">
        <v>2132</v>
      </c>
      <c r="H653" s="5" t="s">
        <v>2614</v>
      </c>
      <c r="I653" s="5" t="s">
        <v>20</v>
      </c>
      <c r="J653" s="5">
        <v>10.49</v>
      </c>
      <c r="K653" s="5" t="s">
        <v>21</v>
      </c>
      <c r="L653" s="5" t="s">
        <v>2654</v>
      </c>
      <c r="M653" s="5" t="s">
        <v>2616</v>
      </c>
      <c r="N653" s="7" t="str">
        <f>HYPERLINK("C:\Users\alexa\YandexDisk\Книги\Безопасность\Криптография\Implementing Cryptography Using Python.pdf","Implementing Cryptography Using Python.pdf")</f>
        <v>Implementing Cryptography Using Python.pdf</v>
      </c>
      <c r="O653" s="5" t="s">
        <v>2655</v>
      </c>
    </row>
    <row r="654" spans="1:15" ht="179.4" x14ac:dyDescent="0.3">
      <c r="A654" s="2">
        <v>653</v>
      </c>
      <c r="B654" s="3" t="s">
        <v>2656</v>
      </c>
      <c r="C654" s="3" t="s">
        <v>2657</v>
      </c>
      <c r="D654" s="3" t="s">
        <v>274</v>
      </c>
      <c r="E654" s="3"/>
      <c r="F654" s="3" t="s">
        <v>2613</v>
      </c>
      <c r="G654" s="3" t="s">
        <v>2132</v>
      </c>
      <c r="H654" s="3" t="s">
        <v>2614</v>
      </c>
      <c r="I654" s="3" t="s">
        <v>20</v>
      </c>
      <c r="J654" s="3">
        <v>1.4</v>
      </c>
      <c r="K654" s="3" t="s">
        <v>21</v>
      </c>
      <c r="L654" s="3" t="s">
        <v>2658</v>
      </c>
      <c r="M654" s="3" t="s">
        <v>2616</v>
      </c>
      <c r="N654" s="6" t="str">
        <f>HYPERLINK("C:\Users\alexa\YandexDisk\Книги\Безопасность\Криптография\Keccak sponge function family main document.pdf","Keccak sponge function family main document.pdf")</f>
        <v>Keccak sponge function family main document.pdf</v>
      </c>
      <c r="O654" s="3" t="s">
        <v>2659</v>
      </c>
    </row>
    <row r="655" spans="1:15" ht="179.4" x14ac:dyDescent="0.3">
      <c r="A655" s="4">
        <v>654</v>
      </c>
      <c r="B655" s="5" t="s">
        <v>2660</v>
      </c>
      <c r="C655" s="5" t="s">
        <v>2661</v>
      </c>
      <c r="D655" s="5" t="s">
        <v>837</v>
      </c>
      <c r="E655" s="5" t="s">
        <v>2662</v>
      </c>
      <c r="F655" s="5" t="s">
        <v>2613</v>
      </c>
      <c r="G655" s="5" t="s">
        <v>2132</v>
      </c>
      <c r="H655" s="5" t="s">
        <v>2614</v>
      </c>
      <c r="I655" s="5" t="s">
        <v>20</v>
      </c>
      <c r="J655" s="5">
        <v>0.56999999999999995</v>
      </c>
      <c r="K655" s="5" t="s">
        <v>21</v>
      </c>
      <c r="L655" s="5" t="s">
        <v>2663</v>
      </c>
      <c r="M655" s="5" t="s">
        <v>2616</v>
      </c>
      <c r="N655" s="7" t="str">
        <f>HYPERLINK("C:\Users\alexa\YandexDisk\Книги\Безопасность\Криптография\Keccak-implementation-3.1.pdf","Keccak-implementation-3.1.pdf")</f>
        <v>Keccak-implementation-3.1.pdf</v>
      </c>
      <c r="O655" s="5" t="s">
        <v>2664</v>
      </c>
    </row>
    <row r="656" spans="1:15" ht="138" x14ac:dyDescent="0.3">
      <c r="A656" s="2">
        <v>655</v>
      </c>
      <c r="B656" s="3" t="s">
        <v>2665</v>
      </c>
      <c r="C656" s="3" t="s">
        <v>2666</v>
      </c>
      <c r="D656" s="3"/>
      <c r="E656" s="3"/>
      <c r="F656" s="3" t="s">
        <v>2613</v>
      </c>
      <c r="G656" s="3" t="s">
        <v>2132</v>
      </c>
      <c r="H656" s="3" t="s">
        <v>2614</v>
      </c>
      <c r="I656" s="3" t="s">
        <v>20</v>
      </c>
      <c r="J656" s="3">
        <v>8.16</v>
      </c>
      <c r="K656" s="3" t="s">
        <v>21</v>
      </c>
      <c r="L656" s="3" t="s">
        <v>2667</v>
      </c>
      <c r="M656" s="3" t="s">
        <v>2616</v>
      </c>
      <c r="N656" s="6" t="str">
        <f>HYPERLINK("C:\Users\alexa\YandexDisk\Книги\Безопасность\Криптография\Network_security.pdf","Network_security.pdf")</f>
        <v>Network_security.pdf</v>
      </c>
      <c r="O656" s="3" t="s">
        <v>2668</v>
      </c>
    </row>
    <row r="657" spans="1:15" ht="234.6" x14ac:dyDescent="0.3">
      <c r="A657" s="4">
        <v>656</v>
      </c>
      <c r="B657" s="5" t="s">
        <v>2669</v>
      </c>
      <c r="C657" s="5" t="s">
        <v>2670</v>
      </c>
      <c r="D657" s="5" t="s">
        <v>77</v>
      </c>
      <c r="E657" s="5" t="s">
        <v>2671</v>
      </c>
      <c r="F657" s="5" t="s">
        <v>2613</v>
      </c>
      <c r="G657" s="5" t="s">
        <v>2132</v>
      </c>
      <c r="H657" s="5" t="s">
        <v>2614</v>
      </c>
      <c r="I657" s="5" t="s">
        <v>20</v>
      </c>
      <c r="J657" s="5">
        <v>4.24</v>
      </c>
      <c r="K657" s="5" t="s">
        <v>21</v>
      </c>
      <c r="L657" s="5" t="s">
        <v>2672</v>
      </c>
      <c r="M657" s="5" t="s">
        <v>2616</v>
      </c>
      <c r="N657" s="7" t="str">
        <f>HYPERLINK("C:\Users\alexa\YandexDisk\Книги\Безопасность\Криптография\Online Template Attack On.pdf","Online Template Attack On.pdf")</f>
        <v>Online Template Attack On.pdf</v>
      </c>
      <c r="O657" s="5" t="s">
        <v>2673</v>
      </c>
    </row>
    <row r="658" spans="1:15" ht="165.6" x14ac:dyDescent="0.3">
      <c r="A658" s="2">
        <v>657</v>
      </c>
      <c r="B658" s="3" t="s">
        <v>2674</v>
      </c>
      <c r="C658" s="3" t="s">
        <v>2675</v>
      </c>
      <c r="D658" s="3" t="s">
        <v>27</v>
      </c>
      <c r="E658" s="3" t="s">
        <v>402</v>
      </c>
      <c r="F658" s="3" t="s">
        <v>2613</v>
      </c>
      <c r="G658" s="3" t="s">
        <v>2132</v>
      </c>
      <c r="H658" s="3" t="s">
        <v>2614</v>
      </c>
      <c r="I658" s="3" t="s">
        <v>20</v>
      </c>
      <c r="J658" s="3">
        <v>9.85</v>
      </c>
      <c r="K658" s="3" t="s">
        <v>21</v>
      </c>
      <c r="L658" s="3" t="s">
        <v>2676</v>
      </c>
      <c r="M658" s="3" t="s">
        <v>2616</v>
      </c>
      <c r="N658" s="6" t="str">
        <f>HYPERLINK("C:\Users\alexa\YandexDisk\Книги\Безопасность\Криптография\OPENSSL 3. Ключ к тайнам криптографии.pdf","OPENSSL 3. Ключ к тайнам криптографии.pdf")</f>
        <v>OPENSSL 3. Ключ к тайнам криптографии.pdf</v>
      </c>
      <c r="O658" s="3" t="s">
        <v>2677</v>
      </c>
    </row>
    <row r="659" spans="1:15" ht="179.4" x14ac:dyDescent="0.3">
      <c r="A659" s="4">
        <v>658</v>
      </c>
      <c r="B659" s="5" t="s">
        <v>2674</v>
      </c>
      <c r="C659" s="5" t="s">
        <v>2675</v>
      </c>
      <c r="D659" s="5" t="s">
        <v>27</v>
      </c>
      <c r="E659" s="5" t="s">
        <v>1234</v>
      </c>
      <c r="F659" s="5" t="s">
        <v>2613</v>
      </c>
      <c r="G659" s="5" t="s">
        <v>2132</v>
      </c>
      <c r="H659" s="5" t="s">
        <v>2614</v>
      </c>
      <c r="I659" s="5" t="s">
        <v>20</v>
      </c>
      <c r="J659" s="5">
        <v>9.7899999999999991</v>
      </c>
      <c r="K659" s="5" t="s">
        <v>21</v>
      </c>
      <c r="L659" s="5" t="s">
        <v>2678</v>
      </c>
      <c r="M659" s="5" t="s">
        <v>2616</v>
      </c>
      <c r="N659" s="7" t="str">
        <f>HYPERLINK("C:\Users\alexa\YandexDisk\Книги\Безопасность\Криптография\OpenSSL_3_ключ_к_тайнам_криптографии_2023_Хлебников_А_.pdf","OpenSSL_3_ключ_к_тайнам_криптографии_2023_Хлебников_А_.pdf")</f>
        <v>OpenSSL_3_ключ_к_тайнам_криптографии_2023_Хлебников_А_.pdf</v>
      </c>
      <c r="O659" s="5" t="s">
        <v>2679</v>
      </c>
    </row>
    <row r="660" spans="1:15" ht="220.8" x14ac:dyDescent="0.3">
      <c r="A660" s="2">
        <v>659</v>
      </c>
      <c r="B660" s="3" t="s">
        <v>2680</v>
      </c>
      <c r="C660" s="3" t="s">
        <v>2681</v>
      </c>
      <c r="D660" s="3"/>
      <c r="E660" s="3"/>
      <c r="F660" s="3" t="s">
        <v>2613</v>
      </c>
      <c r="G660" s="3" t="s">
        <v>2132</v>
      </c>
      <c r="H660" s="3" t="s">
        <v>2614</v>
      </c>
      <c r="I660" s="3" t="s">
        <v>20</v>
      </c>
      <c r="J660" s="3">
        <v>0.53</v>
      </c>
      <c r="K660" s="3" t="s">
        <v>21</v>
      </c>
      <c r="L660" s="3" t="s">
        <v>2682</v>
      </c>
      <c r="M660" s="3" t="s">
        <v>2616</v>
      </c>
      <c r="N660" s="6" t="str">
        <f>HYPERLINK("C:\Users\alexa\YandexDisk\Книги\Безопасность\Криптография\Practical attack of ECDSA with wNAF.pdf","Practical attack of ECDSA with wNAF.pdf")</f>
        <v>Practical attack of ECDSA with wNAF.pdf</v>
      </c>
      <c r="O660" s="3" t="s">
        <v>2683</v>
      </c>
    </row>
    <row r="661" spans="1:15" ht="262.2" x14ac:dyDescent="0.3">
      <c r="A661" s="4">
        <v>660</v>
      </c>
      <c r="B661" s="5" t="s">
        <v>2684</v>
      </c>
      <c r="C661" s="5" t="s">
        <v>2685</v>
      </c>
      <c r="D661" s="5"/>
      <c r="E661" s="5"/>
      <c r="F661" s="5" t="s">
        <v>2613</v>
      </c>
      <c r="G661" s="5" t="s">
        <v>2132</v>
      </c>
      <c r="H661" s="5" t="s">
        <v>2614</v>
      </c>
      <c r="I661" s="5" t="s">
        <v>20</v>
      </c>
      <c r="J661" s="5">
        <v>2.56</v>
      </c>
      <c r="K661" s="5" t="s">
        <v>21</v>
      </c>
      <c r="L661" s="5" t="s">
        <v>2686</v>
      </c>
      <c r="M661" s="5" t="s">
        <v>2616</v>
      </c>
      <c r="N661" s="7" t="str">
        <f>HYPERLINK("C:\Users\alexa\YandexDisk\Книги\Безопасность\Криптография\Quantum Attacks on Bitcoin and How to Protect Agai.pdf","Quantum Attacks on Bitcoin and How to Protect Agai.pdf")</f>
        <v>Quantum Attacks on Bitcoin and How to Protect Agai.pdf</v>
      </c>
      <c r="O661" s="5" t="s">
        <v>2687</v>
      </c>
    </row>
    <row r="662" spans="1:15" ht="165.6" x14ac:dyDescent="0.3">
      <c r="A662" s="2">
        <v>661</v>
      </c>
      <c r="B662" s="3" t="s">
        <v>2688</v>
      </c>
      <c r="C662" s="3" t="s">
        <v>2689</v>
      </c>
      <c r="D662" s="3" t="s">
        <v>17</v>
      </c>
      <c r="E662" s="3" t="s">
        <v>227</v>
      </c>
      <c r="F662" s="3" t="s">
        <v>2613</v>
      </c>
      <c r="G662" s="3" t="s">
        <v>2132</v>
      </c>
      <c r="H662" s="3" t="s">
        <v>2614</v>
      </c>
      <c r="I662" s="3" t="s">
        <v>20</v>
      </c>
      <c r="J662" s="3">
        <v>6.59</v>
      </c>
      <c r="K662" s="3" t="s">
        <v>21</v>
      </c>
      <c r="L662" s="3" t="s">
        <v>2690</v>
      </c>
      <c r="M662" s="3" t="s">
        <v>2616</v>
      </c>
      <c r="N662" s="6" t="str">
        <f>HYPERLINK("C:\Users\alexa\YandexDisk\Книги\Безопасность\Криптография\Sirapat_Boonkrong_Authentication_And_Access_Control_Practical_Cryptography.pdf","Sirapat_Boonkrong_Authentication_And_Access_Control_Practical_Cryptography.pdf")</f>
        <v>Sirapat_Boonkrong_Authentication_And_Access_Control_Practical_Cryptography.pdf</v>
      </c>
      <c r="O662" s="3" t="s">
        <v>2691</v>
      </c>
    </row>
    <row r="663" spans="1:15" ht="193.2" x14ac:dyDescent="0.3">
      <c r="A663" s="4">
        <v>662</v>
      </c>
      <c r="B663" s="5" t="s">
        <v>2692</v>
      </c>
      <c r="C663" s="5" t="s">
        <v>2693</v>
      </c>
      <c r="D663" s="5" t="s">
        <v>114</v>
      </c>
      <c r="E663" s="5"/>
      <c r="F663" s="5" t="s">
        <v>2613</v>
      </c>
      <c r="G663" s="5" t="s">
        <v>2132</v>
      </c>
      <c r="H663" s="5" t="s">
        <v>2614</v>
      </c>
      <c r="I663" s="5" t="s">
        <v>20</v>
      </c>
      <c r="J663" s="5">
        <v>0.42</v>
      </c>
      <c r="K663" s="5" t="s">
        <v>21</v>
      </c>
      <c r="L663" s="5" t="s">
        <v>2694</v>
      </c>
      <c r="M663" s="5" t="s">
        <v>2616</v>
      </c>
      <c r="N663" s="7" t="str">
        <f>HYPERLINK("C:\Users\alexa\YandexDisk\Книги\Безопасность\Криптография\slides_Goudarzi.pdf","slides_Goudarzi.pdf")</f>
        <v>slides_Goudarzi.pdf</v>
      </c>
      <c r="O663" s="5" t="s">
        <v>2695</v>
      </c>
    </row>
    <row r="664" spans="1:15" ht="220.8" x14ac:dyDescent="0.3">
      <c r="A664" s="2">
        <v>663</v>
      </c>
      <c r="B664" s="3" t="s">
        <v>2696</v>
      </c>
      <c r="C664" s="3" t="s">
        <v>2697</v>
      </c>
      <c r="D664" s="3" t="s">
        <v>114</v>
      </c>
      <c r="E664" s="3"/>
      <c r="F664" s="3" t="s">
        <v>2613</v>
      </c>
      <c r="G664" s="3" t="s">
        <v>2132</v>
      </c>
      <c r="H664" s="3" t="s">
        <v>2614</v>
      </c>
      <c r="I664" s="3" t="s">
        <v>20</v>
      </c>
      <c r="J664" s="3">
        <v>5.18</v>
      </c>
      <c r="K664" s="3" t="s">
        <v>21</v>
      </c>
      <c r="L664" s="3" t="s">
        <v>2698</v>
      </c>
      <c r="M664" s="3" t="s">
        <v>2616</v>
      </c>
      <c r="N664" s="6" t="str">
        <f>HYPERLINK("C:\Users\alexa\YandexDisk\Книги\Безопасность\Криптография\Speed Optimizations in Bitcoin Key Recovery Attack.pdf","Speed Optimizations in Bitcoin Key Recovery Attack.pdf")</f>
        <v>Speed Optimizations in Bitcoin Key Recovery Attack.pdf</v>
      </c>
      <c r="O664" s="3" t="s">
        <v>2699</v>
      </c>
    </row>
    <row r="665" spans="1:15" ht="220.8" x14ac:dyDescent="0.3">
      <c r="A665" s="4">
        <v>664</v>
      </c>
      <c r="B665" s="5" t="s">
        <v>2700</v>
      </c>
      <c r="C665" s="5" t="s">
        <v>2701</v>
      </c>
      <c r="D665" s="5"/>
      <c r="E665" s="5"/>
      <c r="F665" s="5" t="s">
        <v>2613</v>
      </c>
      <c r="G665" s="5" t="s">
        <v>2132</v>
      </c>
      <c r="H665" s="5" t="s">
        <v>2614</v>
      </c>
      <c r="I665" s="5" t="s">
        <v>20</v>
      </c>
      <c r="J665" s="5">
        <v>0.34</v>
      </c>
      <c r="K665" s="5" t="s">
        <v>21</v>
      </c>
      <c r="L665" s="5" t="s">
        <v>2702</v>
      </c>
      <c r="M665" s="5" t="s">
        <v>2616</v>
      </c>
      <c r="N665" s="7" t="str">
        <f>HYPERLINK("C:\Users\alexa\YandexDisk\Книги\Безопасность\Криптография\The security of the ECDSA.pdf","The security of the ECDSA.pdf")</f>
        <v>The security of the ECDSA.pdf</v>
      </c>
      <c r="O665" s="5" t="s">
        <v>2703</v>
      </c>
    </row>
    <row r="666" spans="1:15" ht="207" x14ac:dyDescent="0.3">
      <c r="A666" s="2">
        <v>665</v>
      </c>
      <c r="B666" s="3" t="s">
        <v>2704</v>
      </c>
      <c r="C666" s="3" t="s">
        <v>2705</v>
      </c>
      <c r="D666" s="3"/>
      <c r="E666" s="3"/>
      <c r="F666" s="3" t="s">
        <v>2613</v>
      </c>
      <c r="G666" s="3" t="s">
        <v>2132</v>
      </c>
      <c r="H666" s="3" t="s">
        <v>2614</v>
      </c>
      <c r="I666" s="3" t="s">
        <v>20</v>
      </c>
      <c r="J666" s="3">
        <v>0.71</v>
      </c>
      <c r="K666" s="3" t="s">
        <v>21</v>
      </c>
      <c r="L666" s="3" t="s">
        <v>2706</v>
      </c>
      <c r="M666" s="3" t="s">
        <v>2616</v>
      </c>
      <c r="N666" s="6" t="str">
        <f>HYPERLINK("C:\Users\alexa\YandexDisk\Книги\Безопасность\Криптография\Time-Dilation_Attacks_on_the_Lightning_Network.pdf","Time-Dilation_Attacks_on_the_Lightning_Network.pdf")</f>
        <v>Time-Dilation_Attacks_on_the_Lightning_Network.pdf</v>
      </c>
      <c r="O666" s="3" t="s">
        <v>2707</v>
      </c>
    </row>
    <row r="667" spans="1:15" ht="179.4" x14ac:dyDescent="0.3">
      <c r="A667" s="4">
        <v>666</v>
      </c>
      <c r="B667" s="5" t="s">
        <v>2708</v>
      </c>
      <c r="C667" s="5" t="s">
        <v>2709</v>
      </c>
      <c r="D667" s="5" t="s">
        <v>2624</v>
      </c>
      <c r="E667" s="5"/>
      <c r="F667" s="5" t="s">
        <v>2613</v>
      </c>
      <c r="G667" s="5" t="s">
        <v>2132</v>
      </c>
      <c r="H667" s="5" t="s">
        <v>2614</v>
      </c>
      <c r="I667" s="5" t="s">
        <v>721</v>
      </c>
      <c r="J667" s="5">
        <v>7.41</v>
      </c>
      <c r="K667" s="5" t="s">
        <v>21</v>
      </c>
      <c r="L667" s="5" t="s">
        <v>2710</v>
      </c>
      <c r="M667" s="5" t="s">
        <v>2616</v>
      </c>
      <c r="N667" s="7" t="str">
        <f>HYPERLINK("C:\Users\alexa\YandexDisk\Книги\Безопасность\Криптография\Алгоритмы шифрования, Специальный справочник, Панасенко С.П., 2009.djvu","Алгоритмы шифрования, Специальный справочник, Панасенко С.П., 2009.djvu")</f>
        <v>Алгоритмы шифрования, Специальный справочник, Панасенко С.П., 2009.djvu</v>
      </c>
      <c r="O667" s="5" t="s">
        <v>2711</v>
      </c>
    </row>
    <row r="668" spans="1:15" ht="234.6" x14ac:dyDescent="0.3">
      <c r="A668" s="2">
        <v>667</v>
      </c>
      <c r="B668" s="3" t="s">
        <v>2712</v>
      </c>
      <c r="C668" s="3" t="s">
        <v>2713</v>
      </c>
      <c r="D668" s="3" t="s">
        <v>77</v>
      </c>
      <c r="E668" s="3" t="s">
        <v>2714</v>
      </c>
      <c r="F668" s="3" t="s">
        <v>2613</v>
      </c>
      <c r="G668" s="3" t="s">
        <v>2132</v>
      </c>
      <c r="H668" s="3" t="s">
        <v>2614</v>
      </c>
      <c r="I668" s="3" t="s">
        <v>20</v>
      </c>
      <c r="J668" s="3">
        <v>2.54</v>
      </c>
      <c r="K668" s="3" t="s">
        <v>21</v>
      </c>
      <c r="L668" s="3" t="s">
        <v>2715</v>
      </c>
      <c r="M668" s="3" t="s">
        <v>2616</v>
      </c>
      <c r="N668" s="6" t="str">
        <f>HYPERLINK("C:\Users\alexa\YandexDisk\Книги\Безопасность\Криптография\Американская криптология. История спецсвязи [2019] Гребенников.pdf","Американская криптология. История спецсвязи [2019] Гребенников.pdf")</f>
        <v>Американская криптология. История спецсвязи [2019] Гребенников.pdf</v>
      </c>
      <c r="O668" s="3" t="s">
        <v>2716</v>
      </c>
    </row>
    <row r="669" spans="1:15" ht="193.2" x14ac:dyDescent="0.3">
      <c r="A669" s="4">
        <v>668</v>
      </c>
      <c r="B669" s="5" t="s">
        <v>2717</v>
      </c>
      <c r="C669" s="5" t="s">
        <v>2718</v>
      </c>
      <c r="D669" s="5" t="s">
        <v>59</v>
      </c>
      <c r="E669" s="5" t="s">
        <v>102</v>
      </c>
      <c r="F669" s="5" t="s">
        <v>2613</v>
      </c>
      <c r="G669" s="5" t="s">
        <v>2132</v>
      </c>
      <c r="H669" s="5" t="s">
        <v>2614</v>
      </c>
      <c r="I669" s="5" t="s">
        <v>20</v>
      </c>
      <c r="J669" s="5">
        <v>11.48</v>
      </c>
      <c r="K669" s="5" t="s">
        <v>21</v>
      </c>
      <c r="L669" s="5" t="s">
        <v>2719</v>
      </c>
      <c r="M669" s="5" t="s">
        <v>2616</v>
      </c>
      <c r="N669" s="7" t="str">
        <f>HYPERLINK("C:\Users\alexa\YandexDisk\Книги\Безопасность\Криптография\Апокалипсис криптографии. Подготовка к криптовалютным вычислениям [2020] Роджер Граймс.pdf","Апокалипсис криптографии. Подготовка к криптовалютным вычислениям [2020] Роджер Граймс.pdf")</f>
        <v>Апокалипсис криптографии. Подготовка к криптовалютным вычислениям [2020] Роджер Граймс.pdf</v>
      </c>
      <c r="O669" s="5" t="s">
        <v>2720</v>
      </c>
    </row>
    <row r="670" spans="1:15" ht="179.4" x14ac:dyDescent="0.3">
      <c r="A670" s="2">
        <v>669</v>
      </c>
      <c r="B670" s="3" t="s">
        <v>2721</v>
      </c>
      <c r="C670" s="3" t="s">
        <v>2722</v>
      </c>
      <c r="D670" s="3" t="s">
        <v>161</v>
      </c>
      <c r="E670" s="3" t="s">
        <v>2723</v>
      </c>
      <c r="F670" s="3" t="s">
        <v>2613</v>
      </c>
      <c r="G670" s="3" t="s">
        <v>2132</v>
      </c>
      <c r="H670" s="3" t="s">
        <v>2614</v>
      </c>
      <c r="I670" s="3" t="s">
        <v>20</v>
      </c>
      <c r="J670" s="3">
        <v>2.52</v>
      </c>
      <c r="K670" s="3" t="s">
        <v>21</v>
      </c>
      <c r="L670" s="3" t="s">
        <v>2724</v>
      </c>
      <c r="M670" s="3" t="s">
        <v>2616</v>
      </c>
      <c r="N670" s="6" t="str">
        <f>HYPERLINK("C:\Users\alexa\YandexDisk\Книги\Безопасность\Криптография\Болотов А.А., Гашков С.Б., Фролов А.Б. - Алгоритмические основы эллиптической криптографии (2003).pdf","Болотов А.А., Гашков С.Б., Фролов А.Б. - Алгоритмические основы эллиптической криптографии (2003).pdf")</f>
        <v>Болотов А.А., Гашков С.Б., Фролов А.Б. - Алгоритмические основы эллиптической криптографии (2003).pdf</v>
      </c>
      <c r="O670" s="3" t="s">
        <v>2725</v>
      </c>
    </row>
    <row r="671" spans="1:15" ht="138" x14ac:dyDescent="0.3">
      <c r="A671" s="4">
        <v>670</v>
      </c>
      <c r="B671" s="5" t="s">
        <v>2726</v>
      </c>
      <c r="C671" s="5" t="s">
        <v>2727</v>
      </c>
      <c r="D671" s="5" t="s">
        <v>65</v>
      </c>
      <c r="E671" s="5" t="s">
        <v>2728</v>
      </c>
      <c r="F671" s="5" t="s">
        <v>2613</v>
      </c>
      <c r="G671" s="5" t="s">
        <v>2132</v>
      </c>
      <c r="H671" s="5" t="s">
        <v>2614</v>
      </c>
      <c r="I671" s="5" t="s">
        <v>20</v>
      </c>
      <c r="J671" s="5">
        <v>6.98</v>
      </c>
      <c r="K671" s="5" t="s">
        <v>21</v>
      </c>
      <c r="L671" s="5" t="s">
        <v>2729</v>
      </c>
      <c r="M671" s="5" t="s">
        <v>2616</v>
      </c>
      <c r="N671" s="7" t="str">
        <f>HYPERLINK("C:\Users\alexa\YandexDisk\Книги\Безопасность\Криптография\Введение в криптографию Романьков 2017.pdf","Введение в криптографию Романьков 2017.pdf")</f>
        <v>Введение в криптографию Романьков 2017.pdf</v>
      </c>
      <c r="O671" s="5" t="s">
        <v>2730</v>
      </c>
    </row>
    <row r="672" spans="1:15" ht="179.4" x14ac:dyDescent="0.3">
      <c r="A672" s="2">
        <v>671</v>
      </c>
      <c r="B672" s="3" t="s">
        <v>2731</v>
      </c>
      <c r="C672" s="3" t="s">
        <v>2732</v>
      </c>
      <c r="D672" s="3" t="s">
        <v>71</v>
      </c>
      <c r="E672" s="3" t="s">
        <v>2733</v>
      </c>
      <c r="F672" s="3" t="s">
        <v>2613</v>
      </c>
      <c r="G672" s="3" t="s">
        <v>2132</v>
      </c>
      <c r="H672" s="3" t="s">
        <v>2614</v>
      </c>
      <c r="I672" s="3" t="s">
        <v>20</v>
      </c>
      <c r="J672" s="3">
        <v>33.39</v>
      </c>
      <c r="K672" s="3" t="s">
        <v>21</v>
      </c>
      <c r="L672" s="3" t="s">
        <v>2734</v>
      </c>
      <c r="M672" s="3" t="s">
        <v>2616</v>
      </c>
      <c r="N672" s="6" t="str">
        <f>HYPERLINK("C:\Users\alexa\YandexDisk\Книги\Безопасность\Криптография\Введение в криптографию.pdf","Введение в криптографию.pdf")</f>
        <v>Введение в криптографию.pdf</v>
      </c>
      <c r="O672" s="3" t="s">
        <v>2735</v>
      </c>
    </row>
    <row r="673" spans="1:15" ht="151.80000000000001" x14ac:dyDescent="0.3">
      <c r="A673" s="4">
        <v>672</v>
      </c>
      <c r="B673" s="5" t="s">
        <v>2736</v>
      </c>
      <c r="C673" s="5" t="s">
        <v>2737</v>
      </c>
      <c r="D673" s="5" t="s">
        <v>161</v>
      </c>
      <c r="E673" s="5"/>
      <c r="F673" s="5" t="s">
        <v>2613</v>
      </c>
      <c r="G673" s="5" t="s">
        <v>2132</v>
      </c>
      <c r="H673" s="5" t="s">
        <v>2614</v>
      </c>
      <c r="I673" s="5" t="s">
        <v>721</v>
      </c>
      <c r="J673" s="5">
        <v>3.7</v>
      </c>
      <c r="K673" s="5" t="s">
        <v>21</v>
      </c>
      <c r="L673" s="5" t="s">
        <v>2738</v>
      </c>
      <c r="M673" s="5" t="s">
        <v>2616</v>
      </c>
      <c r="N673" s="7" t="str">
        <f>HYPERLINK("C:\Users\alexa\YandexDisk\Книги\Безопасность\Криптография\Вельшенбах М. - Криптография на C и C++ в действии (2004).djvu","Вельшенбах М. - Криптография на C и C++ в действии (2004).djvu")</f>
        <v>Вельшенбах М. - Криптография на C и C++ в действии (2004).djvu</v>
      </c>
      <c r="O673" s="5" t="s">
        <v>2739</v>
      </c>
    </row>
    <row r="674" spans="1:15" ht="179.4" x14ac:dyDescent="0.3">
      <c r="A674" s="2">
        <v>673</v>
      </c>
      <c r="B674" s="3" t="s">
        <v>2736</v>
      </c>
      <c r="C674" s="3" t="s">
        <v>2737</v>
      </c>
      <c r="D674" s="3" t="s">
        <v>161</v>
      </c>
      <c r="E674" s="3" t="s">
        <v>2740</v>
      </c>
      <c r="F674" s="3" t="s">
        <v>2613</v>
      </c>
      <c r="G674" s="3" t="s">
        <v>2132</v>
      </c>
      <c r="H674" s="3" t="s">
        <v>2614</v>
      </c>
      <c r="I674" s="3" t="s">
        <v>721</v>
      </c>
      <c r="J674" s="3">
        <v>20.88</v>
      </c>
      <c r="K674" s="3" t="s">
        <v>21</v>
      </c>
      <c r="L674" s="3" t="s">
        <v>2741</v>
      </c>
      <c r="M674" s="3" t="s">
        <v>2616</v>
      </c>
      <c r="N674" s="6" t="str">
        <f>HYPERLINK("C:\Users\alexa\YandexDisk\Книги\Безопасность\Криптография\Вельшенбах М. - Криптография на C и C++ в действии-Триумф (2004).djvu","Вельшенбах М. - Криптография на C и C++ в действии-Триумф (2004).djvu")</f>
        <v>Вельшенбах М. - Криптография на C и C++ в действии-Триумф (2004).djvu</v>
      </c>
      <c r="O674" s="3" t="s">
        <v>2742</v>
      </c>
    </row>
    <row r="675" spans="1:15" ht="234.6" x14ac:dyDescent="0.3">
      <c r="A675" s="4">
        <v>674</v>
      </c>
      <c r="B675" s="5" t="s">
        <v>2743</v>
      </c>
      <c r="C675" s="5" t="s">
        <v>2744</v>
      </c>
      <c r="D675" s="5" t="s">
        <v>2745</v>
      </c>
      <c r="E675" s="5"/>
      <c r="F675" s="5" t="s">
        <v>2613</v>
      </c>
      <c r="G675" s="5" t="s">
        <v>2132</v>
      </c>
      <c r="H675" s="5" t="s">
        <v>2614</v>
      </c>
      <c r="I675" s="5" t="s">
        <v>20</v>
      </c>
      <c r="J675" s="5">
        <v>3.85</v>
      </c>
      <c r="K675" s="5" t="s">
        <v>21</v>
      </c>
      <c r="L675" s="5" t="s">
        <v>2746</v>
      </c>
      <c r="M675" s="5" t="s">
        <v>2616</v>
      </c>
      <c r="N675" s="7" t="str">
        <f>HYPERLINK("C:\Users\alexa\YandexDisk\Книги\Безопасность\Криптография\Грушо А.А. и др. - Анализ и синтез криптоалгоритмов (2000).pdf","Грушо А.А. и др. - Анализ и синтез криптоалгоритмов (2000).pdf")</f>
        <v>Грушо А.А. и др. - Анализ и синтез криптоалгоритмов (2000).pdf</v>
      </c>
      <c r="O675" s="5" t="s">
        <v>2747</v>
      </c>
    </row>
    <row r="676" spans="1:15" ht="179.4" x14ac:dyDescent="0.3">
      <c r="A676" s="2">
        <v>675</v>
      </c>
      <c r="B676" s="3" t="s">
        <v>2748</v>
      </c>
      <c r="C676" s="3" t="s">
        <v>2749</v>
      </c>
      <c r="D676" s="3"/>
      <c r="E676" s="3"/>
      <c r="F676" s="3" t="s">
        <v>2613</v>
      </c>
      <c r="G676" s="3" t="s">
        <v>2132</v>
      </c>
      <c r="H676" s="3" t="s">
        <v>2614</v>
      </c>
      <c r="I676" s="3" t="s">
        <v>20</v>
      </c>
      <c r="J676" s="3">
        <v>2.85</v>
      </c>
      <c r="K676" s="3" t="s">
        <v>21</v>
      </c>
      <c r="L676" s="3" t="s">
        <v>2750</v>
      </c>
      <c r="M676" s="3" t="s">
        <v>2616</v>
      </c>
      <c r="N676" s="6" t="str">
        <f>HYPERLINK("C:\Users\alexa\YandexDisk\Книги\Безопасность\Криптография\Европейская_криптология_История_спецсвязи.pdf","Европейская_криптология_История_спецсвязи.pdf")</f>
        <v>Европейская_криптология_История_спецсвязи.pdf</v>
      </c>
      <c r="O676" s="3" t="s">
        <v>2751</v>
      </c>
    </row>
    <row r="677" spans="1:15" ht="41.4" x14ac:dyDescent="0.3">
      <c r="A677" s="4">
        <v>676</v>
      </c>
      <c r="B677" s="5" t="s">
        <v>2752</v>
      </c>
      <c r="C677" s="5"/>
      <c r="D677" s="5"/>
      <c r="E677" s="5"/>
      <c r="F677" s="5" t="s">
        <v>2613</v>
      </c>
      <c r="G677" s="5" t="s">
        <v>2132</v>
      </c>
      <c r="H677" s="5" t="s">
        <v>2614</v>
      </c>
      <c r="I677" s="5" t="s">
        <v>721</v>
      </c>
      <c r="J677" s="5">
        <v>11.18</v>
      </c>
      <c r="K677" s="5" t="s">
        <v>21</v>
      </c>
      <c r="L677" s="5" t="s">
        <v>2753</v>
      </c>
      <c r="M677" s="5" t="s">
        <v>2616</v>
      </c>
      <c r="N677" s="7" t="str">
        <f>HYPERLINK("C:\Users\alexa\YandexDisk\Книги\Безопасность\Криптография\Книга шифров.djvu","Книга шифров.djvu")</f>
        <v>Книга шифров.djvu</v>
      </c>
      <c r="O677" s="5" t="s">
        <v>2754</v>
      </c>
    </row>
    <row r="678" spans="1:15" ht="138" x14ac:dyDescent="0.3">
      <c r="A678" s="2">
        <v>677</v>
      </c>
      <c r="B678" s="3" t="s">
        <v>2755</v>
      </c>
      <c r="C678" s="3"/>
      <c r="D678" s="3"/>
      <c r="E678" s="3"/>
      <c r="F678" s="3" t="s">
        <v>2613</v>
      </c>
      <c r="G678" s="3" t="s">
        <v>2132</v>
      </c>
      <c r="H678" s="3" t="s">
        <v>2614</v>
      </c>
      <c r="I678" s="3" t="s">
        <v>20</v>
      </c>
      <c r="J678" s="3">
        <v>44.68</v>
      </c>
      <c r="K678" s="3" t="s">
        <v>21</v>
      </c>
      <c r="L678" s="3" t="s">
        <v>2756</v>
      </c>
      <c r="M678" s="3" t="s">
        <v>2616</v>
      </c>
      <c r="N678" s="6" t="str">
        <f>HYPERLINK("C:\Users\alexa\YandexDisk\Книги\Безопасность\Криптография\Криптографическая_защита_информации.pdf","Криптографическая_защита_информации.pdf")</f>
        <v>Криптографическая_защита_информации.pdf</v>
      </c>
      <c r="O678" s="3" t="s">
        <v>2757</v>
      </c>
    </row>
    <row r="679" spans="1:15" ht="151.80000000000001" x14ac:dyDescent="0.3">
      <c r="A679" s="4">
        <v>678</v>
      </c>
      <c r="B679" s="5" t="s">
        <v>2758</v>
      </c>
      <c r="C679" s="5" t="s">
        <v>2759</v>
      </c>
      <c r="D679" s="5" t="s">
        <v>161</v>
      </c>
      <c r="E679" s="5"/>
      <c r="F679" s="5" t="s">
        <v>2613</v>
      </c>
      <c r="G679" s="5" t="s">
        <v>2132</v>
      </c>
      <c r="H679" s="5" t="s">
        <v>2614</v>
      </c>
      <c r="I679" s="5" t="s">
        <v>721</v>
      </c>
      <c r="J679" s="5">
        <v>1.58</v>
      </c>
      <c r="K679" s="5" t="s">
        <v>21</v>
      </c>
      <c r="L679" s="5" t="s">
        <v>2760</v>
      </c>
      <c r="M679" s="5" t="s">
        <v>2616</v>
      </c>
      <c r="N679" s="7" t="str">
        <f>HYPERLINK("C:\Users\alexa\YandexDisk\Книги\Безопасность\Криптография\Криптография в задачах и упражнениях, Осипян В.О., Осипян К.В., 2004.djvu","Криптография в задачах и упражнениях, Осипян В.О., Осипян К.В., 2004.djvu")</f>
        <v>Криптография в задачах и упражнениях, Осипян В.О., Осипян К.В., 2004.djvu</v>
      </c>
      <c r="O679" s="5" t="s">
        <v>2761</v>
      </c>
    </row>
    <row r="680" spans="1:15" ht="124.2" x14ac:dyDescent="0.3">
      <c r="A680" s="2">
        <v>679</v>
      </c>
      <c r="B680" s="3" t="s">
        <v>2762</v>
      </c>
      <c r="C680" s="3" t="s">
        <v>2763</v>
      </c>
      <c r="D680" s="3" t="s">
        <v>32</v>
      </c>
      <c r="E680" s="3"/>
      <c r="F680" s="3" t="s">
        <v>2613</v>
      </c>
      <c r="G680" s="3" t="s">
        <v>2132</v>
      </c>
      <c r="H680" s="3" t="s">
        <v>2614</v>
      </c>
      <c r="I680" s="3" t="s">
        <v>721</v>
      </c>
      <c r="J680" s="3">
        <v>1.35</v>
      </c>
      <c r="K680" s="3" t="s">
        <v>21</v>
      </c>
      <c r="L680" s="3" t="s">
        <v>2764</v>
      </c>
      <c r="M680" s="3" t="s">
        <v>2616</v>
      </c>
      <c r="N680" s="6" t="str">
        <f>HYPERLINK("C:\Users\alexa\YandexDisk\Книги\Безопасность\Криптография\Криптография в информационном мире [2018] Рябко, Фионов .djvu","Криптография в информационном мире [2018] Рябко, Фионов .djvu")</f>
        <v>Криптография в информационном мире [2018] Рябко, Фионов .djvu</v>
      </c>
      <c r="O680" s="3" t="s">
        <v>2765</v>
      </c>
    </row>
    <row r="681" spans="1:15" ht="207" x14ac:dyDescent="0.3">
      <c r="A681" s="4">
        <v>680</v>
      </c>
      <c r="B681" s="5" t="s">
        <v>2766</v>
      </c>
      <c r="C681" s="5" t="s">
        <v>2767</v>
      </c>
      <c r="D681" s="5" t="s">
        <v>71</v>
      </c>
      <c r="E681" s="5" t="s">
        <v>102</v>
      </c>
      <c r="F681" s="5" t="s">
        <v>2613</v>
      </c>
      <c r="G681" s="5" t="s">
        <v>2132</v>
      </c>
      <c r="H681" s="5" t="s">
        <v>2614</v>
      </c>
      <c r="I681" s="5" t="s">
        <v>20</v>
      </c>
      <c r="J681" s="5">
        <v>12.15</v>
      </c>
      <c r="K681" s="5" t="s">
        <v>21</v>
      </c>
      <c r="L681" s="5" t="s">
        <v>2768</v>
      </c>
      <c r="M681" s="5" t="s">
        <v>2616</v>
      </c>
      <c r="N681" s="7" t="str">
        <f>HYPERLINK("C:\Users\alexa\YandexDisk\Книги\Безопасность\Криптография\Криптография с секретным ключом.pdf","Криптография с секретным ключом.pdf")</f>
        <v>Криптография с секретным ключом.pdf</v>
      </c>
      <c r="O681" s="5" t="s">
        <v>2769</v>
      </c>
    </row>
    <row r="682" spans="1:15" ht="179.4" x14ac:dyDescent="0.3">
      <c r="A682" s="2">
        <v>681</v>
      </c>
      <c r="B682" s="3" t="s">
        <v>2770</v>
      </c>
      <c r="C682" s="3" t="s">
        <v>2771</v>
      </c>
      <c r="D682" s="3" t="s">
        <v>59</v>
      </c>
      <c r="E682" s="3" t="s">
        <v>72</v>
      </c>
      <c r="F682" s="3" t="s">
        <v>2613</v>
      </c>
      <c r="G682" s="3" t="s">
        <v>2132</v>
      </c>
      <c r="H682" s="3" t="s">
        <v>2614</v>
      </c>
      <c r="I682" s="3" t="s">
        <v>20</v>
      </c>
      <c r="J682" s="3">
        <v>37.54</v>
      </c>
      <c r="K682" s="3" t="s">
        <v>21</v>
      </c>
      <c r="L682" s="3" t="s">
        <v>2772</v>
      </c>
      <c r="M682" s="3" t="s">
        <v>2616</v>
      </c>
      <c r="N682" s="6" t="str">
        <f>HYPERLINK("C:\Users\alexa\YandexDisk\Книги\Безопасность\Криптография\Криптография_и_взлом_шифров_на_Python_2021_Эл_Свейгарт.pdf","Криптография_и_взлом_шифров_на_Python_2021_Эл_Свейгарт.pdf")</f>
        <v>Криптография_и_взлом_шифров_на_Python_2021_Эл_Свейгарт.pdf</v>
      </c>
      <c r="O682" s="3" t="s">
        <v>2773</v>
      </c>
    </row>
    <row r="683" spans="1:15" ht="193.2" x14ac:dyDescent="0.3">
      <c r="A683" s="4">
        <v>682</v>
      </c>
      <c r="B683" s="5" t="s">
        <v>2766</v>
      </c>
      <c r="C683" s="5" t="s">
        <v>2767</v>
      </c>
      <c r="D683" s="5" t="s">
        <v>27</v>
      </c>
      <c r="E683" s="5"/>
      <c r="F683" s="5" t="s">
        <v>2613</v>
      </c>
      <c r="G683" s="5" t="s">
        <v>2132</v>
      </c>
      <c r="H683" s="5" t="s">
        <v>2614</v>
      </c>
      <c r="I683" s="5" t="s">
        <v>20</v>
      </c>
      <c r="J683" s="5">
        <v>12.14</v>
      </c>
      <c r="K683" s="5" t="s">
        <v>21</v>
      </c>
      <c r="L683" s="5" t="s">
        <v>2774</v>
      </c>
      <c r="M683" s="5" t="s">
        <v>2616</v>
      </c>
      <c r="N683" s="7" t="str">
        <f>HYPERLINK("C:\Users\alexa\YandexDisk\Книги\Безопасность\Криптография\Криптография_с_секретным_ключом_2023_Фрэнк_Рубин_.pdf","Криптография_с_секретным_ключом_2023_Фрэнк_Рубин_.pdf")</f>
        <v>Криптография_с_секретным_ключом_2023_Фрэнк_Рубин_.pdf</v>
      </c>
      <c r="O683" s="5" t="s">
        <v>2775</v>
      </c>
    </row>
    <row r="684" spans="1:15" ht="41.4" x14ac:dyDescent="0.3">
      <c r="A684" s="2">
        <v>683</v>
      </c>
      <c r="B684" s="3" t="s">
        <v>2776</v>
      </c>
      <c r="C684" s="3" t="s">
        <v>1693</v>
      </c>
      <c r="D684" s="3"/>
      <c r="E684" s="3"/>
      <c r="F684" s="3" t="s">
        <v>2613</v>
      </c>
      <c r="G684" s="3" t="s">
        <v>2132</v>
      </c>
      <c r="H684" s="3" t="s">
        <v>2614</v>
      </c>
      <c r="I684" s="3" t="s">
        <v>20</v>
      </c>
      <c r="J684" s="3">
        <v>44.54</v>
      </c>
      <c r="K684" s="3" t="s">
        <v>21</v>
      </c>
      <c r="L684" s="3" t="s">
        <v>2777</v>
      </c>
      <c r="M684" s="3" t="s">
        <v>2616</v>
      </c>
      <c r="N684" s="6" t="str">
        <f>HYPERLINK("C:\Users\alexa\YandexDisk\Книги\Безопасность\Криптография\Курс криптографии.pdf","Курс криптографии.pdf")</f>
        <v>Курс криптографии.pdf</v>
      </c>
      <c r="O684" s="3" t="s">
        <v>930</v>
      </c>
    </row>
    <row r="685" spans="1:15" ht="41.4" x14ac:dyDescent="0.3">
      <c r="A685" s="4">
        <v>684</v>
      </c>
      <c r="B685" s="5" t="s">
        <v>2778</v>
      </c>
      <c r="C685" s="5"/>
      <c r="D685" s="5"/>
      <c r="E685" s="5"/>
      <c r="F685" s="5" t="s">
        <v>2613</v>
      </c>
      <c r="G685" s="5" t="s">
        <v>2132</v>
      </c>
      <c r="H685" s="5" t="s">
        <v>2614</v>
      </c>
      <c r="I685" s="5" t="s">
        <v>519</v>
      </c>
      <c r="J685" s="5">
        <v>21.75</v>
      </c>
      <c r="K685" s="5" t="s">
        <v>21</v>
      </c>
      <c r="L685" s="5" t="s">
        <v>2779</v>
      </c>
      <c r="M685" s="5" t="s">
        <v>2616</v>
      </c>
      <c r="N685" s="7" t="str">
        <f>HYPERLINK("C:\Users\alexa\YandexDisk\Книги\Безопасность\Криптография\Курсовое_проектирование_для_криптографов.zip","Курсовое_проектирование_для_криптографов.zip")</f>
        <v>Курсовое_проектирование_для_криптографов.zip</v>
      </c>
      <c r="O685" s="5" t="s">
        <v>930</v>
      </c>
    </row>
    <row r="686" spans="1:15" ht="220.8" x14ac:dyDescent="0.3">
      <c r="A686" s="2">
        <v>685</v>
      </c>
      <c r="B686" s="3" t="s">
        <v>2780</v>
      </c>
      <c r="C686" s="3" t="s">
        <v>2781</v>
      </c>
      <c r="D686" s="3" t="s">
        <v>172</v>
      </c>
      <c r="E686" s="3" t="s">
        <v>2782</v>
      </c>
      <c r="F686" s="3" t="s">
        <v>2613</v>
      </c>
      <c r="G686" s="3" t="s">
        <v>2132</v>
      </c>
      <c r="H686" s="3" t="s">
        <v>2614</v>
      </c>
      <c r="I686" s="3" t="s">
        <v>20</v>
      </c>
      <c r="J686" s="3">
        <v>0.24</v>
      </c>
      <c r="K686" s="3" t="s">
        <v>21</v>
      </c>
      <c r="L686" s="3" t="s">
        <v>2783</v>
      </c>
      <c r="M686" s="3" t="s">
        <v>2616</v>
      </c>
      <c r="N686" s="6" t="str">
        <f>HYPERLINK("C:\Users\alexa\YandexDisk\Книги\Безопасность\Криптография\Левин М. - PGP. Кодирование и шифрование информации с открытым ключом (2006).pdf","Левин М. - PGP. Кодирование и шифрование информации с открытым ключом (2006).pdf")</f>
        <v>Левин М. - PGP. Кодирование и шифрование информации с открытым ключом (2006).pdf</v>
      </c>
      <c r="O686" s="3" t="s">
        <v>2784</v>
      </c>
    </row>
    <row r="687" spans="1:15" ht="207" x14ac:dyDescent="0.3">
      <c r="A687" s="4">
        <v>686</v>
      </c>
      <c r="B687" s="5" t="s">
        <v>2785</v>
      </c>
      <c r="C687" s="5" t="s">
        <v>2786</v>
      </c>
      <c r="D687" s="5" t="s">
        <v>50</v>
      </c>
      <c r="E687" s="5" t="s">
        <v>998</v>
      </c>
      <c r="F687" s="5" t="s">
        <v>2613</v>
      </c>
      <c r="G687" s="5" t="s">
        <v>2132</v>
      </c>
      <c r="H687" s="5" t="s">
        <v>2614</v>
      </c>
      <c r="I687" s="5" t="s">
        <v>2787</v>
      </c>
      <c r="J687" s="5">
        <v>3.37</v>
      </c>
      <c r="K687" s="5" t="s">
        <v>21</v>
      </c>
      <c r="L687" s="5" t="s">
        <v>2788</v>
      </c>
      <c r="M687" s="5" t="s">
        <v>2616</v>
      </c>
      <c r="N687" s="7" t="str">
        <f>HYPERLINK("C:\Users\alexa\YandexDisk\Книги\Безопасность\Криптография\Манифест криптоанархиста.fb2","Манифест криптоанархиста.fb2")</f>
        <v>Манифест криптоанархиста.fb2</v>
      </c>
      <c r="O687" s="5" t="s">
        <v>2789</v>
      </c>
    </row>
    <row r="688" spans="1:15" ht="165.6" x14ac:dyDescent="0.3">
      <c r="A688" s="2">
        <v>687</v>
      </c>
      <c r="B688" s="3" t="s">
        <v>2790</v>
      </c>
      <c r="C688" s="3" t="s">
        <v>2791</v>
      </c>
      <c r="D688" s="3"/>
      <c r="E688" s="3"/>
      <c r="F688" s="3" t="s">
        <v>2613</v>
      </c>
      <c r="G688" s="3" t="s">
        <v>2132</v>
      </c>
      <c r="H688" s="3" t="s">
        <v>2614</v>
      </c>
      <c r="I688" s="3" t="s">
        <v>721</v>
      </c>
      <c r="J688" s="3">
        <v>13.26</v>
      </c>
      <c r="K688" s="3" t="s">
        <v>21</v>
      </c>
      <c r="L688" s="3" t="s">
        <v>2792</v>
      </c>
      <c r="M688" s="3" t="s">
        <v>2616</v>
      </c>
      <c r="N688" s="6" t="str">
        <f>HYPERLINK("C:\Users\alexa\YandexDisk\Книги\Безопасность\Криптография\Математические основы криптологии - Харин.djvu","Математические основы криптологии - Харин.djvu")</f>
        <v>Математические основы криптологии - Харин.djvu</v>
      </c>
      <c r="O688" s="3" t="s">
        <v>2793</v>
      </c>
    </row>
    <row r="689" spans="1:15" ht="165.6" x14ac:dyDescent="0.3">
      <c r="A689" s="4">
        <v>688</v>
      </c>
      <c r="B689" s="5" t="s">
        <v>2794</v>
      </c>
      <c r="C689" s="5" t="s">
        <v>2795</v>
      </c>
      <c r="D689" s="5" t="s">
        <v>77</v>
      </c>
      <c r="E689" s="5" t="s">
        <v>766</v>
      </c>
      <c r="F689" s="5" t="s">
        <v>2613</v>
      </c>
      <c r="G689" s="5" t="s">
        <v>2132</v>
      </c>
      <c r="H689" s="5" t="s">
        <v>2614</v>
      </c>
      <c r="I689" s="5" t="s">
        <v>20</v>
      </c>
      <c r="J689" s="5">
        <v>0.66</v>
      </c>
      <c r="K689" s="5" t="s">
        <v>21</v>
      </c>
      <c r="L689" s="5" t="s">
        <v>2796</v>
      </c>
      <c r="M689" s="5" t="s">
        <v>2616</v>
      </c>
      <c r="N689" s="7" t="str">
        <f>HYPERLINK("C:\Users\alexa\YandexDisk\Книги\Безопасность\Криптография\Музыкантский_А_И_,_Фурин_В_В_Лекции_по_криптографии_МЦНМО_2019.pdf","Музыкантский_А_И_,_Фурин_В_В_Лекции_по_криптографии_МЦНМО_2019.pdf")</f>
        <v>Музыкантский_А_И_,_Фурин_В_В_Лекции_по_криптографии_МЦНМО_2019.pdf</v>
      </c>
      <c r="O689" s="5" t="s">
        <v>2797</v>
      </c>
    </row>
    <row r="690" spans="1:15" ht="179.4" x14ac:dyDescent="0.3">
      <c r="A690" s="2">
        <v>689</v>
      </c>
      <c r="B690" s="3" t="s">
        <v>2798</v>
      </c>
      <c r="C690" s="3" t="s">
        <v>2799</v>
      </c>
      <c r="D690" s="3" t="s">
        <v>17</v>
      </c>
      <c r="E690" s="3" t="s">
        <v>102</v>
      </c>
      <c r="F690" s="3" t="s">
        <v>2613</v>
      </c>
      <c r="G690" s="3" t="s">
        <v>2132</v>
      </c>
      <c r="H690" s="3" t="s">
        <v>2614</v>
      </c>
      <c r="I690" s="3" t="s">
        <v>20</v>
      </c>
      <c r="J690" s="3">
        <v>26.52</v>
      </c>
      <c r="K690" s="3" t="s">
        <v>21</v>
      </c>
      <c r="L690" s="3" t="s">
        <v>2800</v>
      </c>
      <c r="M690" s="3" t="s">
        <v>2616</v>
      </c>
      <c r="N690" s="6" t="str">
        <f>HYPERLINK("C:\Users\alexa\YandexDisk\Книги\Безопасность\Криптография\О криптографии всерьез.pdf","О криптографии всерьез.pdf")</f>
        <v>О криптографии всерьез.pdf</v>
      </c>
      <c r="O690" s="3" t="s">
        <v>2801</v>
      </c>
    </row>
    <row r="691" spans="1:15" ht="193.2" x14ac:dyDescent="0.3">
      <c r="A691" s="4">
        <v>690</v>
      </c>
      <c r="B691" s="5" t="s">
        <v>2802</v>
      </c>
      <c r="C691" s="5" t="s">
        <v>2803</v>
      </c>
      <c r="D691" s="5" t="s">
        <v>114</v>
      </c>
      <c r="E691" s="5" t="s">
        <v>2804</v>
      </c>
      <c r="F691" s="5" t="s">
        <v>2613</v>
      </c>
      <c r="G691" s="5" t="s">
        <v>2132</v>
      </c>
      <c r="H691" s="5" t="s">
        <v>2614</v>
      </c>
      <c r="I691" s="5" t="s">
        <v>20</v>
      </c>
      <c r="J691" s="5">
        <v>4.53</v>
      </c>
      <c r="K691" s="5" t="s">
        <v>21</v>
      </c>
      <c r="L691" s="5" t="s">
        <v>2805</v>
      </c>
      <c r="M691" s="5" t="s">
        <v>2616</v>
      </c>
      <c r="N691" s="7" t="str">
        <f>HYPERLINK("C:\Users\alexa\YandexDisk\Книги\Безопасность\Криптография\Основы криптографии 2016.pdf","Основы криптографии 2016.pdf")</f>
        <v>Основы криптографии 2016.pdf</v>
      </c>
      <c r="O691" s="5" t="s">
        <v>2806</v>
      </c>
    </row>
    <row r="692" spans="1:15" ht="151.80000000000001" x14ac:dyDescent="0.3">
      <c r="A692" s="2">
        <v>691</v>
      </c>
      <c r="B692" s="3" t="s">
        <v>2807</v>
      </c>
      <c r="C692" s="3" t="s">
        <v>2808</v>
      </c>
      <c r="D692" s="3" t="s">
        <v>2745</v>
      </c>
      <c r="E692" s="3"/>
      <c r="F692" s="3" t="s">
        <v>2613</v>
      </c>
      <c r="G692" s="3" t="s">
        <v>2132</v>
      </c>
      <c r="H692" s="3" t="s">
        <v>2614</v>
      </c>
      <c r="I692" s="3" t="s">
        <v>721</v>
      </c>
      <c r="J692" s="3">
        <v>8.59</v>
      </c>
      <c r="K692" s="3" t="s">
        <v>21</v>
      </c>
      <c r="L692" s="3" t="s">
        <v>2809</v>
      </c>
      <c r="M692" s="3" t="s">
        <v>2616</v>
      </c>
      <c r="N692" s="6" t="str">
        <f>HYPERLINK("C:\Users\alexa\YandexDisk\Книги\Безопасность\Криптография\Основы криптологии, Профессиональное руководство и интерактивный учебник, Тилборг ван Х.К.А., 2000.djvu","Основы криптологии, Профессиональное руководство и интерактивный учебник, Тилборг ван Х.К.А., 2000.djvu")</f>
        <v>Основы криптологии, Профессиональное руководство и интерактивный учебник, Тилборг ван Х.К.А., 2000.djvu</v>
      </c>
      <c r="O692" s="3" t="s">
        <v>2810</v>
      </c>
    </row>
    <row r="693" spans="1:15" ht="193.2" x14ac:dyDescent="0.3">
      <c r="A693" s="4">
        <v>692</v>
      </c>
      <c r="B693" s="5" t="s">
        <v>2811</v>
      </c>
      <c r="C693" s="5" t="s">
        <v>2812</v>
      </c>
      <c r="D693" s="5" t="s">
        <v>109</v>
      </c>
      <c r="E693" s="5" t="s">
        <v>2813</v>
      </c>
      <c r="F693" s="5" t="s">
        <v>2613</v>
      </c>
      <c r="G693" s="5" t="s">
        <v>2132</v>
      </c>
      <c r="H693" s="5" t="s">
        <v>2614</v>
      </c>
      <c r="I693" s="5" t="s">
        <v>20</v>
      </c>
      <c r="J693" s="5">
        <v>26.43</v>
      </c>
      <c r="K693" s="5" t="s">
        <v>21</v>
      </c>
      <c r="L693" s="5" t="s">
        <v>2814</v>
      </c>
      <c r="M693" s="5" t="s">
        <v>2616</v>
      </c>
      <c r="N693" s="7" t="str">
        <f>HYPERLINK("C:\Users\alexa\YandexDisk\Книги\Безопасность\Криптография\Основы математической логики и криптографии.pdf","Основы математической логики и криптографии.pdf")</f>
        <v>Основы математической логики и криптографии.pdf</v>
      </c>
      <c r="O693" s="5" t="s">
        <v>2815</v>
      </c>
    </row>
    <row r="694" spans="1:15" ht="165.6" x14ac:dyDescent="0.3">
      <c r="A694" s="2">
        <v>693</v>
      </c>
      <c r="B694" s="3" t="s">
        <v>2816</v>
      </c>
      <c r="C694" s="3" t="s">
        <v>2709</v>
      </c>
      <c r="D694" s="3"/>
      <c r="E694" s="3"/>
      <c r="F694" s="3" t="s">
        <v>2613</v>
      </c>
      <c r="G694" s="3" t="s">
        <v>2132</v>
      </c>
      <c r="H694" s="3" t="s">
        <v>2614</v>
      </c>
      <c r="I694" s="3" t="s">
        <v>721</v>
      </c>
      <c r="J694" s="3">
        <v>7.41</v>
      </c>
      <c r="K694" s="3" t="s">
        <v>21</v>
      </c>
      <c r="L694" s="3" t="s">
        <v>2817</v>
      </c>
      <c r="M694" s="3" t="s">
        <v>2616</v>
      </c>
      <c r="N694" s="6" t="str">
        <f>HYPERLINK("C:\Users\alexa\YandexDisk\Книги\Безопасность\Криптография\Панасенко Алгоритмы шифрования Справочник.djvu","Панасенко Алгоритмы шифрования Справочник.djvu")</f>
        <v>Панасенко Алгоритмы шифрования Справочник.djvu</v>
      </c>
      <c r="O694" s="3" t="s">
        <v>2818</v>
      </c>
    </row>
    <row r="695" spans="1:15" ht="165.6" x14ac:dyDescent="0.3">
      <c r="A695" s="4">
        <v>694</v>
      </c>
      <c r="B695" s="5" t="s">
        <v>2622</v>
      </c>
      <c r="C695" s="5" t="s">
        <v>2819</v>
      </c>
      <c r="D695" s="5" t="s">
        <v>2624</v>
      </c>
      <c r="E695" s="5"/>
      <c r="F695" s="5" t="s">
        <v>2613</v>
      </c>
      <c r="G695" s="5" t="s">
        <v>2132</v>
      </c>
      <c r="H695" s="5" t="s">
        <v>2614</v>
      </c>
      <c r="I695" s="5" t="s">
        <v>721</v>
      </c>
      <c r="J695" s="5">
        <v>6.16</v>
      </c>
      <c r="K695" s="5" t="s">
        <v>21</v>
      </c>
      <c r="L695" s="5" t="s">
        <v>2820</v>
      </c>
      <c r="M695" s="5" t="s">
        <v>2616</v>
      </c>
      <c r="N695" s="7" t="str">
        <f>HYPERLINK("C:\Users\alexa\YandexDisk\Книги\Безопасность\Криптография\Практическая криптография. Алгоритмы и их программирование [2009] Аграновский, Хади.djvu","Практическая криптография. Алгоритмы и их программирование [2009] Аграновский, Хади.djvu")</f>
        <v>Практическая криптография. Алгоритмы и их программирование [2009] Аграновский, Хади.djvu</v>
      </c>
      <c r="O695" s="5" t="s">
        <v>2821</v>
      </c>
    </row>
    <row r="696" spans="1:15" ht="41.4" x14ac:dyDescent="0.3">
      <c r="A696" s="2">
        <v>695</v>
      </c>
      <c r="B696" s="3" t="s">
        <v>2822</v>
      </c>
      <c r="C696" s="3" t="s">
        <v>2823</v>
      </c>
      <c r="D696" s="3" t="s">
        <v>2824</v>
      </c>
      <c r="E696" s="3"/>
      <c r="F696" s="3" t="s">
        <v>2613</v>
      </c>
      <c r="G696" s="3" t="s">
        <v>2132</v>
      </c>
      <c r="H696" s="3" t="s">
        <v>2614</v>
      </c>
      <c r="I696" s="3" t="s">
        <v>20</v>
      </c>
      <c r="J696" s="3">
        <v>3.25</v>
      </c>
      <c r="K696" s="3" t="s">
        <v>21</v>
      </c>
      <c r="L696" s="3" t="s">
        <v>2825</v>
      </c>
      <c r="M696" s="3" t="s">
        <v>2616</v>
      </c>
      <c r="N696" s="6" t="str">
        <f>HYPERLINK("C:\Users\alexa\YandexDisk\Книги\Безопасность\Криптография\Прикладная криптография [2002] Б. Шнайер.pdf","Прикладная криптография [2002] Б. Шнайер.pdf")</f>
        <v>Прикладная криптография [2002] Б. Шнайер.pdf</v>
      </c>
      <c r="O696" s="3" t="s">
        <v>930</v>
      </c>
    </row>
    <row r="697" spans="1:15" ht="179.4" x14ac:dyDescent="0.3">
      <c r="A697" s="4">
        <v>696</v>
      </c>
      <c r="B697" s="5" t="s">
        <v>2826</v>
      </c>
      <c r="C697" s="5" t="s">
        <v>2827</v>
      </c>
      <c r="D697" s="5" t="s">
        <v>59</v>
      </c>
      <c r="E697" s="5" t="s">
        <v>998</v>
      </c>
      <c r="F697" s="5" t="s">
        <v>2613</v>
      </c>
      <c r="G697" s="5" t="s">
        <v>2132</v>
      </c>
      <c r="H697" s="5" t="s">
        <v>2614</v>
      </c>
      <c r="I697" s="5" t="s">
        <v>20</v>
      </c>
      <c r="J697" s="5">
        <v>3.98</v>
      </c>
      <c r="K697" s="5" t="s">
        <v>21</v>
      </c>
      <c r="L697" s="5" t="s">
        <v>2828</v>
      </c>
      <c r="M697" s="5" t="s">
        <v>2616</v>
      </c>
      <c r="N697" s="7" t="str">
        <f>HYPERLINK("C:\Users\alexa\YandexDisk\Книги\Безопасность\Криптография\Про криптографию_Rus_2020.pdf","Про криптографию_Rus_2020.pdf")</f>
        <v>Про криптографию_Rus_2020.pdf</v>
      </c>
      <c r="O697" s="5" t="s">
        <v>2829</v>
      </c>
    </row>
    <row r="698" spans="1:15" ht="179.4" x14ac:dyDescent="0.3">
      <c r="A698" s="2">
        <v>697</v>
      </c>
      <c r="B698" s="3" t="s">
        <v>2830</v>
      </c>
      <c r="C698" s="3" t="s">
        <v>2831</v>
      </c>
      <c r="D698" s="3" t="s">
        <v>837</v>
      </c>
      <c r="E698" s="3" t="s">
        <v>2832</v>
      </c>
      <c r="F698" s="3" t="s">
        <v>2613</v>
      </c>
      <c r="G698" s="3" t="s">
        <v>2132</v>
      </c>
      <c r="H698" s="3" t="s">
        <v>2614</v>
      </c>
      <c r="I698" s="3" t="s">
        <v>20</v>
      </c>
      <c r="J698" s="3">
        <v>8.1300000000000008</v>
      </c>
      <c r="K698" s="3" t="s">
        <v>21</v>
      </c>
      <c r="L698" s="3" t="s">
        <v>2833</v>
      </c>
      <c r="M698" s="3" t="s">
        <v>2616</v>
      </c>
      <c r="N698" s="6" t="str">
        <f>HYPERLINK("C:\Users\alexa\YandexDisk\Книги\Безопасность\Криптография\Простые числа-Криптографические и вычислительные аспекты.pdf","Простые числа-Криптографические и вычислительные аспекты.pdf")</f>
        <v>Простые числа-Криптографические и вычислительные аспекты.pdf</v>
      </c>
      <c r="O698" s="3" t="s">
        <v>2834</v>
      </c>
    </row>
    <row r="699" spans="1:15" ht="220.8" x14ac:dyDescent="0.3">
      <c r="A699" s="4">
        <v>698</v>
      </c>
      <c r="B699" s="5" t="s">
        <v>2835</v>
      </c>
      <c r="C699" s="5" t="s">
        <v>2836</v>
      </c>
      <c r="D699" s="5" t="s">
        <v>1560</v>
      </c>
      <c r="E699" s="5" t="s">
        <v>2837</v>
      </c>
      <c r="F699" s="5" t="s">
        <v>2613</v>
      </c>
      <c r="G699" s="5" t="s">
        <v>2132</v>
      </c>
      <c r="H699" s="5" t="s">
        <v>2614</v>
      </c>
      <c r="I699" s="5" t="s">
        <v>20</v>
      </c>
      <c r="J699" s="5">
        <v>20.34</v>
      </c>
      <c r="K699" s="5" t="s">
        <v>21</v>
      </c>
      <c r="L699" s="5" t="s">
        <v>2838</v>
      </c>
      <c r="M699" s="5" t="s">
        <v>2616</v>
      </c>
      <c r="N699" s="7" t="str">
        <f>HYPERLINK("C:\Users\alexa\YandexDisk\Книги\Безопасность\Криптография\Расшифрованные секреты.pdf","Расшифрованные секреты.pdf")</f>
        <v>Расшифрованные секреты.pdf</v>
      </c>
      <c r="O699" s="5" t="s">
        <v>2839</v>
      </c>
    </row>
    <row r="700" spans="1:15" ht="248.4" x14ac:dyDescent="0.3">
      <c r="A700" s="2">
        <v>699</v>
      </c>
      <c r="B700" s="3" t="s">
        <v>2639</v>
      </c>
      <c r="C700" s="3" t="s">
        <v>2640</v>
      </c>
      <c r="D700" s="3" t="s">
        <v>109</v>
      </c>
      <c r="E700" s="3" t="s">
        <v>18</v>
      </c>
      <c r="F700" s="3" t="s">
        <v>2613</v>
      </c>
      <c r="G700" s="3" t="s">
        <v>2132</v>
      </c>
      <c r="H700" s="3" t="s">
        <v>2614</v>
      </c>
      <c r="I700" s="3" t="s">
        <v>519</v>
      </c>
      <c r="J700" s="3">
        <v>70.31</v>
      </c>
      <c r="K700" s="3" t="s">
        <v>21</v>
      </c>
      <c r="L700" s="3" t="s">
        <v>2840</v>
      </c>
      <c r="M700" s="3" t="s">
        <v>2616</v>
      </c>
      <c r="N700" s="6" t="str">
        <f>HYPERLINK("C:\Users\alexa\YandexDisk\Книги\Безопасность\Криптография\Реальная криптография.zip","Реальная криптография.zip")</f>
        <v>Реальная криптография.zip</v>
      </c>
      <c r="O700" s="3" t="s">
        <v>2841</v>
      </c>
    </row>
    <row r="701" spans="1:15" ht="165.6" x14ac:dyDescent="0.3">
      <c r="A701" s="4">
        <v>700</v>
      </c>
      <c r="B701" s="5" t="s">
        <v>2842</v>
      </c>
      <c r="C701" s="5" t="s">
        <v>2843</v>
      </c>
      <c r="D701" s="5" t="s">
        <v>1565</v>
      </c>
      <c r="E701" s="5" t="s">
        <v>2844</v>
      </c>
      <c r="F701" s="5" t="s">
        <v>2613</v>
      </c>
      <c r="G701" s="5" t="s">
        <v>2132</v>
      </c>
      <c r="H701" s="5" t="s">
        <v>2614</v>
      </c>
      <c r="I701" s="5" t="s">
        <v>20</v>
      </c>
      <c r="J701" s="5">
        <v>1.41</v>
      </c>
      <c r="K701" s="5" t="s">
        <v>21</v>
      </c>
      <c r="L701" s="5" t="s">
        <v>2845</v>
      </c>
      <c r="M701" s="5" t="s">
        <v>2616</v>
      </c>
      <c r="N701" s="7" t="str">
        <f>HYPERLINK("C:\Users\alexa\YandexDisk\Книги\Безопасность\Криптография\Рябко,_Фионов_Крипт_методы_защиты.pdf","Рябко,_Фионов_Крипт_методы_защиты.pdf")</f>
        <v>Рябко,_Фионов_Крипт_методы_защиты.pdf</v>
      </c>
      <c r="O701" s="5" t="s">
        <v>2846</v>
      </c>
    </row>
    <row r="702" spans="1:15" ht="165.6" x14ac:dyDescent="0.3">
      <c r="A702" s="2">
        <v>701</v>
      </c>
      <c r="B702" s="3" t="s">
        <v>2847</v>
      </c>
      <c r="C702" s="3" t="s">
        <v>2848</v>
      </c>
      <c r="D702" s="3" t="s">
        <v>2849</v>
      </c>
      <c r="E702" s="3" t="s">
        <v>2850</v>
      </c>
      <c r="F702" s="3" t="s">
        <v>2613</v>
      </c>
      <c r="G702" s="3" t="s">
        <v>2132</v>
      </c>
      <c r="H702" s="3" t="s">
        <v>2614</v>
      </c>
      <c r="I702" s="3" t="s">
        <v>721</v>
      </c>
      <c r="J702" s="3">
        <v>2.7</v>
      </c>
      <c r="K702" s="3" t="s">
        <v>21</v>
      </c>
      <c r="L702" s="3" t="s">
        <v>2851</v>
      </c>
      <c r="M702" s="3" t="s">
        <v>2616</v>
      </c>
      <c r="N702" s="6" t="str">
        <f>HYPERLINK("C:\Users\alexa\YandexDisk\Книги\Безопасность\Криптография\С. Коутинхо (S. C. Coutinho). - Введение в теорию чисел. Алгоритм RSA-Постмаркет (2001).djvu","С. Коутинхо (S. C. Coutinho). - Введение в теорию чисел. Алгоритм RSA-Постмаркет (2001).djvu")</f>
        <v>С. Коутинхо (S. C. Coutinho). - Введение в теорию чисел. Алгоритм RSA-Постмаркет (2001).djvu</v>
      </c>
      <c r="O702" s="3" t="s">
        <v>2852</v>
      </c>
    </row>
    <row r="703" spans="1:15" ht="138" x14ac:dyDescent="0.3">
      <c r="A703" s="4">
        <v>702</v>
      </c>
      <c r="B703" s="5" t="s">
        <v>2853</v>
      </c>
      <c r="C703" s="5" t="s">
        <v>2854</v>
      </c>
      <c r="D703" s="5" t="s">
        <v>2824</v>
      </c>
      <c r="E703" s="5"/>
      <c r="F703" s="5" t="s">
        <v>2613</v>
      </c>
      <c r="G703" s="5" t="s">
        <v>2132</v>
      </c>
      <c r="H703" s="5" t="s">
        <v>2614</v>
      </c>
      <c r="I703" s="5" t="s">
        <v>721</v>
      </c>
      <c r="J703" s="5">
        <v>1.44</v>
      </c>
      <c r="K703" s="5" t="s">
        <v>21</v>
      </c>
      <c r="L703" s="5" t="s">
        <v>2855</v>
      </c>
      <c r="M703" s="5" t="s">
        <v>2616</v>
      </c>
      <c r="N703" s="7" t="str">
        <f>HYPERLINK("C:\Users\alexa\YandexDisk\Книги\Безопасность\Криптография\Сидельников В.М. - Статьи по криптографии (2002).djvu","Сидельников В.М. - Статьи по криптографии (2002).djvu")</f>
        <v>Сидельников В.М. - Статьи по криптографии (2002).djvu</v>
      </c>
      <c r="O703" s="5" t="s">
        <v>2856</v>
      </c>
    </row>
    <row r="704" spans="1:15" ht="207" x14ac:dyDescent="0.3">
      <c r="A704" s="2">
        <v>703</v>
      </c>
      <c r="B704" s="3" t="s">
        <v>2614</v>
      </c>
      <c r="C704" s="3" t="s">
        <v>2857</v>
      </c>
      <c r="D704" s="3" t="s">
        <v>1565</v>
      </c>
      <c r="E704" s="3" t="s">
        <v>162</v>
      </c>
      <c r="F704" s="3" t="s">
        <v>2613</v>
      </c>
      <c r="G704" s="3" t="s">
        <v>2132</v>
      </c>
      <c r="H704" s="3" t="s">
        <v>2614</v>
      </c>
      <c r="I704" s="3" t="s">
        <v>20</v>
      </c>
      <c r="J704" s="3">
        <v>8.11</v>
      </c>
      <c r="K704" s="3" t="s">
        <v>21</v>
      </c>
      <c r="L704" s="3" t="s">
        <v>2858</v>
      </c>
      <c r="M704" s="3" t="s">
        <v>2616</v>
      </c>
      <c r="N704" s="6" t="str">
        <f>HYPERLINK("C:\Users\alexa\YandexDisk\Книги\Безопасность\Криптография\Смарт Н. - Криптография для специалистов, работающих в области ЗИ.pdf","Смарт Н. - Криптография для специалистов, работающих в области ЗИ.pdf")</f>
        <v>Смарт Н. - Криптография для специалистов, работающих в области ЗИ.pdf</v>
      </c>
      <c r="O704" s="3" t="s">
        <v>2859</v>
      </c>
    </row>
    <row r="705" spans="1:15" ht="193.2" x14ac:dyDescent="0.3">
      <c r="A705" s="4">
        <v>704</v>
      </c>
      <c r="B705" s="5" t="s">
        <v>2860</v>
      </c>
      <c r="C705" s="5" t="s">
        <v>2861</v>
      </c>
      <c r="D705" s="5" t="s">
        <v>1565</v>
      </c>
      <c r="E705" s="5"/>
      <c r="F705" s="5" t="s">
        <v>2613</v>
      </c>
      <c r="G705" s="5" t="s">
        <v>2132</v>
      </c>
      <c r="H705" s="5" t="s">
        <v>2614</v>
      </c>
      <c r="I705" s="5" t="s">
        <v>721</v>
      </c>
      <c r="J705" s="5">
        <v>18.36</v>
      </c>
      <c r="K705" s="5" t="s">
        <v>21</v>
      </c>
      <c r="L705" s="5" t="s">
        <v>2862</v>
      </c>
      <c r="M705" s="5" t="s">
        <v>2616</v>
      </c>
      <c r="N705" s="7" t="str">
        <f>HYPERLINK("C:\Users\alexa\YandexDisk\Книги\Безопасность\Криптография\Современная криптография. Теория и практика [2005] Венбо Мао.djvu","Современная криптография. Теория и практика [2005] Венбо Мао.djvu")</f>
        <v>Современная криптография. Теория и практика [2005] Венбо Мао.djvu</v>
      </c>
      <c r="O705" s="5" t="s">
        <v>2863</v>
      </c>
    </row>
    <row r="706" spans="1:15" ht="124.2" x14ac:dyDescent="0.3">
      <c r="A706" s="2">
        <v>705</v>
      </c>
      <c r="B706" s="3" t="s">
        <v>2864</v>
      </c>
      <c r="C706" s="3" t="s">
        <v>2865</v>
      </c>
      <c r="D706" s="3" t="s">
        <v>2824</v>
      </c>
      <c r="E706" s="3"/>
      <c r="F706" s="3" t="s">
        <v>2613</v>
      </c>
      <c r="G706" s="3" t="s">
        <v>2132</v>
      </c>
      <c r="H706" s="3" t="s">
        <v>2614</v>
      </c>
      <c r="I706" s="3" t="s">
        <v>721</v>
      </c>
      <c r="J706" s="3">
        <v>7.01</v>
      </c>
      <c r="K706" s="3" t="s">
        <v>21</v>
      </c>
      <c r="L706" s="3" t="s">
        <v>2866</v>
      </c>
      <c r="M706" s="3" t="s">
        <v>2616</v>
      </c>
      <c r="N706" s="6" t="str">
        <f>HYPERLINK("C:\Users\alexa\YandexDisk\Книги\Безопасность\Криптография\Стандарт криптографической защиты AES. Конечные поля [2002] Зензин, Иванов.djvu","Стандарт криптографической защиты AES. Конечные поля [2002] Зензин, Иванов.djvu")</f>
        <v>Стандарт криптографической защиты AES. Конечные поля [2002] Зензин, Иванов.djvu</v>
      </c>
      <c r="O706" s="3" t="s">
        <v>2867</v>
      </c>
    </row>
    <row r="707" spans="1:15" ht="124.2" x14ac:dyDescent="0.3">
      <c r="A707" s="4">
        <v>706</v>
      </c>
      <c r="B707" s="5" t="s">
        <v>2868</v>
      </c>
      <c r="C707" s="5" t="s">
        <v>2869</v>
      </c>
      <c r="D707" s="5" t="s">
        <v>172</v>
      </c>
      <c r="E707" s="5"/>
      <c r="F707" s="5" t="s">
        <v>2613</v>
      </c>
      <c r="G707" s="5" t="s">
        <v>2132</v>
      </c>
      <c r="H707" s="5" t="s">
        <v>2614</v>
      </c>
      <c r="I707" s="5" t="s">
        <v>721</v>
      </c>
      <c r="J707" s="5">
        <v>2.8</v>
      </c>
      <c r="K707" s="5" t="s">
        <v>21</v>
      </c>
      <c r="L707" s="5" t="s">
        <v>2870</v>
      </c>
      <c r="M707" s="5" t="s">
        <v>2616</v>
      </c>
      <c r="N707" s="7" t="str">
        <f>HYPERLINK("C:\Users\alexa\YandexDisk\Книги\Безопасность\Криптография\Теоретико-числовые методы в криптографии, Маховенко Е.Б., 2006.djvu","Теоретико-числовые методы в криптографии, Маховенко Е.Б., 2006.djvu")</f>
        <v>Теоретико-числовые методы в криптографии, Маховенко Е.Б., 2006.djvu</v>
      </c>
      <c r="O707" s="5" t="s">
        <v>2871</v>
      </c>
    </row>
    <row r="708" spans="1:15" ht="151.80000000000001" x14ac:dyDescent="0.3">
      <c r="A708" s="2">
        <v>707</v>
      </c>
      <c r="B708" s="3" t="s">
        <v>2872</v>
      </c>
      <c r="C708" s="3" t="s">
        <v>2873</v>
      </c>
      <c r="D708" s="3"/>
      <c r="E708" s="3"/>
      <c r="F708" s="3" t="s">
        <v>2613</v>
      </c>
      <c r="G708" s="3" t="s">
        <v>2132</v>
      </c>
      <c r="H708" s="3" t="s">
        <v>2614</v>
      </c>
      <c r="I708" s="3" t="s">
        <v>721</v>
      </c>
      <c r="J708" s="3">
        <v>10.029999999999999</v>
      </c>
      <c r="K708" s="3" t="s">
        <v>21</v>
      </c>
      <c r="L708" s="3" t="s">
        <v>2874</v>
      </c>
      <c r="M708" s="3" t="s">
        <v>2616</v>
      </c>
      <c r="N708" s="6" t="str">
        <f>HYPERLINK("C:\Users\alexa\YandexDisk\Книги\Безопасность\Криптография\Теоретическая криптография. Ростовцев А.Г., Маховенко Е.Б..djvu","Теоретическая криптография. Ростовцев А.Г., Маховенко Е.Б..djvu")</f>
        <v>Теоретическая криптография. Ростовцев А.Г., Маховенко Е.Б..djvu</v>
      </c>
      <c r="O708" s="3" t="s">
        <v>2875</v>
      </c>
    </row>
    <row r="709" spans="1:15" ht="41.4" x14ac:dyDescent="0.3">
      <c r="A709" s="4">
        <v>708</v>
      </c>
      <c r="B709" s="5" t="s">
        <v>2802</v>
      </c>
      <c r="C709" s="5" t="s">
        <v>2876</v>
      </c>
      <c r="D709" s="5"/>
      <c r="E709" s="5"/>
      <c r="F709" s="5" t="s">
        <v>2613</v>
      </c>
      <c r="G709" s="5" t="s">
        <v>2132</v>
      </c>
      <c r="H709" s="5" t="s">
        <v>2614</v>
      </c>
      <c r="I709" s="5" t="s">
        <v>20</v>
      </c>
      <c r="J709" s="5">
        <v>21.35</v>
      </c>
      <c r="K709" s="5" t="s">
        <v>21</v>
      </c>
      <c r="L709" s="5" t="s">
        <v>2877</v>
      </c>
      <c r="M709" s="5" t="s">
        <v>2616</v>
      </c>
      <c r="N709" s="7" t="str">
        <f>HYPERLINK("C:\Users\alexa\YandexDisk\Книги\Безопасность\Криптография\Тилборг-Основы криптографии.pdf","Тилборг-Основы криптографии.pdf")</f>
        <v>Тилборг-Основы криптографии.pdf</v>
      </c>
      <c r="O709" s="5" t="s">
        <v>930</v>
      </c>
    </row>
    <row r="710" spans="1:15" ht="69" x14ac:dyDescent="0.3">
      <c r="A710" s="2">
        <v>709</v>
      </c>
      <c r="B710" s="3" t="s">
        <v>2878</v>
      </c>
      <c r="C710" s="3" t="s">
        <v>2879</v>
      </c>
      <c r="D710" s="3" t="s">
        <v>65</v>
      </c>
      <c r="E710" s="3" t="s">
        <v>2740</v>
      </c>
      <c r="F710" s="3" t="s">
        <v>2613</v>
      </c>
      <c r="G710" s="3" t="s">
        <v>2132</v>
      </c>
      <c r="H710" s="3" t="s">
        <v>2614</v>
      </c>
      <c r="I710" s="3" t="s">
        <v>20</v>
      </c>
      <c r="J710" s="3">
        <v>10.9</v>
      </c>
      <c r="K710" s="3" t="s">
        <v>21</v>
      </c>
      <c r="L710" s="3" t="s">
        <v>2880</v>
      </c>
      <c r="M710" s="3" t="s">
        <v>2616</v>
      </c>
      <c r="N710" s="6" t="str">
        <f>HYPERLINK("C:\Users\alexa\YandexDisk\Книги\Безопасность\Криптография\Шнайер Б. - Прикладная криптография  Протоколы, алгоритмы, исходные тексты на языке Си-Триумф (2012).pdf","Шнайер Б. - Прикладная криптография  Протоколы, алгоритмы, исходные тексты на языке Си-Триумф (2012).pdf")</f>
        <v>Шнайер Б. - Прикладная криптография  Протоколы, алгоритмы, исходные тексты на языке Си-Триумф (2012).pdf</v>
      </c>
      <c r="O710" s="3" t="s">
        <v>930</v>
      </c>
    </row>
    <row r="711" spans="1:15" ht="151.80000000000001" x14ac:dyDescent="0.3">
      <c r="A711" s="4">
        <v>710</v>
      </c>
      <c r="B711" s="5" t="s">
        <v>2822</v>
      </c>
      <c r="C711" s="5" t="s">
        <v>2879</v>
      </c>
      <c r="D711" s="5" t="s">
        <v>2881</v>
      </c>
      <c r="E711" s="5" t="s">
        <v>2882</v>
      </c>
      <c r="F711" s="5" t="s">
        <v>2613</v>
      </c>
      <c r="G711" s="5" t="s">
        <v>2132</v>
      </c>
      <c r="H711" s="5" t="s">
        <v>2614</v>
      </c>
      <c r="I711" s="5" t="s">
        <v>721</v>
      </c>
      <c r="J711" s="5">
        <v>17.100000000000001</v>
      </c>
      <c r="K711" s="5" t="s">
        <v>21</v>
      </c>
      <c r="L711" s="5" t="s">
        <v>2883</v>
      </c>
      <c r="M711" s="5" t="s">
        <v>2616</v>
      </c>
      <c r="N711" s="7" t="str">
        <f>HYPERLINK("C:\Users\alexa\YandexDisk\Книги\Безопасность\Криптография\Шнайер Б. - Прикладная криптография (Знания и опыт экспертов) - 2003.djvu","Шнайер Б. - Прикладная криптография (Знания и опыт экспертов) - 2003.djvu")</f>
        <v>Шнайер Б. - Прикладная криптография (Знания и опыт экспертов) - 2003.djvu</v>
      </c>
      <c r="O711" s="5" t="s">
        <v>2884</v>
      </c>
    </row>
    <row r="712" spans="1:15" ht="220.8" x14ac:dyDescent="0.3">
      <c r="A712" s="2">
        <v>711</v>
      </c>
      <c r="B712" s="3" t="s">
        <v>2770</v>
      </c>
      <c r="C712" s="3" t="s">
        <v>2771</v>
      </c>
      <c r="D712" s="3" t="s">
        <v>59</v>
      </c>
      <c r="E712" s="3" t="s">
        <v>72</v>
      </c>
      <c r="F712" s="3" t="s">
        <v>2613</v>
      </c>
      <c r="G712" s="3" t="s">
        <v>2132</v>
      </c>
      <c r="H712" s="3" t="s">
        <v>2614</v>
      </c>
      <c r="I712" s="3" t="s">
        <v>20</v>
      </c>
      <c r="J712" s="3">
        <v>37.54</v>
      </c>
      <c r="K712" s="3" t="s">
        <v>21</v>
      </c>
      <c r="L712" s="3" t="s">
        <v>2885</v>
      </c>
      <c r="M712" s="3" t="s">
        <v>2616</v>
      </c>
      <c r="N712" s="6" t="str">
        <f>HYPERLINK("C:\Users\alexa\YandexDisk\Книги\Безопасность\Криптография\Эл_Свейгарт Криптография_и_взлом_шифров_на_Python 2021.pdf","Эл_Свейгарт Криптография_и_взлом_шифров_на_Python 2021.pdf")</f>
        <v>Эл_Свейгарт Криптография_и_взлом_шифров_на_Python 2021.pdf</v>
      </c>
      <c r="O712" s="3" t="s">
        <v>2886</v>
      </c>
    </row>
    <row r="713" spans="1:15" ht="179.4" x14ac:dyDescent="0.3">
      <c r="A713" s="4">
        <v>712</v>
      </c>
      <c r="B713" s="5" t="s">
        <v>2887</v>
      </c>
      <c r="C713" s="5" t="s">
        <v>2888</v>
      </c>
      <c r="D713" s="5" t="s">
        <v>172</v>
      </c>
      <c r="E713" s="5"/>
      <c r="F713" s="5" t="s">
        <v>2613</v>
      </c>
      <c r="G713" s="5" t="s">
        <v>2132</v>
      </c>
      <c r="H713" s="5" t="s">
        <v>2614</v>
      </c>
      <c r="I713" s="5" t="s">
        <v>721</v>
      </c>
      <c r="J713" s="5">
        <v>14.61</v>
      </c>
      <c r="K713" s="5" t="s">
        <v>21</v>
      </c>
      <c r="L713" s="5" t="s">
        <v>2889</v>
      </c>
      <c r="M713" s="5" t="s">
        <v>2616</v>
      </c>
      <c r="N713" s="7" t="str">
        <f>HYPERLINK("C:\Users\alexa\YandexDisk\Книги\Безопасность\Криптография\Элементарное введение в эллиптическую криптографию, Алгебраические и алгоритмические основы [2006] Болотов.djvu","Элементарное введение в эллиптическую криптографию, Алгебраические и алгоритмические основы [2006] Болотов.djvu")</f>
        <v>Элементарное введение в эллиптическую криптографию, Алгебраические и алгоритмические основы [2006] Болотов.djvu</v>
      </c>
      <c r="O713" s="5" t="s">
        <v>2890</v>
      </c>
    </row>
    <row r="714" spans="1:15" ht="207" x14ac:dyDescent="0.3">
      <c r="A714" s="2">
        <v>713</v>
      </c>
      <c r="B714" s="3" t="s">
        <v>2891</v>
      </c>
      <c r="C714" s="3" t="s">
        <v>2892</v>
      </c>
      <c r="D714" s="3" t="s">
        <v>71</v>
      </c>
      <c r="E714" s="3" t="s">
        <v>72</v>
      </c>
      <c r="F714" s="3" t="s">
        <v>2893</v>
      </c>
      <c r="G714" s="3" t="s">
        <v>2132</v>
      </c>
      <c r="H714" s="3" t="s">
        <v>2894</v>
      </c>
      <c r="I714" s="3" t="s">
        <v>20</v>
      </c>
      <c r="J714" s="3">
        <v>46.47</v>
      </c>
      <c r="K714" s="3" t="s">
        <v>21</v>
      </c>
      <c r="L714" s="3" t="s">
        <v>2895</v>
      </c>
      <c r="M714" s="3" t="s">
        <v>2896</v>
      </c>
      <c r="N714" s="6" t="str">
        <f>HYPERLINK("C:\Users\alexa\YandexDisk\Книги\Безопасность\Пентестинг\!Занимайся_хакингом.pdf","!Занимайся_хакингом.pdf")</f>
        <v>!Занимайся_хакингом.pdf</v>
      </c>
      <c r="O714" s="3" t="s">
        <v>2897</v>
      </c>
    </row>
    <row r="715" spans="1:15" ht="179.4" x14ac:dyDescent="0.3">
      <c r="A715" s="4">
        <v>714</v>
      </c>
      <c r="B715" s="5" t="s">
        <v>2898</v>
      </c>
      <c r="C715" s="5"/>
      <c r="D715" s="5"/>
      <c r="E715" s="5"/>
      <c r="F715" s="5" t="s">
        <v>2893</v>
      </c>
      <c r="G715" s="5" t="s">
        <v>2132</v>
      </c>
      <c r="H715" s="5" t="s">
        <v>2894</v>
      </c>
      <c r="I715" s="5" t="s">
        <v>20</v>
      </c>
      <c r="J715" s="5">
        <v>74.36</v>
      </c>
      <c r="K715" s="5" t="s">
        <v>21</v>
      </c>
      <c r="L715" s="5" t="s">
        <v>2899</v>
      </c>
      <c r="M715" s="5" t="s">
        <v>2896</v>
      </c>
      <c r="N715" s="7" t="str">
        <f>HYPERLINK("C:\Users\alexa\YandexDisk\Книги\Безопасность\Пентестинг\Active Directory глазами хакера.pdf","Active Directory глазами хакера.pdf")</f>
        <v>Active Directory глазами хакера.pdf</v>
      </c>
      <c r="O715" s="5" t="s">
        <v>2900</v>
      </c>
    </row>
    <row r="716" spans="1:15" ht="179.4" x14ac:dyDescent="0.3">
      <c r="A716" s="2">
        <v>715</v>
      </c>
      <c r="B716" s="3" t="s">
        <v>2901</v>
      </c>
      <c r="C716" s="3" t="s">
        <v>2380</v>
      </c>
      <c r="D716" s="3" t="s">
        <v>32</v>
      </c>
      <c r="E716" s="3" t="s">
        <v>72</v>
      </c>
      <c r="F716" s="3" t="s">
        <v>2893</v>
      </c>
      <c r="G716" s="3" t="s">
        <v>2132</v>
      </c>
      <c r="H716" s="3" t="s">
        <v>2894</v>
      </c>
      <c r="I716" s="3" t="s">
        <v>20</v>
      </c>
      <c r="J716" s="3">
        <v>12.1</v>
      </c>
      <c r="K716" s="3" t="s">
        <v>21</v>
      </c>
      <c r="L716" s="3" t="s">
        <v>2902</v>
      </c>
      <c r="M716" s="3" t="s">
        <v>2896</v>
      </c>
      <c r="N716" s="6" t="str">
        <f>HYPERLINK("C:\Users\alexa\YandexDisk\Книги\Безопасность\Пентестинг\Attacking_Network_Protocols_A_Hacker’s_Guide_to_Capture,_Analysis.pdf","Attacking_Network_Protocols_A_Hacker’s_Guide_to_Capture,_Analysis.pdf")</f>
        <v>Attacking_Network_Protocols_A_Hacker’s_Guide_to_Capture,_Analysis.pdf</v>
      </c>
      <c r="O716" s="3" t="s">
        <v>2903</v>
      </c>
    </row>
    <row r="717" spans="1:15" ht="179.4" x14ac:dyDescent="0.3">
      <c r="A717" s="4">
        <v>716</v>
      </c>
      <c r="B717" s="5" t="s">
        <v>2904</v>
      </c>
      <c r="C717" s="5" t="s">
        <v>2905</v>
      </c>
      <c r="D717" s="5"/>
      <c r="E717" s="5"/>
      <c r="F717" s="5" t="s">
        <v>2893</v>
      </c>
      <c r="G717" s="5" t="s">
        <v>2132</v>
      </c>
      <c r="H717" s="5" t="s">
        <v>2894</v>
      </c>
      <c r="I717" s="5" t="s">
        <v>20</v>
      </c>
      <c r="J717" s="5">
        <v>7.22</v>
      </c>
      <c r="K717" s="5" t="s">
        <v>21</v>
      </c>
      <c r="L717" s="5" t="s">
        <v>2906</v>
      </c>
      <c r="M717" s="5" t="s">
        <v>2896</v>
      </c>
      <c r="N717" s="7" t="str">
        <f>HYPERLINK("C:\Users\alexa\YandexDisk\Книги\Безопасность\Пентестинг\black-hat-go-programming-pentesters.pdf","black-hat-go-programming-pentesters.pdf")</f>
        <v>black-hat-go-programming-pentesters.pdf</v>
      </c>
      <c r="O717" s="5" t="s">
        <v>2907</v>
      </c>
    </row>
    <row r="718" spans="1:15" ht="151.80000000000001" x14ac:dyDescent="0.3">
      <c r="A718" s="2">
        <v>717</v>
      </c>
      <c r="B718" s="3" t="s">
        <v>2908</v>
      </c>
      <c r="C718" s="3" t="s">
        <v>2909</v>
      </c>
      <c r="D718" s="3" t="s">
        <v>17</v>
      </c>
      <c r="E718" s="3" t="s">
        <v>587</v>
      </c>
      <c r="F718" s="3" t="s">
        <v>2893</v>
      </c>
      <c r="G718" s="3" t="s">
        <v>2132</v>
      </c>
      <c r="H718" s="3" t="s">
        <v>2894</v>
      </c>
      <c r="I718" s="3" t="s">
        <v>20</v>
      </c>
      <c r="J718" s="3">
        <v>13.65</v>
      </c>
      <c r="K718" s="3" t="s">
        <v>21</v>
      </c>
      <c r="L718" s="3" t="s">
        <v>2910</v>
      </c>
      <c r="M718" s="3" t="s">
        <v>2896</v>
      </c>
      <c r="N718" s="6" t="str">
        <f>HYPERLINK("C:\Users\alexa\YandexDisk\Книги\Безопасность\Пентестинг\Black_Hat_Python_Python_Programming_for Hackers.pdf","Black_Hat_Python_Python_Programming_for Hackers.pdf")</f>
        <v>Black_Hat_Python_Python_Programming_for Hackers.pdf</v>
      </c>
      <c r="O718" s="3" t="s">
        <v>2911</v>
      </c>
    </row>
    <row r="719" spans="1:15" ht="193.2" x14ac:dyDescent="0.3">
      <c r="A719" s="4">
        <v>718</v>
      </c>
      <c r="B719" s="5" t="s">
        <v>2912</v>
      </c>
      <c r="C719" s="5" t="s">
        <v>2913</v>
      </c>
      <c r="D719" s="5" t="s">
        <v>77</v>
      </c>
      <c r="E719" s="5" t="s">
        <v>227</v>
      </c>
      <c r="F719" s="5" t="s">
        <v>2893</v>
      </c>
      <c r="G719" s="5" t="s">
        <v>2132</v>
      </c>
      <c r="H719" s="5" t="s">
        <v>2894</v>
      </c>
      <c r="I719" s="5" t="s">
        <v>20</v>
      </c>
      <c r="J719" s="5">
        <v>8.84</v>
      </c>
      <c r="K719" s="5" t="s">
        <v>21</v>
      </c>
      <c r="L719" s="5" t="s">
        <v>2914</v>
      </c>
      <c r="M719" s="5" t="s">
        <v>2896</v>
      </c>
      <c r="N719" s="7" t="str">
        <f>HYPERLINK("C:\Users\alexa\YandexDisk\Книги\Безопасность\Пентестинг\Bug_Bounty_Hunting_For_Web_Security_Find_And_Exploit.pdf","Bug_Bounty_Hunting_For_Web_Security_Find_And_Exploit.pdf")</f>
        <v>Bug_Bounty_Hunting_For_Web_Security_Find_And_Exploit.pdf</v>
      </c>
      <c r="O719" s="5" t="s">
        <v>2915</v>
      </c>
    </row>
    <row r="720" spans="1:15" ht="151.80000000000001" x14ac:dyDescent="0.3">
      <c r="A720" s="2">
        <v>719</v>
      </c>
      <c r="B720" s="3" t="s">
        <v>2916</v>
      </c>
      <c r="C720" s="3" t="s">
        <v>2917</v>
      </c>
      <c r="D720" s="3"/>
      <c r="E720" s="3"/>
      <c r="F720" s="3" t="s">
        <v>2893</v>
      </c>
      <c r="G720" s="3" t="s">
        <v>2132</v>
      </c>
      <c r="H720" s="3" t="s">
        <v>2894</v>
      </c>
      <c r="I720" s="3" t="s">
        <v>20</v>
      </c>
      <c r="J720" s="3">
        <v>24</v>
      </c>
      <c r="K720" s="3" t="s">
        <v>21</v>
      </c>
      <c r="L720" s="3" t="s">
        <v>2918</v>
      </c>
      <c r="M720" s="3" t="s">
        <v>2896</v>
      </c>
      <c r="N720" s="6" t="str">
        <f>HYPERLINK("C:\Users\alexa\YandexDisk\Книги\Безопасность\Пентестинг\Hacking APIs Breaking Web Application.pdf","Hacking APIs Breaking Web Application.pdf")</f>
        <v>Hacking APIs Breaking Web Application.pdf</v>
      </c>
      <c r="O720" s="3" t="s">
        <v>2919</v>
      </c>
    </row>
    <row r="721" spans="1:15" ht="193.2" x14ac:dyDescent="0.3">
      <c r="A721" s="4">
        <v>720</v>
      </c>
      <c r="B721" s="5" t="s">
        <v>2920</v>
      </c>
      <c r="C721" s="5" t="s">
        <v>2921</v>
      </c>
      <c r="D721" s="5" t="s">
        <v>71</v>
      </c>
      <c r="E721" s="5" t="s">
        <v>308</v>
      </c>
      <c r="F721" s="5" t="s">
        <v>2893</v>
      </c>
      <c r="G721" s="5" t="s">
        <v>2132</v>
      </c>
      <c r="H721" s="5" t="s">
        <v>2894</v>
      </c>
      <c r="I721" s="5" t="s">
        <v>20</v>
      </c>
      <c r="J721" s="5">
        <v>16.03</v>
      </c>
      <c r="K721" s="5" t="s">
        <v>21</v>
      </c>
      <c r="L721" s="5" t="s">
        <v>2922</v>
      </c>
      <c r="M721" s="5" t="s">
        <v>2896</v>
      </c>
      <c r="N721" s="7" t="str">
        <f>HYPERLINK("C:\Users\alexa\YandexDisk\Книги\Безопасность\Пентестинг\Hacking For Dummies ... by Kevin Beaver.pdf","Hacking For Dummies ... by Kevin Beaver.pdf")</f>
        <v>Hacking For Dummies ... by Kevin Beaver.pdf</v>
      </c>
      <c r="O721" s="5" t="s">
        <v>2923</v>
      </c>
    </row>
    <row r="722" spans="1:15" ht="179.4" x14ac:dyDescent="0.3">
      <c r="A722" s="2">
        <v>721</v>
      </c>
      <c r="B722" s="3" t="s">
        <v>2920</v>
      </c>
      <c r="C722" s="3" t="s">
        <v>2921</v>
      </c>
      <c r="D722" s="3" t="s">
        <v>71</v>
      </c>
      <c r="E722" s="3" t="s">
        <v>308</v>
      </c>
      <c r="F722" s="3" t="s">
        <v>2893</v>
      </c>
      <c r="G722" s="3" t="s">
        <v>2132</v>
      </c>
      <c r="H722" s="3" t="s">
        <v>2894</v>
      </c>
      <c r="I722" s="3" t="s">
        <v>20</v>
      </c>
      <c r="J722" s="3">
        <v>16.03</v>
      </c>
      <c r="K722" s="3" t="s">
        <v>21</v>
      </c>
      <c r="L722" s="3" t="s">
        <v>2924</v>
      </c>
      <c r="M722" s="3" t="s">
        <v>2896</v>
      </c>
      <c r="N722" s="6" t="str">
        <f>HYPERLINK("C:\Users\alexa\YandexDisk\Книги\Безопасность\Пентестинг\Hacking For Dummies, 7th Edition 2022.pdf","Hacking For Dummies, 7th Edition 2022.pdf")</f>
        <v>Hacking For Dummies, 7th Edition 2022.pdf</v>
      </c>
      <c r="O722" s="3" t="s">
        <v>2925</v>
      </c>
    </row>
    <row r="723" spans="1:15" ht="179.4" x14ac:dyDescent="0.3">
      <c r="A723" s="4">
        <v>722</v>
      </c>
      <c r="B723" s="5" t="s">
        <v>2926</v>
      </c>
      <c r="C723" s="5" t="s">
        <v>2927</v>
      </c>
      <c r="D723" s="5" t="s">
        <v>59</v>
      </c>
      <c r="E723" s="5" t="s">
        <v>308</v>
      </c>
      <c r="F723" s="5" t="s">
        <v>2893</v>
      </c>
      <c r="G723" s="5" t="s">
        <v>2132</v>
      </c>
      <c r="H723" s="5" t="s">
        <v>2894</v>
      </c>
      <c r="I723" s="5" t="s">
        <v>20</v>
      </c>
      <c r="J723" s="5">
        <v>12.47</v>
      </c>
      <c r="K723" s="5" t="s">
        <v>21</v>
      </c>
      <c r="L723" s="5" t="s">
        <v>2928</v>
      </c>
      <c r="M723" s="5" t="s">
        <v>2896</v>
      </c>
      <c r="N723" s="7" t="str">
        <f>HYPERLINK("C:\Users\alexa\YandexDisk\Книги\Безопасность\Пентестинг\Hands on Hacking.pdf","Hands on Hacking.pdf")</f>
        <v>Hands on Hacking.pdf</v>
      </c>
      <c r="O723" s="5" t="s">
        <v>2929</v>
      </c>
    </row>
    <row r="724" spans="1:15" ht="151.80000000000001" x14ac:dyDescent="0.3">
      <c r="A724" s="2">
        <v>723</v>
      </c>
      <c r="B724" s="3" t="s">
        <v>2930</v>
      </c>
      <c r="C724" s="3" t="s">
        <v>2931</v>
      </c>
      <c r="D724" s="3" t="s">
        <v>17</v>
      </c>
      <c r="E724" s="3" t="s">
        <v>308</v>
      </c>
      <c r="F724" s="3" t="s">
        <v>2893</v>
      </c>
      <c r="G724" s="3" t="s">
        <v>2132</v>
      </c>
      <c r="H724" s="3" t="s">
        <v>2894</v>
      </c>
      <c r="I724" s="3" t="s">
        <v>20</v>
      </c>
      <c r="J724" s="3">
        <v>29.64</v>
      </c>
      <c r="K724" s="3" t="s">
        <v>21</v>
      </c>
      <c r="L724" s="3" t="s">
        <v>2932</v>
      </c>
      <c r="M724" s="3" t="s">
        <v>2896</v>
      </c>
      <c r="N724" s="6" t="str">
        <f>HYPERLINK("C:\Users\alexa\YandexDisk\Книги\Безопасность\Пентестинг\Kali Linux Penetration Testing Bible.pdf","Kali Linux Penetration Testing Bible.pdf")</f>
        <v>Kali Linux Penetration Testing Bible.pdf</v>
      </c>
      <c r="O724" s="3" t="s">
        <v>2933</v>
      </c>
    </row>
    <row r="725" spans="1:15" ht="165.6" x14ac:dyDescent="0.3">
      <c r="A725" s="4">
        <v>724</v>
      </c>
      <c r="B725" s="5" t="s">
        <v>2934</v>
      </c>
      <c r="C725" s="5" t="s">
        <v>2935</v>
      </c>
      <c r="D725" s="5" t="s">
        <v>109</v>
      </c>
      <c r="E725" s="5" t="s">
        <v>18</v>
      </c>
      <c r="F725" s="5" t="s">
        <v>2893</v>
      </c>
      <c r="G725" s="5" t="s">
        <v>2132</v>
      </c>
      <c r="H725" s="5" t="s">
        <v>2894</v>
      </c>
      <c r="I725" s="5" t="s">
        <v>20</v>
      </c>
      <c r="J725" s="5">
        <v>11.27</v>
      </c>
      <c r="K725" s="5" t="s">
        <v>21</v>
      </c>
      <c r="L725" s="5" t="s">
        <v>2936</v>
      </c>
      <c r="M725" s="5" t="s">
        <v>2896</v>
      </c>
      <c r="N725" s="7" t="str">
        <f>HYPERLINK("C:\Users\alexa\YandexDisk\Книги\Безопасность\Пентестинг\Kali Linux в действии.pdf","Kali Linux в действии.pdf")</f>
        <v>Kali Linux в действии.pdf</v>
      </c>
      <c r="O725" s="5" t="s">
        <v>2937</v>
      </c>
    </row>
    <row r="726" spans="1:15" ht="207" x14ac:dyDescent="0.3">
      <c r="A726" s="2">
        <v>725</v>
      </c>
      <c r="B726" s="3" t="s">
        <v>2938</v>
      </c>
      <c r="C726" s="3" t="s">
        <v>2939</v>
      </c>
      <c r="D726" s="3" t="s">
        <v>77</v>
      </c>
      <c r="E726" s="3" t="s">
        <v>18</v>
      </c>
      <c r="F726" s="3" t="s">
        <v>2893</v>
      </c>
      <c r="G726" s="3" t="s">
        <v>2132</v>
      </c>
      <c r="H726" s="3" t="s">
        <v>2894</v>
      </c>
      <c r="I726" s="3" t="s">
        <v>20</v>
      </c>
      <c r="J726" s="3">
        <v>11.36</v>
      </c>
      <c r="K726" s="3" t="s">
        <v>21</v>
      </c>
      <c r="L726" s="3" t="s">
        <v>2940</v>
      </c>
      <c r="M726" s="3" t="s">
        <v>2896</v>
      </c>
      <c r="N726" s="6" t="str">
        <f>HYPERLINK("C:\Users\alexa\YandexDisk\Книги\Безопасность\Пентестинг\Kali Linux Для_профессионалов_Херцог_Рафаэль.pdf","Kali Linux Для_профессионалов_Херцог_Рафаэль.pdf")</f>
        <v>Kali Linux Для_профессионалов_Херцог_Рафаэль.pdf</v>
      </c>
      <c r="O726" s="3" t="s">
        <v>2941</v>
      </c>
    </row>
    <row r="727" spans="1:15" ht="179.4" x14ac:dyDescent="0.3">
      <c r="A727" s="4">
        <v>726</v>
      </c>
      <c r="B727" s="5" t="s">
        <v>2938</v>
      </c>
      <c r="C727" s="5" t="s">
        <v>2942</v>
      </c>
      <c r="D727" s="5" t="s">
        <v>77</v>
      </c>
      <c r="E727" s="5" t="s">
        <v>18</v>
      </c>
      <c r="F727" s="5" t="s">
        <v>2893</v>
      </c>
      <c r="G727" s="5" t="s">
        <v>2132</v>
      </c>
      <c r="H727" s="5" t="s">
        <v>2894</v>
      </c>
      <c r="I727" s="5" t="s">
        <v>20</v>
      </c>
      <c r="J727" s="5">
        <v>11.42</v>
      </c>
      <c r="K727" s="5" t="s">
        <v>21</v>
      </c>
      <c r="L727" s="5" t="s">
        <v>2943</v>
      </c>
      <c r="M727" s="5" t="s">
        <v>2896</v>
      </c>
      <c r="N727" s="7" t="str">
        <f>HYPERLINK("C:\Users\alexa\YandexDisk\Книги\Безопасность\Пентестинг\Kali Linux от разработчиков.pdf","Kali Linux от разработчиков.pdf")</f>
        <v>Kali Linux от разработчиков.pdf</v>
      </c>
      <c r="O727" s="5" t="s">
        <v>2944</v>
      </c>
    </row>
    <row r="728" spans="1:15" ht="179.4" x14ac:dyDescent="0.3">
      <c r="A728" s="2">
        <v>727</v>
      </c>
      <c r="B728" s="3" t="s">
        <v>2945</v>
      </c>
      <c r="C728" s="3" t="s">
        <v>2946</v>
      </c>
      <c r="D728" s="3" t="s">
        <v>77</v>
      </c>
      <c r="E728" s="3" t="s">
        <v>72</v>
      </c>
      <c r="F728" s="3" t="s">
        <v>2893</v>
      </c>
      <c r="G728" s="3" t="s">
        <v>2132</v>
      </c>
      <c r="H728" s="3" t="s">
        <v>2894</v>
      </c>
      <c r="I728" s="3" t="s">
        <v>20</v>
      </c>
      <c r="J728" s="3">
        <v>8.6999999999999993</v>
      </c>
      <c r="K728" s="3" t="s">
        <v>21</v>
      </c>
      <c r="L728" s="3" t="s">
        <v>2947</v>
      </c>
      <c r="M728" s="3" t="s">
        <v>2896</v>
      </c>
      <c r="N728" s="6" t="str">
        <f>HYPERLINK("C:\Users\alexa\YandexDisk\Книги\Безопасность\Пентестинг\Linux Basics for Hackers.pdf","Linux Basics for Hackers.pdf")</f>
        <v>Linux Basics for Hackers.pdf</v>
      </c>
      <c r="O728" s="3" t="s">
        <v>2948</v>
      </c>
    </row>
    <row r="729" spans="1:15" ht="220.8" x14ac:dyDescent="0.3">
      <c r="A729" s="4">
        <v>728</v>
      </c>
      <c r="B729" s="5" t="s">
        <v>2949</v>
      </c>
      <c r="C729" s="5" t="s">
        <v>2950</v>
      </c>
      <c r="D729" s="5"/>
      <c r="E729" s="5"/>
      <c r="F729" s="5" t="s">
        <v>2893</v>
      </c>
      <c r="G729" s="5" t="s">
        <v>2132</v>
      </c>
      <c r="H729" s="5" t="s">
        <v>2894</v>
      </c>
      <c r="I729" s="5" t="s">
        <v>280</v>
      </c>
      <c r="J729" s="5">
        <v>8.57</v>
      </c>
      <c r="K729" s="5" t="s">
        <v>21</v>
      </c>
      <c r="L729" s="5" t="s">
        <v>2951</v>
      </c>
      <c r="M729" s="5" t="s">
        <v>2896</v>
      </c>
      <c r="N729" s="7" t="str">
        <f>HYPERLINK("C:\Users\alexa\YandexDisk\Книги\Безопасность\Пентестинг\Python_Ethical_Hacking_from_Scratch_Think_like_an_ethical_hacker.epub","Python_Ethical_Hacking_from_Scratch_Think_like_an_ethical_hacker.epub")</f>
        <v>Python_Ethical_Hacking_from_Scratch_Think_like_an_ethical_hacker.epub</v>
      </c>
      <c r="O729" s="5" t="s">
        <v>2952</v>
      </c>
    </row>
    <row r="730" spans="1:15" ht="207" x14ac:dyDescent="0.3">
      <c r="A730" s="2">
        <v>729</v>
      </c>
      <c r="B730" s="3" t="s">
        <v>2953</v>
      </c>
      <c r="C730" s="3" t="s">
        <v>2954</v>
      </c>
      <c r="D730" s="3" t="s">
        <v>59</v>
      </c>
      <c r="E730" s="3" t="s">
        <v>536</v>
      </c>
      <c r="F730" s="3" t="s">
        <v>2893</v>
      </c>
      <c r="G730" s="3" t="s">
        <v>2132</v>
      </c>
      <c r="H730" s="3" t="s">
        <v>2894</v>
      </c>
      <c r="I730" s="3" t="s">
        <v>20</v>
      </c>
      <c r="J730" s="3">
        <v>8.69</v>
      </c>
      <c r="K730" s="3" t="s">
        <v>21</v>
      </c>
      <c r="L730" s="3" t="s">
        <v>2955</v>
      </c>
      <c r="M730" s="3" t="s">
        <v>2896</v>
      </c>
      <c r="N730" s="6" t="str">
        <f>HYPERLINK("C:\Users\alexa\YandexDisk\Книги\Безопасность\Пентестинг\The_Art_of_Network_Penetration_Testing_How_to_take_over_any_company.pdf","The_Art_of_Network_Penetration_Testing_How_to_take_over_any_company.pdf")</f>
        <v>The_Art_of_Network_Penetration_Testing_How_to_take_over_any_company.pdf</v>
      </c>
      <c r="O730" s="3" t="s">
        <v>2956</v>
      </c>
    </row>
    <row r="731" spans="1:15" ht="151.80000000000001" x14ac:dyDescent="0.3">
      <c r="A731" s="4">
        <v>730</v>
      </c>
      <c r="B731" s="5" t="s">
        <v>2957</v>
      </c>
      <c r="C731" s="5" t="s">
        <v>2958</v>
      </c>
      <c r="D731" s="5" t="s">
        <v>27</v>
      </c>
      <c r="E731" s="5" t="s">
        <v>18</v>
      </c>
      <c r="F731" s="5" t="s">
        <v>2893</v>
      </c>
      <c r="G731" s="5" t="s">
        <v>2132</v>
      </c>
      <c r="H731" s="5" t="s">
        <v>2894</v>
      </c>
      <c r="I731" s="5" t="s">
        <v>20</v>
      </c>
      <c r="J731" s="5">
        <v>18.09</v>
      </c>
      <c r="K731" s="5" t="s">
        <v>21</v>
      </c>
      <c r="L731" s="5" t="s">
        <v>2959</v>
      </c>
      <c r="M731" s="5" t="s">
        <v>2896</v>
      </c>
      <c r="N731" s="7" t="str">
        <f>HYPERLINK("C:\Users\alexa\YandexDisk\Книги\Безопасность\Пентестинг\Аппаратный хакинг.pdf","Аппаратный хакинг.pdf")</f>
        <v>Аппаратный хакинг.pdf</v>
      </c>
      <c r="O731" s="5" t="s">
        <v>2960</v>
      </c>
    </row>
    <row r="732" spans="1:15" ht="179.4" x14ac:dyDescent="0.3">
      <c r="A732" s="2">
        <v>731</v>
      </c>
      <c r="B732" s="3" t="s">
        <v>2332</v>
      </c>
      <c r="C732" s="3" t="s">
        <v>2333</v>
      </c>
      <c r="D732" s="3" t="s">
        <v>32</v>
      </c>
      <c r="E732" s="3" t="s">
        <v>18</v>
      </c>
      <c r="F732" s="3" t="s">
        <v>2893</v>
      </c>
      <c r="G732" s="3" t="s">
        <v>2132</v>
      </c>
      <c r="H732" s="3" t="s">
        <v>2894</v>
      </c>
      <c r="I732" s="3" t="s">
        <v>20</v>
      </c>
      <c r="J732" s="3">
        <v>8.59</v>
      </c>
      <c r="K732" s="3" t="s">
        <v>21</v>
      </c>
      <c r="L732" s="3" t="s">
        <v>2961</v>
      </c>
      <c r="M732" s="3" t="s">
        <v>2896</v>
      </c>
      <c r="N732" s="6" t="str">
        <f>HYPERLINK("C:\Users\alexa\YandexDisk\Книги\Безопасность\Пентестинг\Аудит_безопасности_информационных_систем_2.pdf","Аудит_безопасности_информационных_систем_2.pdf")</f>
        <v>Аудит_безопасности_информационных_систем_2.pdf</v>
      </c>
      <c r="O732" s="3" t="s">
        <v>2962</v>
      </c>
    </row>
    <row r="733" spans="1:15" ht="165.6" x14ac:dyDescent="0.3">
      <c r="A733" s="4">
        <v>732</v>
      </c>
      <c r="B733" s="5" t="s">
        <v>2963</v>
      </c>
      <c r="C733" s="5"/>
      <c r="D733" s="5" t="s">
        <v>59</v>
      </c>
      <c r="E733" s="5" t="s">
        <v>402</v>
      </c>
      <c r="F733" s="5" t="s">
        <v>2893</v>
      </c>
      <c r="G733" s="5" t="s">
        <v>2132</v>
      </c>
      <c r="H733" s="5" t="s">
        <v>2894</v>
      </c>
      <c r="I733" s="5" t="s">
        <v>20</v>
      </c>
      <c r="J733" s="5">
        <v>49.57</v>
      </c>
      <c r="K733" s="5" t="s">
        <v>21</v>
      </c>
      <c r="L733" s="5" t="s">
        <v>2964</v>
      </c>
      <c r="M733" s="5" t="s">
        <v>2896</v>
      </c>
      <c r="N733" s="7" t="str">
        <f>HYPERLINK("C:\Users\alexa\YandexDisk\Книги\Безопасность\Пентестинг\Взлом_Приемы,_трюки_и_секреты_хакеров.pdf","Взлом_Приемы,_трюки_и_секреты_хакеров.pdf")</f>
        <v>Взлом_Приемы,_трюки_и_секреты_хакеров.pdf</v>
      </c>
      <c r="O733" s="5" t="s">
        <v>2965</v>
      </c>
    </row>
    <row r="734" spans="1:15" ht="138" x14ac:dyDescent="0.3">
      <c r="A734" s="2">
        <v>733</v>
      </c>
      <c r="B734" s="3" t="s">
        <v>2966</v>
      </c>
      <c r="C734" s="3" t="s">
        <v>2967</v>
      </c>
      <c r="D734" s="3" t="s">
        <v>1560</v>
      </c>
      <c r="E734" s="3"/>
      <c r="F734" s="3" t="s">
        <v>2893</v>
      </c>
      <c r="G734" s="3" t="s">
        <v>2132</v>
      </c>
      <c r="H734" s="3" t="s">
        <v>2894</v>
      </c>
      <c r="I734" s="3" t="s">
        <v>721</v>
      </c>
      <c r="J734" s="3">
        <v>24.28</v>
      </c>
      <c r="K734" s="3" t="s">
        <v>21</v>
      </c>
      <c r="L734" s="3" t="s">
        <v>2968</v>
      </c>
      <c r="M734" s="3" t="s">
        <v>2896</v>
      </c>
      <c r="N734" s="6" t="str">
        <f>HYPERLINK("C:\Users\alexa\YandexDisk\Книги\Безопасность\Пентестинг\Головоломки_для_Хакера_2007_Иван.djvu","Головоломки_для_Хакера_2007_Иван.djvu")</f>
        <v>Головоломки_для_Хакера_2007_Иван.djvu</v>
      </c>
      <c r="O734" s="3" t="s">
        <v>2969</v>
      </c>
    </row>
    <row r="735" spans="1:15" ht="220.8" x14ac:dyDescent="0.3">
      <c r="A735" s="4">
        <v>734</v>
      </c>
      <c r="B735" s="5" t="s">
        <v>2970</v>
      </c>
      <c r="C735" s="5" t="s">
        <v>2971</v>
      </c>
      <c r="D735" s="5"/>
      <c r="E735" s="5"/>
      <c r="F735" s="5" t="s">
        <v>2893</v>
      </c>
      <c r="G735" s="5" t="s">
        <v>2132</v>
      </c>
      <c r="H735" s="5" t="s">
        <v>2894</v>
      </c>
      <c r="I735" s="5" t="s">
        <v>20</v>
      </c>
      <c r="J735" s="5">
        <v>8.2100000000000009</v>
      </c>
      <c r="K735" s="5" t="s">
        <v>21</v>
      </c>
      <c r="L735" s="5" t="s">
        <v>2972</v>
      </c>
      <c r="M735" s="5" t="s">
        <v>2896</v>
      </c>
      <c r="N735" s="7" t="str">
        <f>HYPERLINK("C:\Users\alexa\YandexDisk\Книги\Безопасность\Пентестинг\Занимайся_хакингом_с_ловкостью_порнозвезды.pdf","Занимайся_хакингом_с_ловкостью_порнозвезды.pdf")</f>
        <v>Занимайся_хакингом_с_ловкостью_порнозвезды.pdf</v>
      </c>
      <c r="O735" s="5" t="s">
        <v>2973</v>
      </c>
    </row>
    <row r="736" spans="1:15" ht="193.2" x14ac:dyDescent="0.3">
      <c r="A736" s="2">
        <v>735</v>
      </c>
      <c r="B736" s="3" t="s">
        <v>2974</v>
      </c>
      <c r="C736" s="3" t="s">
        <v>2975</v>
      </c>
      <c r="D736" s="3" t="s">
        <v>17</v>
      </c>
      <c r="E736" s="3" t="s">
        <v>102</v>
      </c>
      <c r="F736" s="3" t="s">
        <v>2893</v>
      </c>
      <c r="G736" s="3" t="s">
        <v>2132</v>
      </c>
      <c r="H736" s="3" t="s">
        <v>2894</v>
      </c>
      <c r="I736" s="3" t="s">
        <v>20</v>
      </c>
      <c r="J736" s="3">
        <v>11.04</v>
      </c>
      <c r="K736" s="3" t="s">
        <v>21</v>
      </c>
      <c r="L736" s="3" t="s">
        <v>2976</v>
      </c>
      <c r="M736" s="3" t="s">
        <v>2896</v>
      </c>
      <c r="N736" s="6" t="str">
        <f>HYPERLINK("C:\Users\alexa\YandexDisk\Книги\Безопасность\Пентестинг\Искусство_тестирования_на_проникновение_в_сеть 2021.pdf","Искусство_тестирования_на_проникновение_в_сеть 2021.pdf")</f>
        <v>Искусство_тестирования_на_проникновение_в_сеть 2021.pdf</v>
      </c>
      <c r="O736" s="3" t="s">
        <v>2977</v>
      </c>
    </row>
    <row r="737" spans="1:15" ht="179.4" x14ac:dyDescent="0.3">
      <c r="A737" s="4">
        <v>736</v>
      </c>
      <c r="B737" s="5" t="s">
        <v>2492</v>
      </c>
      <c r="C737" s="5" t="s">
        <v>2493</v>
      </c>
      <c r="D737" s="5" t="s">
        <v>59</v>
      </c>
      <c r="E737" s="5" t="s">
        <v>18</v>
      </c>
      <c r="F737" s="5" t="s">
        <v>2893</v>
      </c>
      <c r="G737" s="5" t="s">
        <v>2132</v>
      </c>
      <c r="H737" s="5" t="s">
        <v>2894</v>
      </c>
      <c r="I737" s="5" t="s">
        <v>20</v>
      </c>
      <c r="J737" s="5">
        <v>6.99</v>
      </c>
      <c r="K737" s="5" t="s">
        <v>21</v>
      </c>
      <c r="L737" s="5" t="s">
        <v>2978</v>
      </c>
      <c r="M737" s="5" t="s">
        <v>2896</v>
      </c>
      <c r="N737" s="7" t="str">
        <f>HYPERLINK("C:\Users\alexa\YandexDisk\Книги\Безопасность\Пентестинг\Ловушка для багов [2020] Яворски.pdf","Ловушка для багов [2020] Яворски.pdf")</f>
        <v>Ловушка для багов [2020] Яворски.pdf</v>
      </c>
      <c r="O737" s="5" t="s">
        <v>2979</v>
      </c>
    </row>
    <row r="738" spans="1:15" ht="165.6" x14ac:dyDescent="0.3">
      <c r="A738" s="2">
        <v>737</v>
      </c>
      <c r="B738" s="3" t="s">
        <v>2980</v>
      </c>
      <c r="C738" s="3" t="s">
        <v>2981</v>
      </c>
      <c r="D738" s="3" t="s">
        <v>114</v>
      </c>
      <c r="E738" s="3" t="s">
        <v>296</v>
      </c>
      <c r="F738" s="3" t="s">
        <v>2893</v>
      </c>
      <c r="G738" s="3" t="s">
        <v>2132</v>
      </c>
      <c r="H738" s="3" t="s">
        <v>2894</v>
      </c>
      <c r="I738" s="3" t="s">
        <v>20</v>
      </c>
      <c r="J738" s="3">
        <v>9.52</v>
      </c>
      <c r="K738" s="3" t="s">
        <v>21</v>
      </c>
      <c r="L738" s="3" t="s">
        <v>2982</v>
      </c>
      <c r="M738" s="3" t="s">
        <v>2896</v>
      </c>
      <c r="N738" s="6" t="str">
        <f>HYPERLINK("C:\Users\alexa\YandexDisk\Книги\Безопасность\Пентестинг\Основы Web_хаккинга-более 30 примеров_2016.pdf","Основы Web_хаккинга-более 30 примеров_2016.pdf")</f>
        <v>Основы Web_хаккинга-более 30 примеров_2016.pdf</v>
      </c>
      <c r="O738" s="3" t="s">
        <v>2983</v>
      </c>
    </row>
    <row r="739" spans="1:15" ht="179.4" x14ac:dyDescent="0.3">
      <c r="A739" s="4">
        <v>738</v>
      </c>
      <c r="B739" s="5" t="s">
        <v>2984</v>
      </c>
      <c r="C739" s="5" t="s">
        <v>2981</v>
      </c>
      <c r="D739" s="5" t="s">
        <v>114</v>
      </c>
      <c r="E739" s="5" t="s">
        <v>296</v>
      </c>
      <c r="F739" s="5" t="s">
        <v>2893</v>
      </c>
      <c r="G739" s="5" t="s">
        <v>2132</v>
      </c>
      <c r="H739" s="5" t="s">
        <v>2894</v>
      </c>
      <c r="I739" s="5" t="s">
        <v>20</v>
      </c>
      <c r="J739" s="5">
        <v>6.21</v>
      </c>
      <c r="K739" s="5" t="s">
        <v>21</v>
      </c>
      <c r="L739" s="5" t="s">
        <v>2985</v>
      </c>
      <c r="M739" s="5" t="s">
        <v>2896</v>
      </c>
      <c r="N739" s="7" t="str">
        <f>HYPERLINK("C:\Users\alexa\YandexDisk\Книги\Безопасность\Пентестинг\Основы веб-хакинга.pdf","Основы веб-хакинга.pdf")</f>
        <v>Основы веб-хакинга.pdf</v>
      </c>
      <c r="O739" s="5" t="s">
        <v>2986</v>
      </c>
    </row>
    <row r="740" spans="1:15" ht="179.4" x14ac:dyDescent="0.3">
      <c r="A740" s="2">
        <v>739</v>
      </c>
      <c r="B740" s="3" t="s">
        <v>2987</v>
      </c>
      <c r="C740" s="3" t="s">
        <v>2988</v>
      </c>
      <c r="D740" s="3" t="s">
        <v>837</v>
      </c>
      <c r="E740" s="3" t="s">
        <v>18</v>
      </c>
      <c r="F740" s="3" t="s">
        <v>2893</v>
      </c>
      <c r="G740" s="3" t="s">
        <v>2132</v>
      </c>
      <c r="H740" s="3" t="s">
        <v>2894</v>
      </c>
      <c r="I740" s="3" t="s">
        <v>20</v>
      </c>
      <c r="J740" s="3">
        <v>2.73</v>
      </c>
      <c r="K740" s="3" t="s">
        <v>21</v>
      </c>
      <c r="L740" s="3" t="s">
        <v>2989</v>
      </c>
      <c r="M740" s="3" t="s">
        <v>2896</v>
      </c>
      <c r="N740" s="6" t="str">
        <f>HYPERLINK("C:\Users\alexa\YandexDisk\Книги\Безопасность\Пентестинг\Основы_веб_хакинга_нападение_и_защита_Ю_В_Жуков.pdf","Основы_веб_хакинга_нападение_и_защита_Ю_В_Жуков.pdf")</f>
        <v>Основы_веб_хакинга_нападение_и_защита_Ю_В_Жуков.pdf</v>
      </c>
      <c r="O740" s="3" t="s">
        <v>2990</v>
      </c>
    </row>
    <row r="741" spans="1:15" ht="179.4" x14ac:dyDescent="0.3">
      <c r="A741" s="4">
        <v>740</v>
      </c>
      <c r="B741" s="5" t="s">
        <v>2991</v>
      </c>
      <c r="C741" s="5" t="s">
        <v>2992</v>
      </c>
      <c r="D741" s="5" t="s">
        <v>71</v>
      </c>
      <c r="E741" s="5" t="s">
        <v>102</v>
      </c>
      <c r="F741" s="5" t="s">
        <v>2893</v>
      </c>
      <c r="G741" s="5" t="s">
        <v>2132</v>
      </c>
      <c r="H741" s="5" t="s">
        <v>2894</v>
      </c>
      <c r="I741" s="5" t="s">
        <v>20</v>
      </c>
      <c r="J741" s="5">
        <v>30.27</v>
      </c>
      <c r="K741" s="5" t="s">
        <v>21</v>
      </c>
      <c r="L741" s="5" t="s">
        <v>2993</v>
      </c>
      <c r="M741" s="5" t="s">
        <v>2896</v>
      </c>
      <c r="N741" s="7" t="str">
        <f>HYPERLINK("C:\Users\alexa\YandexDisk\Книги\Безопасность\Пентестинг\Практический_хакинг_интернета_вещей.pdf","Практический_хакинг_интернета_вещей.pdf")</f>
        <v>Практический_хакинг_интернета_вещей.pdf</v>
      </c>
      <c r="O741" s="5" t="s">
        <v>2994</v>
      </c>
    </row>
    <row r="742" spans="1:15" ht="138" x14ac:dyDescent="0.3">
      <c r="A742" s="2">
        <v>741</v>
      </c>
      <c r="B742" s="3" t="s">
        <v>2995</v>
      </c>
      <c r="C742" s="3"/>
      <c r="D742" s="3"/>
      <c r="E742" s="3"/>
      <c r="F742" s="3" t="s">
        <v>2893</v>
      </c>
      <c r="G742" s="3" t="s">
        <v>2132</v>
      </c>
      <c r="H742" s="3" t="s">
        <v>2894</v>
      </c>
      <c r="I742" s="3" t="s">
        <v>20</v>
      </c>
      <c r="J742" s="3">
        <v>46.74</v>
      </c>
      <c r="K742" s="3" t="s">
        <v>21</v>
      </c>
      <c r="L742" s="3" t="s">
        <v>2996</v>
      </c>
      <c r="M742" s="3" t="s">
        <v>2896</v>
      </c>
      <c r="N742" s="6" t="str">
        <f>HYPERLINK("C:\Users\alexa\YandexDisk\Книги\Безопасность\Пентестинг\Собираем_устройства_для_тестов_на_проникновение.pdf","Собираем_устройства_для_тестов_на_проникновение.pdf")</f>
        <v>Собираем_устройства_для_тестов_на_проникновение.pdf</v>
      </c>
      <c r="O742" s="3" t="s">
        <v>2997</v>
      </c>
    </row>
    <row r="743" spans="1:15" ht="179.4" x14ac:dyDescent="0.3">
      <c r="A743" s="4">
        <v>742</v>
      </c>
      <c r="B743" s="5" t="s">
        <v>2998</v>
      </c>
      <c r="C743" s="5"/>
      <c r="D743" s="5"/>
      <c r="E743" s="5"/>
      <c r="F743" s="5" t="s">
        <v>2893</v>
      </c>
      <c r="G743" s="5" t="s">
        <v>2132</v>
      </c>
      <c r="H743" s="5" t="s">
        <v>2894</v>
      </c>
      <c r="I743" s="5" t="s">
        <v>20</v>
      </c>
      <c r="J743" s="5">
        <v>48.36</v>
      </c>
      <c r="K743" s="5" t="s">
        <v>21</v>
      </c>
      <c r="L743" s="5" t="s">
        <v>2999</v>
      </c>
      <c r="M743" s="5" t="s">
        <v>2896</v>
      </c>
      <c r="N743" s="7" t="str">
        <f>HYPERLINK("C:\Users\alexa\YandexDisk\Книги\Безопасность\Пентестинг\Хакинг API взлом программных интерфейсов веб-приложений.pdf","Хакинг API взлом программных интерфейсов веб-приложений.pdf")</f>
        <v>Хакинг API взлом программных интерфейсов веб-приложений.pdf</v>
      </c>
      <c r="O743" s="5" t="s">
        <v>3000</v>
      </c>
    </row>
    <row r="744" spans="1:15" ht="165.6" x14ac:dyDescent="0.3">
      <c r="A744" s="2">
        <v>743</v>
      </c>
      <c r="B744" s="3" t="s">
        <v>3001</v>
      </c>
      <c r="C744" s="3" t="s">
        <v>3002</v>
      </c>
      <c r="D744" s="3" t="s">
        <v>274</v>
      </c>
      <c r="E744" s="3" t="s">
        <v>1566</v>
      </c>
      <c r="F744" s="3" t="s">
        <v>2893</v>
      </c>
      <c r="G744" s="3" t="s">
        <v>2132</v>
      </c>
      <c r="H744" s="3" t="s">
        <v>2894</v>
      </c>
      <c r="I744" s="3" t="s">
        <v>20</v>
      </c>
      <c r="J744" s="3">
        <v>2.5</v>
      </c>
      <c r="K744" s="3" t="s">
        <v>21</v>
      </c>
      <c r="L744" s="3" t="s">
        <v>3003</v>
      </c>
      <c r="M744" s="3" t="s">
        <v>2896</v>
      </c>
      <c r="N744" s="6" t="str">
        <f>HYPERLINK("C:\Users\alexa\YandexDisk\Книги\Безопасность\Пентестинг\Хакинг искусство эксплойта, 2-е издание.pdf","Хакинг искусство эксплойта, 2-е издание.pdf")</f>
        <v>Хакинг искусство эксплойта, 2-е издание.pdf</v>
      </c>
      <c r="O744" s="3" t="s">
        <v>3004</v>
      </c>
    </row>
    <row r="745" spans="1:15" ht="179.4" x14ac:dyDescent="0.3">
      <c r="A745" s="4">
        <v>744</v>
      </c>
      <c r="B745" s="5" t="s">
        <v>3005</v>
      </c>
      <c r="C745" s="5" t="s">
        <v>3006</v>
      </c>
      <c r="D745" s="5" t="s">
        <v>71</v>
      </c>
      <c r="E745" s="5" t="s">
        <v>485</v>
      </c>
      <c r="F745" s="5" t="s">
        <v>2893</v>
      </c>
      <c r="G745" s="5" t="s">
        <v>2132</v>
      </c>
      <c r="H745" s="5" t="s">
        <v>2894</v>
      </c>
      <c r="I745" s="5" t="s">
        <v>20</v>
      </c>
      <c r="J745" s="5">
        <v>27.93</v>
      </c>
      <c r="K745" s="5" t="s">
        <v>21</v>
      </c>
      <c r="L745" s="5" t="s">
        <v>3007</v>
      </c>
      <c r="M745" s="5" t="s">
        <v>2896</v>
      </c>
      <c r="N745" s="7" t="str">
        <f>HYPERLINK("C:\Users\alexa\YandexDisk\Книги\Безопасность\Пентестинг\Хакинг на LINUX.pdf","Хакинг на LINUX.pdf")</f>
        <v>Хакинг на LINUX.pdf</v>
      </c>
      <c r="O745" s="5" t="s">
        <v>3008</v>
      </c>
    </row>
    <row r="746" spans="1:15" ht="193.2" x14ac:dyDescent="0.3">
      <c r="A746" s="2">
        <v>745</v>
      </c>
      <c r="B746" s="3" t="s">
        <v>3009</v>
      </c>
      <c r="C746" s="3" t="s">
        <v>3010</v>
      </c>
      <c r="D746" s="3" t="s">
        <v>335</v>
      </c>
      <c r="E746" s="3" t="s">
        <v>485</v>
      </c>
      <c r="F746" s="3" t="s">
        <v>2893</v>
      </c>
      <c r="G746" s="3" t="s">
        <v>2132</v>
      </c>
      <c r="H746" s="3" t="s">
        <v>2894</v>
      </c>
      <c r="I746" s="3" t="s">
        <v>519</v>
      </c>
      <c r="J746" s="3">
        <v>20.95</v>
      </c>
      <c r="K746" s="3" t="s">
        <v>21</v>
      </c>
      <c r="L746" s="3" t="s">
        <v>3011</v>
      </c>
      <c r="M746" s="3" t="s">
        <v>2896</v>
      </c>
      <c r="N746" s="6" t="str">
        <f>HYPERLINK("C:\Users\alexa\YandexDisk\Книги\Безопасность\Пентестинг\Хакинг на Python.zip","Хакинг на Python.zip")</f>
        <v>Хакинг на Python.zip</v>
      </c>
      <c r="O746" s="3" t="s">
        <v>3012</v>
      </c>
    </row>
    <row r="747" spans="1:15" ht="165.6" x14ac:dyDescent="0.3">
      <c r="A747" s="4">
        <v>746</v>
      </c>
      <c r="B747" s="5" t="s">
        <v>3013</v>
      </c>
      <c r="C747" s="5" t="s">
        <v>3014</v>
      </c>
      <c r="D747" s="5" t="s">
        <v>17</v>
      </c>
      <c r="E747" s="5" t="s">
        <v>485</v>
      </c>
      <c r="F747" s="5" t="s">
        <v>2893</v>
      </c>
      <c r="G747" s="5" t="s">
        <v>2132</v>
      </c>
      <c r="H747" s="5" t="s">
        <v>2894</v>
      </c>
      <c r="I747" s="5" t="s">
        <v>20</v>
      </c>
      <c r="J747" s="5">
        <v>28.94</v>
      </c>
      <c r="K747" s="5" t="s">
        <v>21</v>
      </c>
      <c r="L747" s="5" t="s">
        <v>3015</v>
      </c>
      <c r="M747" s="5" t="s">
        <v>2896</v>
      </c>
      <c r="N747" s="7" t="str">
        <f>HYPERLINK("C:\Users\alexa\YandexDisk\Книги\Безопасность\Пентестинг\Хакинг на примерах.pdf","Хакинг на примерах.pdf")</f>
        <v>Хакинг на примерах.pdf</v>
      </c>
      <c r="O747" s="5" t="s">
        <v>3016</v>
      </c>
    </row>
    <row r="748" spans="1:15" ht="27.6" x14ac:dyDescent="0.3">
      <c r="A748" s="2">
        <v>747</v>
      </c>
      <c r="B748" s="3" t="s">
        <v>3017</v>
      </c>
      <c r="C748" s="3"/>
      <c r="D748" s="3"/>
      <c r="E748" s="3"/>
      <c r="F748" s="3" t="s">
        <v>2893</v>
      </c>
      <c r="G748" s="3" t="s">
        <v>2132</v>
      </c>
      <c r="H748" s="3" t="s">
        <v>2894</v>
      </c>
      <c r="I748" s="3" t="s">
        <v>519</v>
      </c>
      <c r="J748" s="3">
        <v>17.13</v>
      </c>
      <c r="K748" s="3" t="s">
        <v>21</v>
      </c>
      <c r="L748" s="3" t="s">
        <v>3018</v>
      </c>
      <c r="M748" s="3" t="s">
        <v>2896</v>
      </c>
      <c r="N748" s="6" t="str">
        <f>HYPERLINK("C:\Users\alexa\YandexDisk\Книги\Безопасность\Пентестинг\Хаккинг.zip","Хаккинг.zip")</f>
        <v>Хаккинг.zip</v>
      </c>
      <c r="O748" s="3" t="s">
        <v>930</v>
      </c>
    </row>
    <row r="749" spans="1:15" ht="193.2" x14ac:dyDescent="0.3">
      <c r="A749" s="4">
        <v>748</v>
      </c>
      <c r="B749" s="5" t="s">
        <v>3019</v>
      </c>
      <c r="C749" s="5" t="s">
        <v>3020</v>
      </c>
      <c r="D749" s="5" t="s">
        <v>59</v>
      </c>
      <c r="E749" s="5" t="s">
        <v>102</v>
      </c>
      <c r="F749" s="5" t="s">
        <v>2893</v>
      </c>
      <c r="G749" s="5" t="s">
        <v>2132</v>
      </c>
      <c r="H749" s="5" t="s">
        <v>2894</v>
      </c>
      <c r="I749" s="5" t="s">
        <v>20</v>
      </c>
      <c r="J749" s="5">
        <v>17.87</v>
      </c>
      <c r="K749" s="5" t="s">
        <v>21</v>
      </c>
      <c r="L749" s="5" t="s">
        <v>3021</v>
      </c>
      <c r="M749" s="5" t="s">
        <v>2896</v>
      </c>
      <c r="N749" s="7" t="str">
        <f>HYPERLINK("C:\Users\alexa\YandexDisk\Книги\Безопасность\Пентестинг\Эдриан Прутяну Как стать хаккером.pdf","Эдриан Прутяну Как стать хаккером.pdf")</f>
        <v>Эдриан Прутяну Как стать хаккером.pdf</v>
      </c>
      <c r="O749" s="5" t="s">
        <v>3022</v>
      </c>
    </row>
    <row r="750" spans="1:15" ht="151.80000000000001" x14ac:dyDescent="0.3">
      <c r="A750" s="2">
        <v>749</v>
      </c>
      <c r="B750" s="3" t="s">
        <v>3023</v>
      </c>
      <c r="C750" s="3" t="s">
        <v>3024</v>
      </c>
      <c r="D750" s="3"/>
      <c r="E750" s="3"/>
      <c r="F750" s="3" t="s">
        <v>3025</v>
      </c>
      <c r="G750" s="3" t="s">
        <v>2132</v>
      </c>
      <c r="H750" s="3" t="s">
        <v>3026</v>
      </c>
      <c r="I750" s="3" t="s">
        <v>20</v>
      </c>
      <c r="J750" s="3">
        <v>0.38</v>
      </c>
      <c r="K750" s="3" t="s">
        <v>21</v>
      </c>
      <c r="L750" s="3" t="s">
        <v>3027</v>
      </c>
      <c r="M750" s="3" t="s">
        <v>3028</v>
      </c>
      <c r="N750" s="6" t="str">
        <f>HYPERLINK("C:\Users\alexa\YandexDisk\Книги\Безопасность\Этичный хакинг и социальная инженерия\Ethical.Guide.To.Computer.Hacking.pdf","Ethical.Guide.To.Computer.Hacking.pdf")</f>
        <v>Ethical.Guide.To.Computer.Hacking.pdf</v>
      </c>
      <c r="O750" s="3" t="s">
        <v>3029</v>
      </c>
    </row>
    <row r="751" spans="1:15" ht="207" x14ac:dyDescent="0.3">
      <c r="A751" s="4">
        <v>750</v>
      </c>
      <c r="B751" s="5" t="s">
        <v>3030</v>
      </c>
      <c r="C751" s="5" t="s">
        <v>3031</v>
      </c>
      <c r="D751" s="5" t="s">
        <v>27</v>
      </c>
      <c r="E751" s="5" t="s">
        <v>72</v>
      </c>
      <c r="F751" s="5" t="s">
        <v>3025</v>
      </c>
      <c r="G751" s="5" t="s">
        <v>2132</v>
      </c>
      <c r="H751" s="5" t="s">
        <v>3026</v>
      </c>
      <c r="I751" s="5" t="s">
        <v>20</v>
      </c>
      <c r="J751" s="5">
        <v>62.23</v>
      </c>
      <c r="K751" s="5" t="s">
        <v>21</v>
      </c>
      <c r="L751" s="5" t="s">
        <v>3032</v>
      </c>
      <c r="M751" s="5" t="s">
        <v>3028</v>
      </c>
      <c r="N751" s="7" t="str">
        <f>HYPERLINK("C:\Users\alexa\YandexDisk\Книги\Безопасность\Этичный хакинг и социальная инженерия\Социальная_инженерия_и_этичный_хакинг_на_практике.pdf","Социальная_инженерия_и_этичный_хакинг_на_практике.pdf")</f>
        <v>Социальная_инженерия_и_этичный_хакинг_на_практике.pdf</v>
      </c>
      <c r="O751" s="5" t="s">
        <v>3033</v>
      </c>
    </row>
    <row r="752" spans="1:15" ht="165.6" x14ac:dyDescent="0.3">
      <c r="A752" s="2">
        <v>751</v>
      </c>
      <c r="B752" s="3" t="s">
        <v>3034</v>
      </c>
      <c r="C752" s="3" t="s">
        <v>3035</v>
      </c>
      <c r="D752" s="3" t="s">
        <v>71</v>
      </c>
      <c r="E752" s="3" t="s">
        <v>18</v>
      </c>
      <c r="F752" s="3" t="s">
        <v>3025</v>
      </c>
      <c r="G752" s="3" t="s">
        <v>2132</v>
      </c>
      <c r="H752" s="3" t="s">
        <v>3026</v>
      </c>
      <c r="I752" s="3" t="s">
        <v>20</v>
      </c>
      <c r="J752" s="3">
        <v>10.57</v>
      </c>
      <c r="K752" s="3" t="s">
        <v>21</v>
      </c>
      <c r="L752" s="3" t="s">
        <v>3036</v>
      </c>
      <c r="M752" s="3" t="s">
        <v>3028</v>
      </c>
      <c r="N752" s="6" t="str">
        <f>HYPERLINK("C:\Users\alexa\YandexDisk\Книги\Безопасность\Этичный хакинг и социальная инженерия\Этичный_хакинг_Практическое_руководство_по_взлому_2022_1.pdf","Этичный_хакинг_Практическое_руководство_по_взлому_2022_1.pdf")</f>
        <v>Этичный_хакинг_Практическое_руководство_по_взлому_2022_1.pdf</v>
      </c>
      <c r="O752" s="3" t="s">
        <v>3037</v>
      </c>
    </row>
    <row r="753" spans="1:15" ht="179.4" x14ac:dyDescent="0.3">
      <c r="A753" s="4">
        <v>752</v>
      </c>
      <c r="B753" s="5" t="s">
        <v>3038</v>
      </c>
      <c r="C753" s="5" t="s">
        <v>3039</v>
      </c>
      <c r="D753" s="5" t="s">
        <v>71</v>
      </c>
      <c r="E753" s="5" t="s">
        <v>303</v>
      </c>
      <c r="F753" s="5" t="s">
        <v>3040</v>
      </c>
      <c r="G753" s="5" t="s">
        <v>3041</v>
      </c>
      <c r="H753" s="5" t="s">
        <v>3042</v>
      </c>
      <c r="I753" s="5" t="s">
        <v>20</v>
      </c>
      <c r="J753" s="5">
        <v>35.07</v>
      </c>
      <c r="K753" s="5" t="s">
        <v>21</v>
      </c>
      <c r="L753" s="5" t="s">
        <v>3043</v>
      </c>
      <c r="M753" s="5" t="s">
        <v>3044</v>
      </c>
      <c r="N753" s="7" t="str">
        <f>HYPERLINK("C:\Users\alexa\YandexDisk\Книги\Бизнес\Маркетинг\!!!Путь клиента.pdf","!!!Путь клиента.pdf")</f>
        <v>!!!Путь клиента.pdf</v>
      </c>
      <c r="O753" s="5" t="s">
        <v>3045</v>
      </c>
    </row>
    <row r="754" spans="1:15" ht="151.80000000000001" x14ac:dyDescent="0.3">
      <c r="A754" s="2">
        <v>753</v>
      </c>
      <c r="B754" s="3" t="s">
        <v>3046</v>
      </c>
      <c r="C754" s="3" t="s">
        <v>3047</v>
      </c>
      <c r="D754" s="3" t="s">
        <v>1022</v>
      </c>
      <c r="E754" s="3" t="s">
        <v>18</v>
      </c>
      <c r="F754" s="3" t="s">
        <v>3040</v>
      </c>
      <c r="G754" s="3" t="s">
        <v>3041</v>
      </c>
      <c r="H754" s="3" t="s">
        <v>3042</v>
      </c>
      <c r="I754" s="3" t="s">
        <v>20</v>
      </c>
      <c r="J754" s="3">
        <v>1</v>
      </c>
      <c r="K754" s="3" t="s">
        <v>21</v>
      </c>
      <c r="L754" s="3" t="s">
        <v>3048</v>
      </c>
      <c r="M754" s="3" t="s">
        <v>3044</v>
      </c>
      <c r="N754" s="6" t="str">
        <f>HYPERLINK("C:\Users\alexa\YandexDisk\Книги\Бизнес\Маркетинг\A_Petrochenkov_Idealny_Landing_Page.pdf","A_Petrochenkov_Idealny_Landing_Page.pdf")</f>
        <v>A_Petrochenkov_Idealny_Landing_Page.pdf</v>
      </c>
      <c r="O754" s="3" t="s">
        <v>3049</v>
      </c>
    </row>
    <row r="755" spans="1:15" ht="151.80000000000001" x14ac:dyDescent="0.3">
      <c r="A755" s="4">
        <v>754</v>
      </c>
      <c r="B755" s="5" t="s">
        <v>1434</v>
      </c>
      <c r="C755" s="5" t="s">
        <v>1435</v>
      </c>
      <c r="D755" s="5" t="s">
        <v>32</v>
      </c>
      <c r="E755" s="5"/>
      <c r="F755" s="5" t="s">
        <v>3040</v>
      </c>
      <c r="G755" s="5" t="s">
        <v>3041</v>
      </c>
      <c r="H755" s="5" t="s">
        <v>3042</v>
      </c>
      <c r="I755" s="5" t="s">
        <v>20</v>
      </c>
      <c r="J755" s="5">
        <v>14.07</v>
      </c>
      <c r="K755" s="5" t="s">
        <v>21</v>
      </c>
      <c r="L755" s="5" t="s">
        <v>3050</v>
      </c>
      <c r="M755" s="5" t="s">
        <v>3044</v>
      </c>
      <c r="N755" s="7" t="str">
        <f>HYPERLINK("C:\Users\alexa\YandexDisk\Книги\Бизнес\Маркетинг\Google Analytics для googлят.pdf","Google Analytics для googлят.pdf")</f>
        <v>Google Analytics для googлят.pdf</v>
      </c>
      <c r="O755" s="5" t="s">
        <v>3051</v>
      </c>
    </row>
    <row r="756" spans="1:15" ht="151.80000000000001" x14ac:dyDescent="0.3">
      <c r="A756" s="2">
        <v>755</v>
      </c>
      <c r="B756" s="3" t="s">
        <v>3052</v>
      </c>
      <c r="C756" s="3" t="s">
        <v>3053</v>
      </c>
      <c r="D756" s="3" t="s">
        <v>65</v>
      </c>
      <c r="E756" s="3" t="s">
        <v>308</v>
      </c>
      <c r="F756" s="3" t="s">
        <v>3040</v>
      </c>
      <c r="G756" s="3" t="s">
        <v>3041</v>
      </c>
      <c r="H756" s="3" t="s">
        <v>3042</v>
      </c>
      <c r="I756" s="3" t="s">
        <v>20</v>
      </c>
      <c r="J756" s="3">
        <v>6.39</v>
      </c>
      <c r="K756" s="3" t="s">
        <v>21</v>
      </c>
      <c r="L756" s="3" t="s">
        <v>3054</v>
      </c>
      <c r="M756" s="3" t="s">
        <v>3044</v>
      </c>
      <c r="N756" s="6" t="str">
        <f>HYPERLINK("C:\Users\alexa\YandexDisk\Книги\Бизнес\Маркетинг\Kak-sozdat-prezentaciyu.pdf","Kak-sozdat-prezentaciyu.pdf")</f>
        <v>Kak-sozdat-prezentaciyu.pdf</v>
      </c>
      <c r="O756" s="3" t="s">
        <v>3055</v>
      </c>
    </row>
    <row r="757" spans="1:15" ht="151.80000000000001" x14ac:dyDescent="0.3">
      <c r="A757" s="4">
        <v>756</v>
      </c>
      <c r="B757" s="5" t="s">
        <v>3056</v>
      </c>
      <c r="C757" s="5"/>
      <c r="D757" s="5" t="s">
        <v>837</v>
      </c>
      <c r="E757" s="5"/>
      <c r="F757" s="5" t="s">
        <v>3040</v>
      </c>
      <c r="G757" s="5" t="s">
        <v>3041</v>
      </c>
      <c r="H757" s="5" t="s">
        <v>3042</v>
      </c>
      <c r="I757" s="5" t="s">
        <v>20</v>
      </c>
      <c r="J757" s="5">
        <v>83.62</v>
      </c>
      <c r="K757" s="5" t="s">
        <v>21</v>
      </c>
      <c r="L757" s="5" t="s">
        <v>3057</v>
      </c>
      <c r="M757" s="5" t="s">
        <v>3044</v>
      </c>
      <c r="N757" s="7" t="str">
        <f>HYPERLINK("C:\Users\alexa\YandexDisk\Книги\Бизнес\Маркетинг\Marketing_Bez_Budgeta_2011.pdf","Marketing_Bez_Budgeta_2011.pdf")</f>
        <v>Marketing_Bez_Budgeta_2011.pdf</v>
      </c>
      <c r="O757" s="5" t="s">
        <v>3058</v>
      </c>
    </row>
    <row r="758" spans="1:15" ht="165.6" x14ac:dyDescent="0.3">
      <c r="A758" s="2">
        <v>757</v>
      </c>
      <c r="B758" s="3" t="s">
        <v>1283</v>
      </c>
      <c r="C758" s="3" t="s">
        <v>1284</v>
      </c>
      <c r="D758" s="3" t="s">
        <v>32</v>
      </c>
      <c r="E758" s="3" t="s">
        <v>18</v>
      </c>
      <c r="F758" s="3" t="s">
        <v>3040</v>
      </c>
      <c r="G758" s="3" t="s">
        <v>3041</v>
      </c>
      <c r="H758" s="3" t="s">
        <v>3042</v>
      </c>
      <c r="I758" s="3" t="s">
        <v>20</v>
      </c>
      <c r="J758" s="3">
        <v>10.47</v>
      </c>
      <c r="K758" s="3" t="s">
        <v>21</v>
      </c>
      <c r="L758" s="3" t="s">
        <v>3059</v>
      </c>
      <c r="M758" s="3" t="s">
        <v>3044</v>
      </c>
      <c r="N758" s="6" t="str">
        <f>HYPERLINK("C:\Users\alexa\YandexDisk\Книги\Бизнес\Маркетинг\Vvedenie_v_Google_Analytics.pdf","Vvedenie_v_Google_Analytics.pdf")</f>
        <v>Vvedenie_v_Google_Analytics.pdf</v>
      </c>
      <c r="O758" s="3" t="s">
        <v>3060</v>
      </c>
    </row>
    <row r="759" spans="1:15" ht="165.6" x14ac:dyDescent="0.3">
      <c r="A759" s="4">
        <v>758</v>
      </c>
      <c r="B759" s="5" t="s">
        <v>3061</v>
      </c>
      <c r="C759" s="5" t="s">
        <v>3062</v>
      </c>
      <c r="D759" s="5" t="s">
        <v>1022</v>
      </c>
      <c r="E759" s="5" t="s">
        <v>303</v>
      </c>
      <c r="F759" s="5" t="s">
        <v>3040</v>
      </c>
      <c r="G759" s="5" t="s">
        <v>3041</v>
      </c>
      <c r="H759" s="5" t="s">
        <v>3042</v>
      </c>
      <c r="I759" s="5" t="s">
        <v>20</v>
      </c>
      <c r="J759" s="5">
        <v>2.13</v>
      </c>
      <c r="K759" s="5" t="s">
        <v>21</v>
      </c>
      <c r="L759" s="5" t="s">
        <v>3063</v>
      </c>
      <c r="M759" s="5" t="s">
        <v>3044</v>
      </c>
      <c r="N759" s="7" t="str">
        <f>HYPERLINK("C:\Users\alexa\YandexDisk\Книги\Бизнес\Маркетинг\Бизнес-копирайтинг.pdf","Бизнес-копирайтинг.pdf")</f>
        <v>Бизнес-копирайтинг.pdf</v>
      </c>
      <c r="O759" s="5" t="s">
        <v>3064</v>
      </c>
    </row>
    <row r="760" spans="1:15" ht="165.6" x14ac:dyDescent="0.3">
      <c r="A760" s="2">
        <v>759</v>
      </c>
      <c r="B760" s="3" t="s">
        <v>3065</v>
      </c>
      <c r="C760" s="3" t="s">
        <v>3066</v>
      </c>
      <c r="D760" s="3" t="s">
        <v>77</v>
      </c>
      <c r="E760" s="3" t="s">
        <v>303</v>
      </c>
      <c r="F760" s="3" t="s">
        <v>3040</v>
      </c>
      <c r="G760" s="3" t="s">
        <v>3041</v>
      </c>
      <c r="H760" s="3" t="s">
        <v>3042</v>
      </c>
      <c r="I760" s="3" t="s">
        <v>20</v>
      </c>
      <c r="J760" s="3">
        <v>4.96</v>
      </c>
      <c r="K760" s="3" t="s">
        <v>21</v>
      </c>
      <c r="L760" s="3" t="s">
        <v>3067</v>
      </c>
      <c r="M760" s="3" t="s">
        <v>3044</v>
      </c>
      <c r="N760" s="6" t="str">
        <f>HYPERLINK("C:\Users\alexa\YandexDisk\Книги\Бизнес\Маркетинг\Скотт_Бринкер_Agile_маркетинг_Хакерские_практики_для_эффективного.pdf","Скотт_Бринкер_Agile_маркетинг_Хакерские_практики_для_эффективного.pdf")</f>
        <v>Скотт_Бринкер_Agile_маркетинг_Хакерские_практики_для_эффективного.pdf</v>
      </c>
      <c r="O760" s="3" t="s">
        <v>3068</v>
      </c>
    </row>
    <row r="761" spans="1:15" ht="234.6" x14ac:dyDescent="0.3">
      <c r="A761" s="4">
        <v>760</v>
      </c>
      <c r="B761" s="5" t="s">
        <v>3069</v>
      </c>
      <c r="C761" s="5" t="s">
        <v>3070</v>
      </c>
      <c r="D761" s="5"/>
      <c r="E761" s="5"/>
      <c r="F761" s="5" t="s">
        <v>3071</v>
      </c>
      <c r="G761" s="5" t="s">
        <v>3041</v>
      </c>
      <c r="H761" s="5" t="s">
        <v>3072</v>
      </c>
      <c r="I761" s="5" t="s">
        <v>20</v>
      </c>
      <c r="J761" s="5">
        <v>23.06</v>
      </c>
      <c r="K761" s="5" t="s">
        <v>21</v>
      </c>
      <c r="L761" s="5" t="s">
        <v>3073</v>
      </c>
      <c r="M761" s="5" t="s">
        <v>3074</v>
      </c>
      <c r="N761" s="7" t="str">
        <f>HYPERLINK("C:\Users\alexa\YandexDisk\Книги\Бизнес\Менеджмент\!Оргдизайн продуктовой компании_Алексей Воронин.pdf","!Оргдизайн продуктовой компании_Алексей Воронин.pdf")</f>
        <v>!Оргдизайн продуктовой компании_Алексей Воронин.pdf</v>
      </c>
      <c r="O761" s="5" t="s">
        <v>3075</v>
      </c>
    </row>
    <row r="762" spans="1:15" ht="165.6" x14ac:dyDescent="0.3">
      <c r="A762" s="2">
        <v>761</v>
      </c>
      <c r="B762" s="3" t="s">
        <v>3076</v>
      </c>
      <c r="C762" s="3" t="s">
        <v>3077</v>
      </c>
      <c r="D762" s="3" t="s">
        <v>17</v>
      </c>
      <c r="E762" s="3" t="s">
        <v>3078</v>
      </c>
      <c r="F762" s="3" t="s">
        <v>3071</v>
      </c>
      <c r="G762" s="3" t="s">
        <v>3041</v>
      </c>
      <c r="H762" s="3" t="s">
        <v>3072</v>
      </c>
      <c r="I762" s="3" t="s">
        <v>20</v>
      </c>
      <c r="J762" s="3">
        <v>0.47</v>
      </c>
      <c r="K762" s="3" t="s">
        <v>21</v>
      </c>
      <c r="L762" s="3" t="s">
        <v>3079</v>
      </c>
      <c r="M762" s="3" t="s">
        <v>3074</v>
      </c>
      <c r="N762" s="6" t="str">
        <f>HYPERLINK("C:\Users\alexa\YandexDisk\Книги\Бизнес\Менеджмент\2021_hype_cycles_innovating_delivery_through_trust_growth_and_change.pdf","2021_hype_cycles_innovating_delivery_through_trust_growth_and_change.pdf")</f>
        <v>2021_hype_cycles_innovating_delivery_through_trust_growth_and_change.pdf</v>
      </c>
      <c r="O762" s="3" t="s">
        <v>3080</v>
      </c>
    </row>
    <row r="763" spans="1:15" ht="179.4" x14ac:dyDescent="0.3">
      <c r="A763" s="4">
        <v>762</v>
      </c>
      <c r="B763" s="5" t="s">
        <v>3081</v>
      </c>
      <c r="C763" s="5" t="s">
        <v>3082</v>
      </c>
      <c r="D763" s="5" t="s">
        <v>161</v>
      </c>
      <c r="E763" s="5" t="s">
        <v>3083</v>
      </c>
      <c r="F763" s="5" t="s">
        <v>3071</v>
      </c>
      <c r="G763" s="5" t="s">
        <v>3041</v>
      </c>
      <c r="H763" s="5" t="s">
        <v>3072</v>
      </c>
      <c r="I763" s="5" t="s">
        <v>20</v>
      </c>
      <c r="J763" s="5">
        <v>2.87</v>
      </c>
      <c r="K763" s="5" t="s">
        <v>21</v>
      </c>
      <c r="L763" s="5" t="s">
        <v>3084</v>
      </c>
      <c r="M763" s="5" t="s">
        <v>3074</v>
      </c>
      <c r="N763" s="7" t="str">
        <f>HYPERLINK("C:\Users\alexa\YandexDisk\Книги\Бизнес\Менеджмент\Adizes_I._Metodologiyaadizesa._Upravlenie_Izmeneniyami_B.a4.pdf","Adizes_I._Metodologiyaadizesa._Upravlenie_Izmeneniyami_B.a4.pdf")</f>
        <v>Adizes_I._Metodologiyaadizesa._Upravlenie_Izmeneniyami_B.a4.pdf</v>
      </c>
      <c r="O763" s="5" t="s">
        <v>3085</v>
      </c>
    </row>
    <row r="764" spans="1:15" ht="193.2" x14ac:dyDescent="0.3">
      <c r="A764" s="2">
        <v>763</v>
      </c>
      <c r="B764" s="3" t="s">
        <v>3086</v>
      </c>
      <c r="C764" s="3" t="s">
        <v>3082</v>
      </c>
      <c r="D764" s="3" t="s">
        <v>476</v>
      </c>
      <c r="E764" s="3" t="s">
        <v>1416</v>
      </c>
      <c r="F764" s="3" t="s">
        <v>3071</v>
      </c>
      <c r="G764" s="3" t="s">
        <v>3041</v>
      </c>
      <c r="H764" s="3" t="s">
        <v>3072</v>
      </c>
      <c r="I764" s="3" t="s">
        <v>20</v>
      </c>
      <c r="J764" s="3">
        <v>1.63</v>
      </c>
      <c r="K764" s="3" t="s">
        <v>21</v>
      </c>
      <c r="L764" s="3" t="s">
        <v>3087</v>
      </c>
      <c r="M764" s="3" t="s">
        <v>3074</v>
      </c>
      <c r="N764" s="6" t="str">
        <f>HYPERLINK("C:\Users\alexa\YandexDisk\Книги\Бизнес\Менеджмент\Adizes_I._Stili_Menedjmenta.pdf","Adizes_I._Stili_Menedjmenta.pdf")</f>
        <v>Adizes_I._Stili_Menedjmenta.pdf</v>
      </c>
      <c r="O764" s="3" t="s">
        <v>3088</v>
      </c>
    </row>
    <row r="765" spans="1:15" ht="248.4" x14ac:dyDescent="0.3">
      <c r="A765" s="4">
        <v>764</v>
      </c>
      <c r="B765" s="5" t="s">
        <v>3089</v>
      </c>
      <c r="C765" s="5" t="s">
        <v>3090</v>
      </c>
      <c r="D765" s="5" t="s">
        <v>1022</v>
      </c>
      <c r="E765" s="5" t="s">
        <v>303</v>
      </c>
      <c r="F765" s="5" t="s">
        <v>3071</v>
      </c>
      <c r="G765" s="5" t="s">
        <v>3041</v>
      </c>
      <c r="H765" s="5" t="s">
        <v>3072</v>
      </c>
      <c r="I765" s="5" t="s">
        <v>20</v>
      </c>
      <c r="J765" s="5">
        <v>0.76</v>
      </c>
      <c r="K765" s="5" t="s">
        <v>21</v>
      </c>
      <c r="L765" s="5" t="s">
        <v>3091</v>
      </c>
      <c r="M765" s="5" t="s">
        <v>3074</v>
      </c>
      <c r="N765" s="7" t="str">
        <f>HYPERLINK("C:\Users\alexa\YandexDisk\Книги\Бизнес\Менеджмент\Adizes_Upravlenie_v_epohu_krizisa.pdf","Adizes_Upravlenie_v_epohu_krizisa.pdf")</f>
        <v>Adizes_Upravlenie_v_epohu_krizisa.pdf</v>
      </c>
      <c r="O765" s="5" t="s">
        <v>3092</v>
      </c>
    </row>
    <row r="766" spans="1:15" ht="193.2" x14ac:dyDescent="0.3">
      <c r="A766" s="2">
        <v>765</v>
      </c>
      <c r="B766" s="3" t="s">
        <v>3093</v>
      </c>
      <c r="C766" s="3" t="s">
        <v>3094</v>
      </c>
      <c r="D766" s="3"/>
      <c r="E766" s="3"/>
      <c r="F766" s="3" t="s">
        <v>3071</v>
      </c>
      <c r="G766" s="3" t="s">
        <v>3041</v>
      </c>
      <c r="H766" s="3" t="s">
        <v>3072</v>
      </c>
      <c r="I766" s="3" t="s">
        <v>20</v>
      </c>
      <c r="J766" s="3">
        <v>0.75</v>
      </c>
      <c r="K766" s="3" t="s">
        <v>21</v>
      </c>
      <c r="L766" s="3" t="s">
        <v>3095</v>
      </c>
      <c r="M766" s="3" t="s">
        <v>3074</v>
      </c>
      <c r="N766" s="6" t="str">
        <f>HYPERLINK("C:\Users\alexa\YandexDisk\Книги\Бизнес\Менеджмент\Agile проекты.pdf","Agile проекты.pdf")</f>
        <v>Agile проекты.pdf</v>
      </c>
      <c r="O766" s="3" t="s">
        <v>3096</v>
      </c>
    </row>
    <row r="767" spans="1:15" ht="207" x14ac:dyDescent="0.3">
      <c r="A767" s="4">
        <v>766</v>
      </c>
      <c r="B767" s="5" t="s">
        <v>3097</v>
      </c>
      <c r="C767" s="5" t="s">
        <v>3098</v>
      </c>
      <c r="D767" s="5" t="s">
        <v>71</v>
      </c>
      <c r="E767" s="5" t="s">
        <v>1416</v>
      </c>
      <c r="F767" s="5" t="s">
        <v>3071</v>
      </c>
      <c r="G767" s="5" t="s">
        <v>3041</v>
      </c>
      <c r="H767" s="5" t="s">
        <v>3072</v>
      </c>
      <c r="I767" s="5" t="s">
        <v>20</v>
      </c>
      <c r="J767" s="5">
        <v>9.6</v>
      </c>
      <c r="K767" s="5" t="s">
        <v>21</v>
      </c>
      <c r="L767" s="5" t="s">
        <v>3099</v>
      </c>
      <c r="M767" s="5" t="s">
        <v>3074</v>
      </c>
      <c r="N767" s="7" t="str">
        <f>HYPERLINK("C:\Users\alexa\YandexDisk\Книги\Бизнес\Менеджмент\BPM CBOK 4 - a6.pdf","BPM CBOK 4 - a6.pdf")</f>
        <v>BPM CBOK 4 - a6.pdf</v>
      </c>
      <c r="O767" s="5" t="s">
        <v>3100</v>
      </c>
    </row>
    <row r="768" spans="1:15" ht="179.4" x14ac:dyDescent="0.3">
      <c r="A768" s="2">
        <v>767</v>
      </c>
      <c r="B768" s="3" t="s">
        <v>3101</v>
      </c>
      <c r="C768" s="3" t="s">
        <v>3102</v>
      </c>
      <c r="D768" s="3"/>
      <c r="E768" s="3"/>
      <c r="F768" s="3" t="s">
        <v>3071</v>
      </c>
      <c r="G768" s="3" t="s">
        <v>3041</v>
      </c>
      <c r="H768" s="3" t="s">
        <v>3072</v>
      </c>
      <c r="I768" s="3" t="s">
        <v>20</v>
      </c>
      <c r="J768" s="3">
        <v>2.35</v>
      </c>
      <c r="K768" s="3" t="s">
        <v>21</v>
      </c>
      <c r="L768" s="3" t="s">
        <v>3103</v>
      </c>
      <c r="M768" s="3" t="s">
        <v>3074</v>
      </c>
      <c r="N768" s="6" t="str">
        <f>HYPERLINK("C:\Users\alexa\YandexDisk\Книги\Бизнес\Менеджмент\effektivnye-kommunikacii-7747.pdf","effektivnye-kommunikacii-7747.pdf")</f>
        <v>effektivnye-kommunikacii-7747.pdf</v>
      </c>
      <c r="O768" s="3" t="s">
        <v>3104</v>
      </c>
    </row>
    <row r="769" spans="1:15" ht="179.4" x14ac:dyDescent="0.3">
      <c r="A769" s="4">
        <v>768</v>
      </c>
      <c r="B769" s="5" t="s">
        <v>3105</v>
      </c>
      <c r="C769" s="5" t="s">
        <v>3106</v>
      </c>
      <c r="D769" s="5" t="s">
        <v>77</v>
      </c>
      <c r="E769" s="5" t="s">
        <v>303</v>
      </c>
      <c r="F769" s="5" t="s">
        <v>3071</v>
      </c>
      <c r="G769" s="5" t="s">
        <v>3041</v>
      </c>
      <c r="H769" s="5" t="s">
        <v>3072</v>
      </c>
      <c r="I769" s="5" t="s">
        <v>20</v>
      </c>
      <c r="J769" s="5">
        <v>2.29</v>
      </c>
      <c r="K769" s="5" t="s">
        <v>21</v>
      </c>
      <c r="L769" s="5" t="s">
        <v>3107</v>
      </c>
      <c r="M769" s="5" t="s">
        <v>3074</v>
      </c>
      <c r="N769" s="7" t="str">
        <f>HYPERLINK("C:\Users\alexa\YandexDisk\Книги\Бизнес\Менеджмент\emocii-v-peregovorah.pdf","emocii-v-peregovorah.pdf")</f>
        <v>emocii-v-peregovorah.pdf</v>
      </c>
      <c r="O769" s="5" t="s">
        <v>3108</v>
      </c>
    </row>
    <row r="770" spans="1:15" ht="262.2" x14ac:dyDescent="0.3">
      <c r="A770" s="2">
        <v>769</v>
      </c>
      <c r="B770" s="3" t="s">
        <v>3109</v>
      </c>
      <c r="C770" s="3"/>
      <c r="D770" s="3"/>
      <c r="E770" s="3"/>
      <c r="F770" s="3" t="s">
        <v>3071</v>
      </c>
      <c r="G770" s="3" t="s">
        <v>3041</v>
      </c>
      <c r="H770" s="3" t="s">
        <v>3072</v>
      </c>
      <c r="I770" s="3" t="s">
        <v>20</v>
      </c>
      <c r="J770" s="3">
        <v>2.44</v>
      </c>
      <c r="K770" s="3" t="s">
        <v>21</v>
      </c>
      <c r="L770" s="3" t="s">
        <v>3110</v>
      </c>
      <c r="M770" s="3" t="s">
        <v>3074</v>
      </c>
      <c r="N770" s="6" t="str">
        <f>HYPERLINK("C:\Users\alexa\YandexDisk\Книги\Бизнес\Менеджмент\emocional-noe-liderstvo-iskusstvo-upravleniya-lyud-mi-na-osnove-emocional-nogo-intellekta-7742.pdf","emocional-noe-liderstvo-iskusstvo-upravleniya-lyud-mi-na-osnove-emocional-nogo-intellekta-7742.pdf")</f>
        <v>emocional-noe-liderstvo-iskusstvo-upravleniya-lyud-mi-na-osnove-emocional-nogo-intellekta-7742.pdf</v>
      </c>
      <c r="O770" s="3" t="s">
        <v>3111</v>
      </c>
    </row>
    <row r="771" spans="1:15" ht="220.8" x14ac:dyDescent="0.3">
      <c r="A771" s="4">
        <v>770</v>
      </c>
      <c r="B771" s="5" t="s">
        <v>3112</v>
      </c>
      <c r="C771" s="5" t="s">
        <v>3113</v>
      </c>
      <c r="D771" s="5" t="s">
        <v>161</v>
      </c>
      <c r="E771" s="5" t="s">
        <v>18</v>
      </c>
      <c r="F771" s="5" t="s">
        <v>3071</v>
      </c>
      <c r="G771" s="5" t="s">
        <v>3041</v>
      </c>
      <c r="H771" s="5" t="s">
        <v>3072</v>
      </c>
      <c r="I771" s="5" t="s">
        <v>20</v>
      </c>
      <c r="J771" s="5">
        <v>2.9</v>
      </c>
      <c r="K771" s="5" t="s">
        <v>21</v>
      </c>
      <c r="L771" s="5" t="s">
        <v>3114</v>
      </c>
      <c r="M771" s="5" t="s">
        <v>3074</v>
      </c>
      <c r="N771" s="7" t="str">
        <f>HYPERLINK("C:\Users\alexa\YandexDisk\Книги\Бизнес\Менеджмент\Genri_mintsberg_Структура в кулаке.pdf","Genri_mintsberg_Структура в кулаке.pdf")</f>
        <v>Genri_mintsberg_Структура в кулаке.pdf</v>
      </c>
      <c r="O771" s="5" t="s">
        <v>3115</v>
      </c>
    </row>
    <row r="772" spans="1:15" ht="193.2" x14ac:dyDescent="0.3">
      <c r="A772" s="2">
        <v>771</v>
      </c>
      <c r="B772" s="3" t="s">
        <v>3116</v>
      </c>
      <c r="C772" s="3" t="s">
        <v>3117</v>
      </c>
      <c r="D772" s="3" t="s">
        <v>1022</v>
      </c>
      <c r="E772" s="3" t="s">
        <v>3118</v>
      </c>
      <c r="F772" s="3" t="s">
        <v>3071</v>
      </c>
      <c r="G772" s="3" t="s">
        <v>3041</v>
      </c>
      <c r="H772" s="3" t="s">
        <v>3072</v>
      </c>
      <c r="I772" s="3" t="s">
        <v>20</v>
      </c>
      <c r="J772" s="3">
        <v>0.94</v>
      </c>
      <c r="K772" s="3" t="s">
        <v>21</v>
      </c>
      <c r="L772" s="3" t="s">
        <v>3119</v>
      </c>
      <c r="M772" s="3" t="s">
        <v>3074</v>
      </c>
      <c r="N772" s="6" t="str">
        <f>HYPERLINK("C:\Users\alexa\YandexDisk\Книги\Бизнес\Менеджмент\Goldsmit_M.Прыгни выше головы.pdf","Goldsmit_M.Прыгни выше головы.pdf")</f>
        <v>Goldsmit_M.Прыгни выше головы.pdf</v>
      </c>
      <c r="O772" s="3" t="s">
        <v>3120</v>
      </c>
    </row>
    <row r="773" spans="1:15" ht="151.80000000000001" x14ac:dyDescent="0.3">
      <c r="A773" s="4">
        <v>772</v>
      </c>
      <c r="B773" s="5" t="s">
        <v>3121</v>
      </c>
      <c r="C773" s="5" t="s">
        <v>3122</v>
      </c>
      <c r="D773" s="5" t="s">
        <v>1022</v>
      </c>
      <c r="E773" s="5" t="s">
        <v>303</v>
      </c>
      <c r="F773" s="5" t="s">
        <v>3071</v>
      </c>
      <c r="G773" s="5" t="s">
        <v>3041</v>
      </c>
      <c r="H773" s="5" t="s">
        <v>3072</v>
      </c>
      <c r="I773" s="5" t="s">
        <v>20</v>
      </c>
      <c r="J773" s="5">
        <v>1.85</v>
      </c>
      <c r="K773" s="5" t="s">
        <v>21</v>
      </c>
      <c r="L773" s="5" t="s">
        <v>3123</v>
      </c>
      <c r="M773" s="5" t="s">
        <v>3074</v>
      </c>
      <c r="N773" s="7" t="str">
        <f>HYPERLINK("C:\Users\alexa\YandexDisk\Книги\Бизнес\Менеджмент\kak-upravlyayut-luchshie.pdf","kak-upravlyayut-luchshie.pdf")</f>
        <v>kak-upravlyayut-luchshie.pdf</v>
      </c>
      <c r="O773" s="5" t="s">
        <v>3124</v>
      </c>
    </row>
    <row r="774" spans="1:15" ht="207" x14ac:dyDescent="0.3">
      <c r="A774" s="2">
        <v>773</v>
      </c>
      <c r="B774" s="3" t="s">
        <v>3125</v>
      </c>
      <c r="C774" s="3" t="s">
        <v>3126</v>
      </c>
      <c r="D774" s="3" t="s">
        <v>65</v>
      </c>
      <c r="E774" s="3" t="s">
        <v>303</v>
      </c>
      <c r="F774" s="3" t="s">
        <v>3071</v>
      </c>
      <c r="G774" s="3" t="s">
        <v>3041</v>
      </c>
      <c r="H774" s="3" t="s">
        <v>3072</v>
      </c>
      <c r="I774" s="3" t="s">
        <v>20</v>
      </c>
      <c r="J774" s="3">
        <v>1.94</v>
      </c>
      <c r="K774" s="3" t="s">
        <v>21</v>
      </c>
      <c r="L774" s="3" t="s">
        <v>3127</v>
      </c>
      <c r="M774" s="3" t="s">
        <v>3074</v>
      </c>
      <c r="N774" s="6" t="str">
        <f>HYPERLINK("C:\Users\alexa\YandexDisk\Книги\Бизнес\Менеджмент\Kaufman_D._Sam_Sebe_Mba_Samoobrazova.a4.pdf","Kaufman_D._Sam_Sebe_Mba_Samoobrazova.a4.pdf")</f>
        <v>Kaufman_D._Sam_Sebe_Mba_Samoobrazova.a4.pdf</v>
      </c>
      <c r="O774" s="3" t="s">
        <v>3128</v>
      </c>
    </row>
    <row r="775" spans="1:15" ht="234.6" x14ac:dyDescent="0.3">
      <c r="A775" s="4">
        <v>774</v>
      </c>
      <c r="B775" s="5" t="s">
        <v>3129</v>
      </c>
      <c r="C775" s="5"/>
      <c r="D775" s="5"/>
      <c r="E775" s="5"/>
      <c r="F775" s="5" t="s">
        <v>3071</v>
      </c>
      <c r="G775" s="5" t="s">
        <v>3041</v>
      </c>
      <c r="H775" s="5" t="s">
        <v>3072</v>
      </c>
      <c r="I775" s="5" t="s">
        <v>20</v>
      </c>
      <c r="J775" s="5">
        <v>2.54</v>
      </c>
      <c r="K775" s="5" t="s">
        <v>21</v>
      </c>
      <c r="L775" s="5" t="s">
        <v>3130</v>
      </c>
      <c r="M775" s="5" t="s">
        <v>3074</v>
      </c>
      <c r="N775" s="7" t="str">
        <f>HYPERLINK("C:\Users\alexa\YandexDisk\Книги\Бизнес\Менеджмент\komandnyy-podhod-sozdanie-vysokoeffektivnoy-organizacii-7748.pdf","komandnyy-podhod-sozdanie-vysokoeffektivnoy-organizacii-7748.pdf")</f>
        <v>komandnyy-podhod-sozdanie-vysokoeffektivnoy-organizacii-7748.pdf</v>
      </c>
      <c r="O775" s="5" t="s">
        <v>3131</v>
      </c>
    </row>
    <row r="776" spans="1:15" ht="193.2" x14ac:dyDescent="0.3">
      <c r="A776" s="2">
        <v>775</v>
      </c>
      <c r="B776" s="3" t="s">
        <v>3132</v>
      </c>
      <c r="C776" s="3" t="s">
        <v>3133</v>
      </c>
      <c r="D776" s="3" t="s">
        <v>186</v>
      </c>
      <c r="E776" s="3" t="s">
        <v>303</v>
      </c>
      <c r="F776" s="3" t="s">
        <v>3071</v>
      </c>
      <c r="G776" s="3" t="s">
        <v>3041</v>
      </c>
      <c r="H776" s="3" t="s">
        <v>3072</v>
      </c>
      <c r="I776" s="3" t="s">
        <v>20</v>
      </c>
      <c r="J776" s="3">
        <v>2.12</v>
      </c>
      <c r="K776" s="3" t="s">
        <v>21</v>
      </c>
      <c r="L776" s="3" t="s">
        <v>3134</v>
      </c>
      <c r="M776" s="3" t="s">
        <v>3074</v>
      </c>
      <c r="N776" s="6" t="str">
        <f>HYPERLINK("C:\Users\alexa\YandexDisk\Книги\Бизнес\Менеджмент\postroennie-navechno.pdf","postroennie-navechno.pdf")</f>
        <v>postroennie-navechno.pdf</v>
      </c>
      <c r="O776" s="3" t="s">
        <v>3135</v>
      </c>
    </row>
    <row r="777" spans="1:15" ht="193.2" x14ac:dyDescent="0.3">
      <c r="A777" s="4">
        <v>776</v>
      </c>
      <c r="B777" s="5" t="s">
        <v>3136</v>
      </c>
      <c r="C777" s="5" t="s">
        <v>3137</v>
      </c>
      <c r="D777" s="5" t="s">
        <v>32</v>
      </c>
      <c r="E777" s="5" t="s">
        <v>3138</v>
      </c>
      <c r="F777" s="5" t="s">
        <v>3071</v>
      </c>
      <c r="G777" s="5" t="s">
        <v>3041</v>
      </c>
      <c r="H777" s="5" t="s">
        <v>3072</v>
      </c>
      <c r="I777" s="5" t="s">
        <v>20</v>
      </c>
      <c r="J777" s="5">
        <v>2.91</v>
      </c>
      <c r="K777" s="5" t="s">
        <v>21</v>
      </c>
      <c r="L777" s="5" t="s">
        <v>3139</v>
      </c>
      <c r="M777" s="5" t="s">
        <v>3074</v>
      </c>
      <c r="N777" s="7" t="str">
        <f>HYPERLINK("C:\Users\alexa\YandexDisk\Книги\Бизнес\Менеджмент\privychki-lidera.pdf","privychki-lidera.pdf")</f>
        <v>privychki-lidera.pdf</v>
      </c>
      <c r="O777" s="5" t="s">
        <v>3140</v>
      </c>
    </row>
    <row r="778" spans="1:15" ht="234.6" x14ac:dyDescent="0.3">
      <c r="A778" s="2">
        <v>777</v>
      </c>
      <c r="B778" s="3" t="s">
        <v>3141</v>
      </c>
      <c r="C778" s="3" t="s">
        <v>3142</v>
      </c>
      <c r="D778" s="3"/>
      <c r="E778" s="3"/>
      <c r="F778" s="3" t="s">
        <v>3071</v>
      </c>
      <c r="G778" s="3" t="s">
        <v>3041</v>
      </c>
      <c r="H778" s="3" t="s">
        <v>3072</v>
      </c>
      <c r="I778" s="3" t="s">
        <v>20</v>
      </c>
      <c r="J778" s="3">
        <v>3.07</v>
      </c>
      <c r="K778" s="3" t="s">
        <v>21</v>
      </c>
      <c r="L778" s="3" t="s">
        <v>3143</v>
      </c>
      <c r="M778" s="3" t="s">
        <v>3074</v>
      </c>
      <c r="N778" s="6" t="str">
        <f>HYPERLINK("C:\Users\alexa\YandexDisk\Книги\Бизнес\Менеджмент\upravlenie-komandoy-7739.pdf","upravlenie-komandoy-7739.pdf")</f>
        <v>upravlenie-komandoy-7739.pdf</v>
      </c>
      <c r="O778" s="3" t="s">
        <v>3144</v>
      </c>
    </row>
    <row r="779" spans="1:15" ht="179.4" x14ac:dyDescent="0.3">
      <c r="A779" s="4">
        <v>778</v>
      </c>
      <c r="B779" s="5" t="s">
        <v>3145</v>
      </c>
      <c r="C779" s="5" t="s">
        <v>3146</v>
      </c>
      <c r="D779" s="5" t="s">
        <v>17</v>
      </c>
      <c r="E779" s="5" t="s">
        <v>3147</v>
      </c>
      <c r="F779" s="5" t="s">
        <v>3071</v>
      </c>
      <c r="G779" s="5" t="s">
        <v>3041</v>
      </c>
      <c r="H779" s="5" t="s">
        <v>3072</v>
      </c>
      <c r="I779" s="5" t="s">
        <v>20</v>
      </c>
      <c r="J779" s="5">
        <v>2.15</v>
      </c>
      <c r="K779" s="5" t="s">
        <v>21</v>
      </c>
      <c r="L779" s="5" t="s">
        <v>3148</v>
      </c>
      <c r="M779" s="5" t="s">
        <v>3074</v>
      </c>
      <c r="N779" s="7" t="str">
        <f>HYPERLINK("C:\Users\alexa\YandexDisk\Книги\Бизнес\Менеджмент\Бовыкин Научная организация труда 2021.pdf","Бовыкин Научная организация труда 2021.pdf")</f>
        <v>Бовыкин Научная организация труда 2021.pdf</v>
      </c>
      <c r="O779" s="5" t="s">
        <v>3149</v>
      </c>
    </row>
    <row r="780" spans="1:15" ht="165.6" x14ac:dyDescent="0.3">
      <c r="A780" s="2">
        <v>779</v>
      </c>
      <c r="B780" s="3" t="s">
        <v>3150</v>
      </c>
      <c r="C780" s="3" t="s">
        <v>3151</v>
      </c>
      <c r="D780" s="3" t="s">
        <v>77</v>
      </c>
      <c r="E780" s="3" t="s">
        <v>1023</v>
      </c>
      <c r="F780" s="3" t="s">
        <v>3071</v>
      </c>
      <c r="G780" s="3" t="s">
        <v>3041</v>
      </c>
      <c r="H780" s="3" t="s">
        <v>3072</v>
      </c>
      <c r="I780" s="3" t="s">
        <v>20</v>
      </c>
      <c r="J780" s="3">
        <v>0.53</v>
      </c>
      <c r="K780" s="3" t="s">
        <v>21</v>
      </c>
      <c r="L780" s="3" t="s">
        <v>3152</v>
      </c>
      <c r="M780" s="3" t="s">
        <v>3074</v>
      </c>
      <c r="N780" s="6" t="str">
        <f>HYPERLINK("C:\Users\alexa\YandexDisk\Книги\Бизнес\Менеджмент\Дизайн-мышление.pdf","Дизайн-мышление.pdf")</f>
        <v>Дизайн-мышление.pdf</v>
      </c>
      <c r="O780" s="3" t="s">
        <v>3153</v>
      </c>
    </row>
    <row r="781" spans="1:15" ht="27.6" x14ac:dyDescent="0.3">
      <c r="A781" s="4">
        <v>780</v>
      </c>
      <c r="B781" s="5" t="s">
        <v>3150</v>
      </c>
      <c r="C781" s="5" t="s">
        <v>3151</v>
      </c>
      <c r="D781" s="5"/>
      <c r="E781" s="5"/>
      <c r="F781" s="5" t="s">
        <v>3071</v>
      </c>
      <c r="G781" s="5" t="s">
        <v>3041</v>
      </c>
      <c r="H781" s="5" t="s">
        <v>3072</v>
      </c>
      <c r="I781" s="5" t="s">
        <v>3154</v>
      </c>
      <c r="J781" s="5">
        <v>2.62</v>
      </c>
      <c r="K781" s="5" t="s">
        <v>21</v>
      </c>
      <c r="L781" s="5" t="s">
        <v>3155</v>
      </c>
      <c r="M781" s="5" t="s">
        <v>3074</v>
      </c>
      <c r="N781" s="7" t="str">
        <f>HYPERLINK("C:\Users\alexa\YandexDisk\Книги\Бизнес\Менеджмент\Дизайн-мышление.rtf","Дизайн-мышление.rtf")</f>
        <v>Дизайн-мышление.rtf</v>
      </c>
      <c r="O781" s="5" t="s">
        <v>930</v>
      </c>
    </row>
    <row r="782" spans="1:15" ht="193.2" x14ac:dyDescent="0.3">
      <c r="A782" s="2">
        <v>781</v>
      </c>
      <c r="B782" s="3" t="s">
        <v>3156</v>
      </c>
      <c r="C782" s="3" t="s">
        <v>3157</v>
      </c>
      <c r="D782" s="3" t="s">
        <v>3158</v>
      </c>
      <c r="E782" s="3" t="s">
        <v>3159</v>
      </c>
      <c r="F782" s="3" t="s">
        <v>3071</v>
      </c>
      <c r="G782" s="3" t="s">
        <v>3041</v>
      </c>
      <c r="H782" s="3" t="s">
        <v>3072</v>
      </c>
      <c r="I782" s="3" t="s">
        <v>2787</v>
      </c>
      <c r="J782" s="3">
        <v>0.98</v>
      </c>
      <c r="K782" s="3" t="s">
        <v>21</v>
      </c>
      <c r="L782" s="3" t="s">
        <v>3160</v>
      </c>
      <c r="M782" s="3" t="s">
        <v>3074</v>
      </c>
      <c r="N782" s="6" t="str">
        <f>HYPERLINK("C:\Users\alexa\YandexDisk\Книги\Бизнес\Менеджмент\Иммельман Рэймонд. Boss_ бесподобный или бесполезный.fb2","Иммельман Рэймонд. Boss_ бесподобный или бесполезный.fb2")</f>
        <v>Иммельман Рэймонд. Boss_ бесподобный или бесполезный.fb2</v>
      </c>
      <c r="O782" s="3" t="s">
        <v>3161</v>
      </c>
    </row>
    <row r="783" spans="1:15" ht="151.80000000000001" x14ac:dyDescent="0.3">
      <c r="A783" s="4">
        <v>782</v>
      </c>
      <c r="B783" s="5" t="s">
        <v>3162</v>
      </c>
      <c r="C783" s="5" t="s">
        <v>3163</v>
      </c>
      <c r="D783" s="5" t="s">
        <v>77</v>
      </c>
      <c r="E783" s="5" t="s">
        <v>18</v>
      </c>
      <c r="F783" s="5" t="s">
        <v>3071</v>
      </c>
      <c r="G783" s="5" t="s">
        <v>3041</v>
      </c>
      <c r="H783" s="5" t="s">
        <v>3072</v>
      </c>
      <c r="I783" s="5" t="s">
        <v>20</v>
      </c>
      <c r="J783" s="5">
        <v>3.67</v>
      </c>
      <c r="K783" s="5" t="s">
        <v>21</v>
      </c>
      <c r="L783" s="5" t="s">
        <v>3164</v>
      </c>
      <c r="M783" s="5" t="s">
        <v>3074</v>
      </c>
      <c r="N783" s="7" t="str">
        <f>HYPERLINK("C:\Users\alexa\YandexDisk\Книги\Бизнес\Менеджмент\Как пасти котов..pdf","Как пасти котов..pdf")</f>
        <v>Как пасти котов..pdf</v>
      </c>
      <c r="O783" s="5" t="s">
        <v>3165</v>
      </c>
    </row>
    <row r="784" spans="1:15" ht="207" x14ac:dyDescent="0.3">
      <c r="A784" s="2">
        <v>783</v>
      </c>
      <c r="B784" s="3" t="s">
        <v>3166</v>
      </c>
      <c r="C784" s="3" t="s">
        <v>3167</v>
      </c>
      <c r="D784" s="3" t="s">
        <v>114</v>
      </c>
      <c r="E784" s="3" t="s">
        <v>18</v>
      </c>
      <c r="F784" s="3" t="s">
        <v>3071</v>
      </c>
      <c r="G784" s="3" t="s">
        <v>3041</v>
      </c>
      <c r="H784" s="3" t="s">
        <v>3072</v>
      </c>
      <c r="I784" s="3" t="s">
        <v>20</v>
      </c>
      <c r="J784" s="3">
        <v>1.76</v>
      </c>
      <c r="K784" s="3" t="s">
        <v>21</v>
      </c>
      <c r="L784" s="3" t="s">
        <v>3168</v>
      </c>
      <c r="M784" s="3" t="s">
        <v>3074</v>
      </c>
      <c r="N784" s="6" t="str">
        <f>HYPERLINK("C:\Users\alexa\YandexDisk\Книги\Бизнес\Менеджмент\Как управлять интеллектуалами..pdf","Как управлять интеллектуалами..pdf")</f>
        <v>Как управлять интеллектуалами..pdf</v>
      </c>
      <c r="O784" s="3" t="s">
        <v>3169</v>
      </c>
    </row>
    <row r="785" spans="1:15" ht="165.6" x14ac:dyDescent="0.3">
      <c r="A785" s="4">
        <v>784</v>
      </c>
      <c r="B785" s="5" t="s">
        <v>3170</v>
      </c>
      <c r="C785" s="5" t="s">
        <v>3171</v>
      </c>
      <c r="D785" s="5" t="s">
        <v>32</v>
      </c>
      <c r="E785" s="5" t="s">
        <v>3172</v>
      </c>
      <c r="F785" s="5" t="s">
        <v>3071</v>
      </c>
      <c r="G785" s="5" t="s">
        <v>3041</v>
      </c>
      <c r="H785" s="5" t="s">
        <v>3072</v>
      </c>
      <c r="I785" s="5" t="s">
        <v>20</v>
      </c>
      <c r="J785" s="5">
        <v>1.24</v>
      </c>
      <c r="K785" s="5" t="s">
        <v>21</v>
      </c>
      <c r="L785" s="5" t="s">
        <v>3173</v>
      </c>
      <c r="M785" s="5" t="s">
        <v>3074</v>
      </c>
      <c r="N785" s="7" t="str">
        <f>HYPERLINK("C:\Users\alexa\YandexDisk\Книги\Бизнес\Менеджмент\Культурный код - Дениэл.pdf","Культурный код - Дениэл.pdf")</f>
        <v>Культурный код - Дениэл.pdf</v>
      </c>
      <c r="O785" s="5" t="s">
        <v>3174</v>
      </c>
    </row>
    <row r="786" spans="1:15" ht="220.8" x14ac:dyDescent="0.3">
      <c r="A786" s="2">
        <v>785</v>
      </c>
      <c r="B786" s="3" t="s">
        <v>3175</v>
      </c>
      <c r="C786" s="3" t="s">
        <v>3176</v>
      </c>
      <c r="D786" s="3" t="s">
        <v>59</v>
      </c>
      <c r="E786" s="3" t="s">
        <v>1023</v>
      </c>
      <c r="F786" s="3" t="s">
        <v>3071</v>
      </c>
      <c r="G786" s="3" t="s">
        <v>3041</v>
      </c>
      <c r="H786" s="3" t="s">
        <v>3072</v>
      </c>
      <c r="I786" s="3" t="s">
        <v>20</v>
      </c>
      <c r="J786" s="3">
        <v>6.59</v>
      </c>
      <c r="K786" s="3" t="s">
        <v>21</v>
      </c>
      <c r="L786" s="3" t="s">
        <v>3177</v>
      </c>
      <c r="M786" s="3" t="s">
        <v>3074</v>
      </c>
      <c r="N786" s="6" t="str">
        <f>HYPERLINK("C:\Users\alexa\YandexDisk\Книги\Бизнес\Менеджмент\Оцифруйся или умри.pdf","Оцифруйся или умри.pdf")</f>
        <v>Оцифруйся или умри.pdf</v>
      </c>
      <c r="O786" s="3" t="s">
        <v>3178</v>
      </c>
    </row>
    <row r="787" spans="1:15" ht="207" x14ac:dyDescent="0.3">
      <c r="A787" s="4">
        <v>786</v>
      </c>
      <c r="B787" s="5" t="s">
        <v>3179</v>
      </c>
      <c r="C787" s="5" t="s">
        <v>3180</v>
      </c>
      <c r="D787" s="5" t="s">
        <v>59</v>
      </c>
      <c r="E787" s="5" t="s">
        <v>3181</v>
      </c>
      <c r="F787" s="5" t="s">
        <v>3071</v>
      </c>
      <c r="G787" s="5" t="s">
        <v>3041</v>
      </c>
      <c r="H787" s="5" t="s">
        <v>3072</v>
      </c>
      <c r="I787" s="5" t="s">
        <v>20</v>
      </c>
      <c r="J787" s="5">
        <v>9.6999999999999993</v>
      </c>
      <c r="K787" s="5" t="s">
        <v>21</v>
      </c>
      <c r="L787" s="5" t="s">
        <v>3182</v>
      </c>
      <c r="M787" s="5" t="s">
        <v>3074</v>
      </c>
      <c r="N787" s="7" t="str">
        <f>HYPERLINK("C:\Users\alexa\YandexDisk\Книги\Бизнес\Менеджмент\По ту сторону игр.pdf","По ту сторону игр.pdf")</f>
        <v>По ту сторону игр.pdf</v>
      </c>
      <c r="O787" s="5" t="s">
        <v>3183</v>
      </c>
    </row>
    <row r="788" spans="1:15" ht="234.6" x14ac:dyDescent="0.3">
      <c r="A788" s="2">
        <v>787</v>
      </c>
      <c r="B788" s="3" t="s">
        <v>3184</v>
      </c>
      <c r="C788" s="3" t="s">
        <v>3185</v>
      </c>
      <c r="D788" s="3"/>
      <c r="E788" s="3"/>
      <c r="F788" s="3" t="s">
        <v>3071</v>
      </c>
      <c r="G788" s="3" t="s">
        <v>3041</v>
      </c>
      <c r="H788" s="3" t="s">
        <v>3072</v>
      </c>
      <c r="I788" s="3" t="s">
        <v>20</v>
      </c>
      <c r="J788" s="3">
        <v>2.72</v>
      </c>
      <c r="K788" s="3" t="s">
        <v>21</v>
      </c>
      <c r="L788" s="3" t="s">
        <v>3186</v>
      </c>
      <c r="M788" s="3" t="s">
        <v>3074</v>
      </c>
      <c r="N788" s="6" t="str">
        <f>HYPERLINK("C:\Users\alexa\YandexDisk\Книги\Бизнес\Менеджмент\Сохраняя энергию стартапа.pdf","Сохраняя энергию стартапа.pdf")</f>
        <v>Сохраняя энергию стартапа.pdf</v>
      </c>
      <c r="O788" s="3" t="s">
        <v>3187</v>
      </c>
    </row>
    <row r="789" spans="1:15" ht="138" x14ac:dyDescent="0.3">
      <c r="A789" s="4">
        <v>788</v>
      </c>
      <c r="B789" s="5" t="s">
        <v>3188</v>
      </c>
      <c r="C789" s="5" t="s">
        <v>3189</v>
      </c>
      <c r="D789" s="5" t="s">
        <v>1022</v>
      </c>
      <c r="E789" s="5" t="s">
        <v>3190</v>
      </c>
      <c r="F789" s="5" t="s">
        <v>3191</v>
      </c>
      <c r="G789" s="5" t="s">
        <v>3041</v>
      </c>
      <c r="H789" s="5" t="s">
        <v>3192</v>
      </c>
      <c r="I789" s="5" t="s">
        <v>20</v>
      </c>
      <c r="J789" s="5">
        <v>3.37</v>
      </c>
      <c r="K789" s="5" t="s">
        <v>21</v>
      </c>
      <c r="L789" s="5" t="s">
        <v>3193</v>
      </c>
      <c r="M789" s="5" t="s">
        <v>3194</v>
      </c>
      <c r="N789" s="7" t="str">
        <f>HYPERLINK("C:\Users\alexa\YandexDisk\Книги\Бизнес\Стратегия\BABOK_v3_Rukovodstvo.pdf","BABOK_v3_Rukovodstvo.pdf")</f>
        <v>BABOK_v3_Rukovodstvo.pdf</v>
      </c>
      <c r="O789" s="5" t="s">
        <v>3195</v>
      </c>
    </row>
    <row r="790" spans="1:15" ht="207" x14ac:dyDescent="0.3">
      <c r="A790" s="2">
        <v>789</v>
      </c>
      <c r="B790" s="3" t="s">
        <v>3125</v>
      </c>
      <c r="C790" s="3" t="s">
        <v>3126</v>
      </c>
      <c r="D790" s="3" t="s">
        <v>274</v>
      </c>
      <c r="E790" s="3" t="s">
        <v>303</v>
      </c>
      <c r="F790" s="3" t="s">
        <v>3191</v>
      </c>
      <c r="G790" s="3" t="s">
        <v>3041</v>
      </c>
      <c r="H790" s="3" t="s">
        <v>3192</v>
      </c>
      <c r="I790" s="3" t="s">
        <v>280</v>
      </c>
      <c r="J790" s="3">
        <v>1.7</v>
      </c>
      <c r="K790" s="3" t="s">
        <v>21</v>
      </c>
      <c r="L790" s="3" t="s">
        <v>3196</v>
      </c>
      <c r="M790" s="3" t="s">
        <v>3194</v>
      </c>
      <c r="N790" s="6" t="str">
        <f>HYPERLINK("C:\Users\alexa\YandexDisk\Книги\Бизнес\Стратегия\Kaufman_D._Sam_Sebe_Mba_Samoobrazova.epub","Kaufman_D._Sam_Sebe_Mba_Samoobrazova.epub")</f>
        <v>Kaufman_D._Sam_Sebe_Mba_Samoobrazova.epub</v>
      </c>
      <c r="O790" s="3" t="s">
        <v>3197</v>
      </c>
    </row>
    <row r="791" spans="1:15" ht="289.8" x14ac:dyDescent="0.3">
      <c r="A791" s="4">
        <v>790</v>
      </c>
      <c r="B791" s="5" t="s">
        <v>3198</v>
      </c>
      <c r="C791" s="5"/>
      <c r="D791" s="5"/>
      <c r="E791" s="5"/>
      <c r="F791" s="5" t="s">
        <v>3191</v>
      </c>
      <c r="G791" s="5" t="s">
        <v>3041</v>
      </c>
      <c r="H791" s="5" t="s">
        <v>3192</v>
      </c>
      <c r="I791" s="5" t="s">
        <v>20</v>
      </c>
      <c r="J791" s="5">
        <v>6.22</v>
      </c>
      <c r="K791" s="5" t="s">
        <v>21</v>
      </c>
      <c r="L791" s="5" t="s">
        <v>3199</v>
      </c>
      <c r="M791" s="5" t="s">
        <v>3194</v>
      </c>
      <c r="N791" s="7" t="str">
        <f>HYPERLINK("C:\Users\alexa\YandexDisk\Книги\Бизнес\Стратегия\strategiya-chistogo-lista-kak-perestat-planirovat-i-nachat-delat-biznes-38397.pdf","strategiya-chistogo-lista-kak-perestat-planirovat-i-nachat-delat-biznes-38397.pdf")</f>
        <v>strategiya-chistogo-lista-kak-perestat-planirovat-i-nachat-delat-biznes-38397.pdf</v>
      </c>
      <c r="O791" s="5" t="s">
        <v>3200</v>
      </c>
    </row>
    <row r="792" spans="1:15" ht="179.4" x14ac:dyDescent="0.3">
      <c r="A792" s="2">
        <v>791</v>
      </c>
      <c r="B792" s="3" t="s">
        <v>3201</v>
      </c>
      <c r="C792" s="3" t="s">
        <v>3202</v>
      </c>
      <c r="D792" s="3" t="s">
        <v>3203</v>
      </c>
      <c r="E792" s="3" t="s">
        <v>3204</v>
      </c>
      <c r="F792" s="3" t="s">
        <v>3191</v>
      </c>
      <c r="G792" s="3" t="s">
        <v>3041</v>
      </c>
      <c r="H792" s="3" t="s">
        <v>3192</v>
      </c>
      <c r="I792" s="3" t="s">
        <v>20</v>
      </c>
      <c r="J792" s="3">
        <v>12.81</v>
      </c>
      <c r="K792" s="3" t="s">
        <v>21</v>
      </c>
      <c r="L792" s="3" t="s">
        <v>3205</v>
      </c>
      <c r="M792" s="3" t="s">
        <v>3194</v>
      </c>
      <c r="N792" s="6" t="str">
        <f>HYPERLINK("C:\Users\alexa\YandexDisk\Книги\Бизнес\Стратегия\Го и восточная бизнес-стратегия.pdf","Го и восточная бизнес-стратегия.pdf")</f>
        <v>Го и восточная бизнес-стратегия.pdf</v>
      </c>
      <c r="O792" s="3" t="s">
        <v>3206</v>
      </c>
    </row>
    <row r="793" spans="1:15" ht="165.6" x14ac:dyDescent="0.3">
      <c r="A793" s="4">
        <v>792</v>
      </c>
      <c r="B793" s="5" t="s">
        <v>3207</v>
      </c>
      <c r="C793" s="5" t="s">
        <v>3208</v>
      </c>
      <c r="D793" s="5"/>
      <c r="E793" s="5"/>
      <c r="F793" s="5" t="s">
        <v>3209</v>
      </c>
      <c r="G793" s="5" t="s">
        <v>3041</v>
      </c>
      <c r="H793" s="5" t="s">
        <v>3210</v>
      </c>
      <c r="I793" s="5" t="s">
        <v>20</v>
      </c>
      <c r="J793" s="5">
        <v>6.96</v>
      </c>
      <c r="K793" s="5" t="s">
        <v>21</v>
      </c>
      <c r="L793" s="5" t="s">
        <v>3211</v>
      </c>
      <c r="M793" s="5" t="s">
        <v>3212</v>
      </c>
      <c r="N793" s="7" t="str">
        <f>HYPERLINK("C:\Users\alexa\YandexDisk\Книги\Бизнес\Финансы\Introduction to Financial Derivatives with Python.pdf","Introduction to Financial Derivatives with Python.pdf")</f>
        <v>Introduction to Financial Derivatives with Python.pdf</v>
      </c>
      <c r="O793" s="5" t="s">
        <v>3213</v>
      </c>
    </row>
    <row r="794" spans="1:15" ht="151.80000000000001" x14ac:dyDescent="0.3">
      <c r="A794" s="2">
        <v>793</v>
      </c>
      <c r="B794" s="3" t="s">
        <v>3214</v>
      </c>
      <c r="C794" s="3" t="s">
        <v>3215</v>
      </c>
      <c r="D794" s="3" t="s">
        <v>186</v>
      </c>
      <c r="E794" s="3" t="s">
        <v>3216</v>
      </c>
      <c r="F794" s="3" t="s">
        <v>3209</v>
      </c>
      <c r="G794" s="3" t="s">
        <v>3041</v>
      </c>
      <c r="H794" s="3" t="s">
        <v>3210</v>
      </c>
      <c r="I794" s="3" t="s">
        <v>20</v>
      </c>
      <c r="J794" s="3">
        <v>4.5199999999999996</v>
      </c>
      <c r="K794" s="3" t="s">
        <v>21</v>
      </c>
      <c r="L794" s="3" t="s">
        <v>3217</v>
      </c>
      <c r="M794" s="3" t="s">
        <v>3212</v>
      </c>
      <c r="N794" s="6" t="str">
        <f>HYPERLINK("C:\Users\alexa\YandexDisk\Книги\Бизнес\Финансы\Kiyiosaki_R._Feyik_Kak_Loj_Delaet_Bedn.a4.pdf","Kiyiosaki_R._Feyik_Kak_Loj_Delaet_Bedn.a4.pdf")</f>
        <v>Kiyiosaki_R._Feyik_Kak_Loj_Delaet_Bedn.a4.pdf</v>
      </c>
      <c r="O794" s="3" t="s">
        <v>3218</v>
      </c>
    </row>
    <row r="795" spans="1:15" ht="193.2" x14ac:dyDescent="0.3">
      <c r="A795" s="4">
        <v>794</v>
      </c>
      <c r="B795" s="5" t="s">
        <v>3219</v>
      </c>
      <c r="C795" s="5" t="s">
        <v>3220</v>
      </c>
      <c r="D795" s="5" t="s">
        <v>32</v>
      </c>
      <c r="E795" s="5" t="s">
        <v>3172</v>
      </c>
      <c r="F795" s="5" t="s">
        <v>3209</v>
      </c>
      <c r="G795" s="5" t="s">
        <v>3041</v>
      </c>
      <c r="H795" s="5" t="s">
        <v>3210</v>
      </c>
      <c r="I795" s="5" t="s">
        <v>20</v>
      </c>
      <c r="J795" s="5">
        <v>3.1</v>
      </c>
      <c r="K795" s="5" t="s">
        <v>21</v>
      </c>
      <c r="L795" s="5" t="s">
        <v>3221</v>
      </c>
      <c r="M795" s="5" t="s">
        <v>3212</v>
      </c>
      <c r="N795" s="7" t="str">
        <f>HYPERLINK("C:\Users\alexa\YandexDisk\Книги\Бизнес\Финансы\Taleb_N. Рискуя собственной шкурой.pdf","Taleb_N. Рискуя собственной шкурой.pdf")</f>
        <v>Taleb_N. Рискуя собственной шкурой.pdf</v>
      </c>
      <c r="O795" s="5" t="s">
        <v>3222</v>
      </c>
    </row>
    <row r="796" spans="1:15" ht="220.8" x14ac:dyDescent="0.3">
      <c r="A796" s="2">
        <v>795</v>
      </c>
      <c r="B796" s="3" t="s">
        <v>3223</v>
      </c>
      <c r="C796" s="3" t="s">
        <v>3224</v>
      </c>
      <c r="D796" s="3"/>
      <c r="E796" s="3"/>
      <c r="F796" s="3" t="s">
        <v>3225</v>
      </c>
      <c r="G796" s="3" t="s">
        <v>3226</v>
      </c>
      <c r="H796" s="3" t="s">
        <v>3227</v>
      </c>
      <c r="I796" s="3" t="s">
        <v>20</v>
      </c>
      <c r="J796" s="3">
        <v>0.99</v>
      </c>
      <c r="K796" s="3" t="s">
        <v>21</v>
      </c>
      <c r="L796" s="3" t="s">
        <v>3228</v>
      </c>
      <c r="M796" s="3" t="s">
        <v>3229</v>
      </c>
      <c r="N796" s="6" t="str">
        <f>HYPERLINK("C:\Users\alexa\YandexDisk\Книги\Блокчейн\Безопасность блокчейн\A Survey on Security and Privacy Issues of Bitcoin.pdf","A Survey on Security and Privacy Issues of Bitcoin.pdf")</f>
        <v>A Survey on Security and Privacy Issues of Bitcoin.pdf</v>
      </c>
      <c r="O796" s="3" t="s">
        <v>3230</v>
      </c>
    </row>
    <row r="797" spans="1:15" ht="179.4" x14ac:dyDescent="0.3">
      <c r="A797" s="4">
        <v>796</v>
      </c>
      <c r="B797" s="5" t="s">
        <v>3231</v>
      </c>
      <c r="C797" s="5" t="s">
        <v>3232</v>
      </c>
      <c r="D797" s="5"/>
      <c r="E797" s="5"/>
      <c r="F797" s="5" t="s">
        <v>3225</v>
      </c>
      <c r="G797" s="5" t="s">
        <v>3226</v>
      </c>
      <c r="H797" s="5" t="s">
        <v>3227</v>
      </c>
      <c r="I797" s="5" t="s">
        <v>20</v>
      </c>
      <c r="J797" s="5">
        <v>0.32</v>
      </c>
      <c r="K797" s="5" t="s">
        <v>21</v>
      </c>
      <c r="L797" s="5" t="s">
        <v>3233</v>
      </c>
      <c r="M797" s="5" t="s">
        <v>3229</v>
      </c>
      <c r="N797" s="7" t="str">
        <f>HYPERLINK("C:\Users\alexa\YandexDisk\Книги\Блокчейн\Безопасность блокчейн\Analysis of Man-In-The-Middle of Attack on Bitcoin Address.pdf","Analysis of Man-In-The-Middle of Attack on Bitcoin Address.pdf")</f>
        <v>Analysis of Man-In-The-Middle of Attack on Bitcoin Address.pdf</v>
      </c>
      <c r="O797" s="5" t="s">
        <v>3234</v>
      </c>
    </row>
    <row r="798" spans="1:15" ht="207" x14ac:dyDescent="0.3">
      <c r="A798" s="2">
        <v>797</v>
      </c>
      <c r="B798" s="3" t="s">
        <v>3235</v>
      </c>
      <c r="C798" s="3" t="s">
        <v>3236</v>
      </c>
      <c r="D798" s="3" t="s">
        <v>50</v>
      </c>
      <c r="E798" s="3" t="s">
        <v>3237</v>
      </c>
      <c r="F798" s="3" t="s">
        <v>3225</v>
      </c>
      <c r="G798" s="3" t="s">
        <v>3226</v>
      </c>
      <c r="H798" s="3" t="s">
        <v>3227</v>
      </c>
      <c r="I798" s="3" t="s">
        <v>20</v>
      </c>
      <c r="J798" s="3">
        <v>0.27</v>
      </c>
      <c r="K798" s="3" t="s">
        <v>21</v>
      </c>
      <c r="L798" s="3" t="s">
        <v>3238</v>
      </c>
      <c r="M798" s="3" t="s">
        <v>3229</v>
      </c>
      <c r="N798" s="6" t="str">
        <f>HYPERLINK("C:\Users\alexa\YandexDisk\Книги\Блокчейн\Безопасность блокчейн\Analysis of Spliting Attacks on Bitcoin and GHOST Consensus Protocols.pdf","Analysis of Spliting Attacks on Bitcoin and GHOST Consensus Protocols.pdf")</f>
        <v>Analysis of Spliting Attacks on Bitcoin and GHOST Consensus Protocols.pdf</v>
      </c>
      <c r="O798" s="3" t="s">
        <v>3239</v>
      </c>
    </row>
    <row r="799" spans="1:15" ht="165.6" x14ac:dyDescent="0.3">
      <c r="A799" s="4">
        <v>798</v>
      </c>
      <c r="B799" s="5" t="s">
        <v>3240</v>
      </c>
      <c r="C799" s="5" t="s">
        <v>3241</v>
      </c>
      <c r="D799" s="5"/>
      <c r="E799" s="5"/>
      <c r="F799" s="5" t="s">
        <v>3225</v>
      </c>
      <c r="G799" s="5" t="s">
        <v>3226</v>
      </c>
      <c r="H799" s="5" t="s">
        <v>3227</v>
      </c>
      <c r="I799" s="5" t="s">
        <v>20</v>
      </c>
      <c r="J799" s="5">
        <v>31.3</v>
      </c>
      <c r="K799" s="5" t="s">
        <v>21</v>
      </c>
      <c r="L799" s="5" t="s">
        <v>3242</v>
      </c>
      <c r="M799" s="5" t="s">
        <v>3229</v>
      </c>
      <c r="N799" s="7" t="str">
        <f>HYPERLINK("C:\Users\alexa\YandexDisk\Книги\Блокчейн\Безопасность блокчейн\Blockchain Technology for IoE Security.pdf","Blockchain Technology for IoE Security.pdf")</f>
        <v>Blockchain Technology for IoE Security.pdf</v>
      </c>
      <c r="O799" s="5" t="s">
        <v>3243</v>
      </c>
    </row>
    <row r="800" spans="1:15" ht="179.4" x14ac:dyDescent="0.3">
      <c r="A800" s="2">
        <v>799</v>
      </c>
      <c r="B800" s="3" t="s">
        <v>3244</v>
      </c>
      <c r="C800" s="3" t="s">
        <v>3245</v>
      </c>
      <c r="D800" s="3" t="s">
        <v>50</v>
      </c>
      <c r="E800" s="3" t="s">
        <v>678</v>
      </c>
      <c r="F800" s="3" t="s">
        <v>3225</v>
      </c>
      <c r="G800" s="3" t="s">
        <v>3226</v>
      </c>
      <c r="H800" s="3" t="s">
        <v>3227</v>
      </c>
      <c r="I800" s="3" t="s">
        <v>20</v>
      </c>
      <c r="J800" s="3">
        <v>0.54</v>
      </c>
      <c r="K800" s="3" t="s">
        <v>21</v>
      </c>
      <c r="L800" s="3" t="s">
        <v>3246</v>
      </c>
      <c r="M800" s="3" t="s">
        <v>3229</v>
      </c>
      <c r="N800" s="6" t="str">
        <f>HYPERLINK("C:\Users\alexa\YandexDisk\Книги\Блокчейн\Безопасность блокчейн\Low-Level Attacks in BitcoinWallets.pdf","Low-Level Attacks in BitcoinWallets.pdf")</f>
        <v>Low-Level Attacks in BitcoinWallets.pdf</v>
      </c>
      <c r="O800" s="3" t="s">
        <v>3247</v>
      </c>
    </row>
    <row r="801" spans="1:15" ht="165.6" x14ac:dyDescent="0.3">
      <c r="A801" s="4">
        <v>800</v>
      </c>
      <c r="B801" s="5" t="s">
        <v>3248</v>
      </c>
      <c r="C801" s="5"/>
      <c r="D801" s="5"/>
      <c r="E801" s="5"/>
      <c r="F801" s="5" t="s">
        <v>3225</v>
      </c>
      <c r="G801" s="5" t="s">
        <v>3226</v>
      </c>
      <c r="H801" s="5" t="s">
        <v>3227</v>
      </c>
      <c r="I801" s="5" t="s">
        <v>20</v>
      </c>
      <c r="J801" s="5">
        <v>26.69</v>
      </c>
      <c r="K801" s="5" t="s">
        <v>21</v>
      </c>
      <c r="L801" s="5" t="s">
        <v>3249</v>
      </c>
      <c r="M801" s="5" t="s">
        <v>3229</v>
      </c>
      <c r="N801" s="7" t="str">
        <f>HYPERLINK("C:\Users\alexa\YandexDisk\Книги\Блокчейн\Безопасность блокчейн\Безопасность_блокчейна_снизу_вверх.pdf","Безопасность_блокчейна_снизу_вверх.pdf")</f>
        <v>Безопасность_блокчейна_снизу_вверх.pdf</v>
      </c>
      <c r="O801" s="5" t="s">
        <v>3250</v>
      </c>
    </row>
    <row r="802" spans="1:15" ht="179.4" x14ac:dyDescent="0.3">
      <c r="A802" s="2">
        <v>801</v>
      </c>
      <c r="B802" s="3" t="s">
        <v>3251</v>
      </c>
      <c r="C802" s="3" t="s">
        <v>3252</v>
      </c>
      <c r="D802" s="3" t="s">
        <v>77</v>
      </c>
      <c r="E802" s="3" t="s">
        <v>1842</v>
      </c>
      <c r="F802" s="3" t="s">
        <v>3253</v>
      </c>
      <c r="G802" s="3" t="s">
        <v>3226</v>
      </c>
      <c r="H802" s="3" t="s">
        <v>3254</v>
      </c>
      <c r="I802" s="3" t="s">
        <v>20</v>
      </c>
      <c r="J802" s="3">
        <v>8.92</v>
      </c>
      <c r="K802" s="3" t="s">
        <v>21</v>
      </c>
      <c r="L802" s="3" t="s">
        <v>3255</v>
      </c>
      <c r="M802" s="3" t="s">
        <v>3256</v>
      </c>
      <c r="N802" s="6" t="str">
        <f>HYPERLINK("C:\Users\alexa\YandexDisk\Книги\Блокчейн\Основы блокчейн и протоколы\Architecture for BlockChain.pdf","Architecture for BlockChain.pdf")</f>
        <v>Architecture for BlockChain.pdf</v>
      </c>
      <c r="O802" s="3" t="s">
        <v>3257</v>
      </c>
    </row>
    <row r="803" spans="1:15" ht="179.4" x14ac:dyDescent="0.3">
      <c r="A803" s="4">
        <v>802</v>
      </c>
      <c r="B803" s="5" t="s">
        <v>3258</v>
      </c>
      <c r="C803" s="5" t="s">
        <v>3259</v>
      </c>
      <c r="D803" s="5"/>
      <c r="E803" s="5"/>
      <c r="F803" s="5" t="s">
        <v>3253</v>
      </c>
      <c r="G803" s="5" t="s">
        <v>3226</v>
      </c>
      <c r="H803" s="5" t="s">
        <v>3254</v>
      </c>
      <c r="I803" s="5" t="s">
        <v>20</v>
      </c>
      <c r="J803" s="5">
        <v>10.66</v>
      </c>
      <c r="K803" s="5" t="s">
        <v>21</v>
      </c>
      <c r="L803" s="5" t="s">
        <v>3260</v>
      </c>
      <c r="M803" s="5" t="s">
        <v>3256</v>
      </c>
      <c r="N803" s="7" t="str">
        <f>HYPERLINK("C:\Users\alexa\YandexDisk\Книги\Блокчейн\Основы блокчейн и протоколы\Big Data and Blockchain Technology for Secure IoT.pdf","Big Data and Blockchain Technology for Secure IoT.pdf")</f>
        <v>Big Data and Blockchain Technology for Secure IoT.pdf</v>
      </c>
      <c r="O803" s="5" t="s">
        <v>3261</v>
      </c>
    </row>
    <row r="804" spans="1:15" ht="138" x14ac:dyDescent="0.3">
      <c r="A804" s="2">
        <v>803</v>
      </c>
      <c r="B804" s="3" t="s">
        <v>3262</v>
      </c>
      <c r="C804" s="3" t="s">
        <v>3263</v>
      </c>
      <c r="D804" s="3"/>
      <c r="E804" s="3"/>
      <c r="F804" s="3" t="s">
        <v>3253</v>
      </c>
      <c r="G804" s="3" t="s">
        <v>3226</v>
      </c>
      <c r="H804" s="3" t="s">
        <v>3254</v>
      </c>
      <c r="I804" s="3" t="s">
        <v>20</v>
      </c>
      <c r="J804" s="3">
        <v>12.08</v>
      </c>
      <c r="K804" s="3" t="s">
        <v>21</v>
      </c>
      <c r="L804" s="3" t="s">
        <v>3264</v>
      </c>
      <c r="M804" s="3" t="s">
        <v>3256</v>
      </c>
      <c r="N804" s="6" t="str">
        <f>HYPERLINK("C:\Users\alexa\YandexDisk\Книги\Блокчейн\Основы блокчейн и протоколы\Bitcoin For Dummies , 2nd Edition.pdf","Bitcoin For Dummies , 2nd Edition.pdf")</f>
        <v>Bitcoin For Dummies , 2nd Edition.pdf</v>
      </c>
      <c r="O804" s="3" t="s">
        <v>3265</v>
      </c>
    </row>
    <row r="805" spans="1:15" ht="207" x14ac:dyDescent="0.3">
      <c r="A805" s="4">
        <v>804</v>
      </c>
      <c r="B805" s="5" t="s">
        <v>3266</v>
      </c>
      <c r="C805" s="5" t="s">
        <v>3267</v>
      </c>
      <c r="D805" s="5"/>
      <c r="E805" s="5" t="s">
        <v>678</v>
      </c>
      <c r="F805" s="5" t="s">
        <v>3253</v>
      </c>
      <c r="G805" s="5" t="s">
        <v>3226</v>
      </c>
      <c r="H805" s="5" t="s">
        <v>3254</v>
      </c>
      <c r="I805" s="5" t="s">
        <v>20</v>
      </c>
      <c r="J805" s="5">
        <v>7.86</v>
      </c>
      <c r="K805" s="5" t="s">
        <v>21</v>
      </c>
      <c r="L805" s="5" t="s">
        <v>3268</v>
      </c>
      <c r="M805" s="5" t="s">
        <v>3256</v>
      </c>
      <c r="N805" s="7" t="str">
        <f>HYPERLINK("C:\Users\alexa\YandexDisk\Книги\Блокчейн\Основы блокчейн и протоколы\Blockchain based IoT..pdf","Blockchain based IoT..pdf")</f>
        <v>Blockchain based IoT..pdf</v>
      </c>
      <c r="O805" s="5" t="s">
        <v>3269</v>
      </c>
    </row>
    <row r="806" spans="1:15" ht="220.8" x14ac:dyDescent="0.3">
      <c r="A806" s="2">
        <v>805</v>
      </c>
      <c r="B806" s="3" t="s">
        <v>3270</v>
      </c>
      <c r="C806" s="3" t="s">
        <v>3271</v>
      </c>
      <c r="D806" s="3"/>
      <c r="E806" s="3"/>
      <c r="F806" s="3" t="s">
        <v>3253</v>
      </c>
      <c r="G806" s="3" t="s">
        <v>3226</v>
      </c>
      <c r="H806" s="3" t="s">
        <v>3254</v>
      </c>
      <c r="I806" s="3" t="s">
        <v>20</v>
      </c>
      <c r="J806" s="3">
        <v>24.88</v>
      </c>
      <c r="K806" s="3" t="s">
        <v>21</v>
      </c>
      <c r="L806" s="3" t="s">
        <v>3272</v>
      </c>
      <c r="M806" s="3" t="s">
        <v>3256</v>
      </c>
      <c r="N806" s="6" t="str">
        <f>HYPERLINK("C:\Users\alexa\YandexDisk\Книги\Блокчейн\Основы блокчейн и протоколы\Blockchain for Business_IT Principles.pdf","Blockchain for Business_IT Principles.pdf")</f>
        <v>Blockchain for Business_IT Principles.pdf</v>
      </c>
      <c r="O806" s="3" t="s">
        <v>3273</v>
      </c>
    </row>
    <row r="807" spans="1:15" ht="248.4" x14ac:dyDescent="0.3">
      <c r="A807" s="4">
        <v>806</v>
      </c>
      <c r="B807" s="5" t="s">
        <v>3274</v>
      </c>
      <c r="C807" s="5" t="s">
        <v>3275</v>
      </c>
      <c r="D807" s="5" t="s">
        <v>27</v>
      </c>
      <c r="E807" s="5" t="s">
        <v>1267</v>
      </c>
      <c r="F807" s="5" t="s">
        <v>3253</v>
      </c>
      <c r="G807" s="5" t="s">
        <v>3226</v>
      </c>
      <c r="H807" s="5" t="s">
        <v>3254</v>
      </c>
      <c r="I807" s="5" t="s">
        <v>20</v>
      </c>
      <c r="J807" s="5">
        <v>3.82</v>
      </c>
      <c r="K807" s="5" t="s">
        <v>21</v>
      </c>
      <c r="L807" s="5" t="s">
        <v>3276</v>
      </c>
      <c r="M807" s="5" t="s">
        <v>3256</v>
      </c>
      <c r="N807" s="7" t="str">
        <f>HYPERLINK("C:\Users\alexa\YandexDisk\Книги\Блокчейн\Основы блокчейн и протоколы\Blockchain in a Volatile-Uncertain-Complex-Ambiguous World.pdf","Blockchain in a Volatile-Uncertain-Complex-Ambiguous World.pdf")</f>
        <v>Blockchain in a Volatile-Uncertain-Complex-Ambiguous World.pdf</v>
      </c>
      <c r="O807" s="5" t="s">
        <v>3277</v>
      </c>
    </row>
    <row r="808" spans="1:15" ht="193.2" x14ac:dyDescent="0.3">
      <c r="A808" s="2">
        <v>807</v>
      </c>
      <c r="B808" s="3" t="s">
        <v>3278</v>
      </c>
      <c r="C808" s="3" t="s">
        <v>3279</v>
      </c>
      <c r="D808" s="3" t="s">
        <v>71</v>
      </c>
      <c r="E808" s="3" t="s">
        <v>3280</v>
      </c>
      <c r="F808" s="3" t="s">
        <v>3253</v>
      </c>
      <c r="G808" s="3" t="s">
        <v>3226</v>
      </c>
      <c r="H808" s="3" t="s">
        <v>3254</v>
      </c>
      <c r="I808" s="3" t="s">
        <v>20</v>
      </c>
      <c r="J808" s="3">
        <v>11.72</v>
      </c>
      <c r="K808" s="3" t="s">
        <v>21</v>
      </c>
      <c r="L808" s="3" t="s">
        <v>3281</v>
      </c>
      <c r="M808" s="3" t="s">
        <v>3256</v>
      </c>
      <c r="N808" s="6" t="str">
        <f>HYPERLINK("C:\Users\alexa\YandexDisk\Книги\Блокчейн\Основы блокчейн и протоколы\Blockchain_Empowering_Digital_Economy_Yang_Yan,_Bin_Wang,_Jun_Zou.pdf","Blockchain_Empowering_Digital_Economy_Yang_Yan,_Bin_Wang,_Jun_Zou.pdf")</f>
        <v>Blockchain_Empowering_Digital_Economy_Yang_Yan,_Bin_Wang,_Jun_Zou.pdf</v>
      </c>
      <c r="O808" s="3" t="s">
        <v>3282</v>
      </c>
    </row>
    <row r="809" spans="1:15" ht="179.4" x14ac:dyDescent="0.3">
      <c r="A809" s="4">
        <v>808</v>
      </c>
      <c r="B809" s="5" t="s">
        <v>3283</v>
      </c>
      <c r="C809" s="5" t="s">
        <v>3284</v>
      </c>
      <c r="D809" s="5" t="s">
        <v>27</v>
      </c>
      <c r="E809" s="5" t="s">
        <v>227</v>
      </c>
      <c r="F809" s="5" t="s">
        <v>3253</v>
      </c>
      <c r="G809" s="5" t="s">
        <v>3226</v>
      </c>
      <c r="H809" s="5" t="s">
        <v>3254</v>
      </c>
      <c r="I809" s="5" t="s">
        <v>20</v>
      </c>
      <c r="J809" s="5">
        <v>3.39</v>
      </c>
      <c r="K809" s="5" t="s">
        <v>21</v>
      </c>
      <c r="L809" s="5" t="s">
        <v>3285</v>
      </c>
      <c r="M809" s="5" t="s">
        <v>3256</v>
      </c>
      <c r="N809" s="7" t="str">
        <f>HYPERLINK("C:\Users\alexa\YandexDisk\Книги\Блокчейн\Основы блокчейн и протоколы\Building_With_Ethereum_Products_Protocols_and_Platforms.pdf","Building_With_Ethereum_Products_Protocols_and_Platforms.pdf")</f>
        <v>Building_With_Ethereum_Products_Protocols_and_Platforms.pdf</v>
      </c>
      <c r="O809" s="5" t="s">
        <v>3286</v>
      </c>
    </row>
    <row r="810" spans="1:15" ht="262.2" x14ac:dyDescent="0.3">
      <c r="A810" s="2">
        <v>809</v>
      </c>
      <c r="B810" s="3" t="s">
        <v>3287</v>
      </c>
      <c r="C810" s="3" t="s">
        <v>3288</v>
      </c>
      <c r="D810" s="3" t="s">
        <v>114</v>
      </c>
      <c r="E810" s="3" t="s">
        <v>260</v>
      </c>
      <c r="F810" s="3" t="s">
        <v>3253</v>
      </c>
      <c r="G810" s="3" t="s">
        <v>3226</v>
      </c>
      <c r="H810" s="3" t="s">
        <v>3254</v>
      </c>
      <c r="I810" s="3" t="s">
        <v>20</v>
      </c>
      <c r="J810" s="3">
        <v>11.67</v>
      </c>
      <c r="K810" s="3" t="s">
        <v>21</v>
      </c>
      <c r="L810" s="3" t="s">
        <v>3289</v>
      </c>
      <c r="M810" s="3" t="s">
        <v>3256</v>
      </c>
      <c r="N810" s="6" t="str">
        <f>HYPERLINK("C:\Users\alexa\YandexDisk\Книги\Блокчейн\Основы блокчейн и протоколы\Decentralized_Applications_proglib.pdf","Decentralized_Applications_proglib.pdf")</f>
        <v>Decentralized_Applications_proglib.pdf</v>
      </c>
      <c r="O810" s="3" t="s">
        <v>3290</v>
      </c>
    </row>
    <row r="811" spans="1:15" ht="138" x14ac:dyDescent="0.3">
      <c r="A811" s="4">
        <v>810</v>
      </c>
      <c r="B811" s="5" t="s">
        <v>3291</v>
      </c>
      <c r="C811" s="5" t="s">
        <v>3292</v>
      </c>
      <c r="D811" s="5"/>
      <c r="E811" s="5" t="s">
        <v>557</v>
      </c>
      <c r="F811" s="5" t="s">
        <v>3253</v>
      </c>
      <c r="G811" s="5" t="s">
        <v>3226</v>
      </c>
      <c r="H811" s="5" t="s">
        <v>3254</v>
      </c>
      <c r="I811" s="5" t="s">
        <v>20</v>
      </c>
      <c r="J811" s="5">
        <v>16.829999999999998</v>
      </c>
      <c r="K811" s="5" t="s">
        <v>21</v>
      </c>
      <c r="L811" s="5" t="s">
        <v>3293</v>
      </c>
      <c r="M811" s="5" t="s">
        <v>3256</v>
      </c>
      <c r="N811" s="7" t="str">
        <f>HYPERLINK("C:\Users\alexa\YandexDisk\Книги\Блокчейн\Основы блокчейн и протоколы\Grokking Bitcoin by Kalle Rosenbaum (z-lib.org).pdf","Grokking Bitcoin by Kalle Rosenbaum (z-lib.org).pdf")</f>
        <v>Grokking Bitcoin by Kalle Rosenbaum (z-lib.org).pdf</v>
      </c>
      <c r="O811" s="5" t="s">
        <v>3294</v>
      </c>
    </row>
    <row r="812" spans="1:15" ht="165.6" x14ac:dyDescent="0.3">
      <c r="A812" s="2">
        <v>811</v>
      </c>
      <c r="B812" s="3" t="s">
        <v>3295</v>
      </c>
      <c r="C812" s="3" t="s">
        <v>3296</v>
      </c>
      <c r="D812" s="3" t="s">
        <v>71</v>
      </c>
      <c r="E812" s="3" t="s">
        <v>227</v>
      </c>
      <c r="F812" s="3" t="s">
        <v>3253</v>
      </c>
      <c r="G812" s="3" t="s">
        <v>3226</v>
      </c>
      <c r="H812" s="3" t="s">
        <v>3254</v>
      </c>
      <c r="I812" s="3" t="s">
        <v>20</v>
      </c>
      <c r="J812" s="3">
        <v>4.71</v>
      </c>
      <c r="K812" s="3" t="s">
        <v>21</v>
      </c>
      <c r="L812" s="3" t="s">
        <v>3297</v>
      </c>
      <c r="M812" s="3" t="s">
        <v>3256</v>
      </c>
      <c r="N812" s="6" t="str">
        <f>HYPERLINK("C:\Users\alexa\YandexDisk\Книги\Блокчейн\Основы блокчейн и протоколы\Introducing.Blockchain.with.Java.pdf","Introducing.Blockchain.with.Java.pdf")</f>
        <v>Introducing.Blockchain.with.Java.pdf</v>
      </c>
      <c r="O812" s="3" t="s">
        <v>3298</v>
      </c>
    </row>
    <row r="813" spans="1:15" ht="220.8" x14ac:dyDescent="0.3">
      <c r="A813" s="4">
        <v>812</v>
      </c>
      <c r="B813" s="5" t="s">
        <v>3299</v>
      </c>
      <c r="C813" s="5" t="s">
        <v>3300</v>
      </c>
      <c r="D813" s="5" t="s">
        <v>50</v>
      </c>
      <c r="E813" s="5"/>
      <c r="F813" s="5" t="s">
        <v>3253</v>
      </c>
      <c r="G813" s="5" t="s">
        <v>3226</v>
      </c>
      <c r="H813" s="5" t="s">
        <v>3254</v>
      </c>
      <c r="I813" s="5" t="s">
        <v>20</v>
      </c>
      <c r="J813" s="5">
        <v>11.36</v>
      </c>
      <c r="K813" s="5" t="s">
        <v>21</v>
      </c>
      <c r="L813" s="5" t="s">
        <v>3301</v>
      </c>
      <c r="M813" s="5" t="s">
        <v>3256</v>
      </c>
      <c r="N813" s="7" t="str">
        <f>HYPERLINK("C:\Users\alexa\YandexDisk\Книги\Блокчейн\Основы блокчейн и протоколы\Mastering_Bitcoin_russian 2017.pdf","Mastering_Bitcoin_russian 2017.pdf")</f>
        <v>Mastering_Bitcoin_russian 2017.pdf</v>
      </c>
      <c r="O813" s="5" t="s">
        <v>3302</v>
      </c>
    </row>
    <row r="814" spans="1:15" ht="179.4" x14ac:dyDescent="0.3">
      <c r="A814" s="2">
        <v>813</v>
      </c>
      <c r="B814" s="3" t="s">
        <v>3303</v>
      </c>
      <c r="C814" s="3" t="s">
        <v>3304</v>
      </c>
      <c r="D814" s="3" t="s">
        <v>27</v>
      </c>
      <c r="E814" s="3" t="s">
        <v>3305</v>
      </c>
      <c r="F814" s="3" t="s">
        <v>3253</v>
      </c>
      <c r="G814" s="3" t="s">
        <v>3226</v>
      </c>
      <c r="H814" s="3" t="s">
        <v>3254</v>
      </c>
      <c r="I814" s="3" t="s">
        <v>20</v>
      </c>
      <c r="J814" s="3">
        <v>4.34</v>
      </c>
      <c r="K814" s="3" t="s">
        <v>21</v>
      </c>
      <c r="L814" s="3" t="s">
        <v>3306</v>
      </c>
      <c r="M814" s="3" t="s">
        <v>3256</v>
      </c>
      <c r="N814" s="6" t="str">
        <f>HYPERLINK("C:\Users\alexa\YandexDisk\Книги\Блокчейн\Основы блокчейн и протоколы\NFTs for beginer.pdf","NFTs for beginer.pdf")</f>
        <v>NFTs for beginer.pdf</v>
      </c>
      <c r="O814" s="3" t="s">
        <v>3307</v>
      </c>
    </row>
    <row r="815" spans="1:15" ht="220.8" x14ac:dyDescent="0.3">
      <c r="A815" s="4">
        <v>814</v>
      </c>
      <c r="B815" s="5" t="s">
        <v>3308</v>
      </c>
      <c r="C815" s="5" t="s">
        <v>3309</v>
      </c>
      <c r="D815" s="5" t="s">
        <v>27</v>
      </c>
      <c r="E815" s="5" t="s">
        <v>3310</v>
      </c>
      <c r="F815" s="5" t="s">
        <v>3253</v>
      </c>
      <c r="G815" s="5" t="s">
        <v>3226</v>
      </c>
      <c r="H815" s="5" t="s">
        <v>3254</v>
      </c>
      <c r="I815" s="5" t="s">
        <v>20</v>
      </c>
      <c r="J815" s="5">
        <v>7.57</v>
      </c>
      <c r="K815" s="5" t="s">
        <v>21</v>
      </c>
      <c r="L815" s="5" t="s">
        <v>3311</v>
      </c>
      <c r="M815" s="5" t="s">
        <v>3256</v>
      </c>
      <c r="N815" s="7" t="str">
        <f>HYPERLINK("C:\Users\alexa\YandexDisk\Книги\Блокчейн\Основы блокчейн и протоколы\Principles and Practice of Blockchains.pdf","Principles and Practice of Blockchains.pdf")</f>
        <v>Principles and Practice of Blockchains.pdf</v>
      </c>
      <c r="O815" s="5" t="s">
        <v>3312</v>
      </c>
    </row>
    <row r="816" spans="1:15" ht="151.80000000000001" x14ac:dyDescent="0.3">
      <c r="A816" s="2">
        <v>815</v>
      </c>
      <c r="B816" s="3" t="s">
        <v>3313</v>
      </c>
      <c r="C816" s="3" t="s">
        <v>3314</v>
      </c>
      <c r="D816" s="3" t="s">
        <v>59</v>
      </c>
      <c r="E816" s="3" t="s">
        <v>2124</v>
      </c>
      <c r="F816" s="3" t="s">
        <v>3253</v>
      </c>
      <c r="G816" s="3" t="s">
        <v>3226</v>
      </c>
      <c r="H816" s="3" t="s">
        <v>3254</v>
      </c>
      <c r="I816" s="3" t="s">
        <v>20</v>
      </c>
      <c r="J816" s="3">
        <v>38.020000000000003</v>
      </c>
      <c r="K816" s="3" t="s">
        <v>21</v>
      </c>
      <c r="L816" s="3" t="s">
        <v>3315</v>
      </c>
      <c r="M816" s="3" t="s">
        <v>3256</v>
      </c>
      <c r="N816" s="6" t="str">
        <f>HYPERLINK("C:\Users\alexa\YandexDisk\Книги\Блокчейн\Основы блокчейн и протоколы\Python для программирования криповалют.pdf","Python для программирования криповалют.pdf")</f>
        <v>Python для программирования криповалют.pdf</v>
      </c>
      <c r="O816" s="3" t="s">
        <v>3316</v>
      </c>
    </row>
    <row r="817" spans="1:15" ht="165.6" x14ac:dyDescent="0.3">
      <c r="A817" s="4">
        <v>816</v>
      </c>
      <c r="B817" s="5" t="s">
        <v>3317</v>
      </c>
      <c r="C817" s="5" t="s">
        <v>3318</v>
      </c>
      <c r="D817" s="5"/>
      <c r="E817" s="5"/>
      <c r="F817" s="5" t="s">
        <v>3253</v>
      </c>
      <c r="G817" s="5" t="s">
        <v>3226</v>
      </c>
      <c r="H817" s="5" t="s">
        <v>3254</v>
      </c>
      <c r="I817" s="5" t="s">
        <v>280</v>
      </c>
      <c r="J817" s="5">
        <v>23.63</v>
      </c>
      <c r="K817" s="5" t="s">
        <v>21</v>
      </c>
      <c r="L817" s="5" t="s">
        <v>3319</v>
      </c>
      <c r="M817" s="5" t="s">
        <v>3256</v>
      </c>
      <c r="N817" s="7" t="str">
        <f>HYPERLINK("C:\Users\alexa\YandexDisk\Книги\Блокчейн\Основы блокчейн и протоколы\The_Basics_of_Bitcoins_and_Blockchains_An_Introduction_to_Cryptocurrencies.epub","The_Basics_of_Bitcoins_and_Blockchains_An_Introduction_to_Cryptocurrencies.epub")</f>
        <v>The_Basics_of_Bitcoins_and_Blockchains_An_Introduction_to_Cryptocurrencies.epub</v>
      </c>
      <c r="O817" s="5" t="s">
        <v>3320</v>
      </c>
    </row>
    <row r="818" spans="1:15" ht="165.6" x14ac:dyDescent="0.3">
      <c r="A818" s="2">
        <v>817</v>
      </c>
      <c r="B818" s="3" t="s">
        <v>3321</v>
      </c>
      <c r="C818" s="3" t="s">
        <v>3322</v>
      </c>
      <c r="D818" s="3" t="s">
        <v>71</v>
      </c>
      <c r="E818" s="3" t="s">
        <v>1842</v>
      </c>
      <c r="F818" s="3" t="s">
        <v>3253</v>
      </c>
      <c r="G818" s="3" t="s">
        <v>3226</v>
      </c>
      <c r="H818" s="3" t="s">
        <v>3254</v>
      </c>
      <c r="I818" s="3" t="s">
        <v>280</v>
      </c>
      <c r="J818" s="3">
        <v>29.02</v>
      </c>
      <c r="K818" s="3" t="s">
        <v>21</v>
      </c>
      <c r="L818" s="3" t="s">
        <v>3323</v>
      </c>
      <c r="M818" s="3" t="s">
        <v>3256</v>
      </c>
      <c r="N818" s="6" t="str">
        <f>HYPERLINK("C:\Users\alexa\YandexDisk\Книги\Блокчейн\Основы блокчейн и протоколы\The_Book_of_Crypto_The_Complete_Guide_to_Understanding_Bitcoin,.epub","The_Book_of_Crypto_The_Complete_Guide_to_Understanding_Bitcoin,.epub")</f>
        <v>The_Book_of_Crypto_The_Complete_Guide_to_Understanding_Bitcoin,.epub</v>
      </c>
      <c r="O818" s="3" t="s">
        <v>3324</v>
      </c>
    </row>
    <row r="819" spans="1:15" ht="179.4" x14ac:dyDescent="0.3">
      <c r="A819" s="4">
        <v>818</v>
      </c>
      <c r="B819" s="5" t="s">
        <v>3325</v>
      </c>
      <c r="C819" s="5" t="s">
        <v>3326</v>
      </c>
      <c r="D819" s="5"/>
      <c r="E819" s="5"/>
      <c r="F819" s="5" t="s">
        <v>3253</v>
      </c>
      <c r="G819" s="5" t="s">
        <v>3226</v>
      </c>
      <c r="H819" s="5" t="s">
        <v>3254</v>
      </c>
      <c r="I819" s="5" t="s">
        <v>20</v>
      </c>
      <c r="J819" s="5">
        <v>48.3</v>
      </c>
      <c r="K819" s="5" t="s">
        <v>21</v>
      </c>
      <c r="L819" s="5" t="s">
        <v>3327</v>
      </c>
      <c r="M819" s="5" t="s">
        <v>3256</v>
      </c>
      <c r="N819" s="7" t="str">
        <f>HYPERLINK("C:\Users\alexa\YandexDisk\Книги\Блокчейн\Основы блокчейн и протоколы\Блокчейн для чайников.pdf","Блокчейн для чайников.pdf")</f>
        <v>Блокчейн для чайников.pdf</v>
      </c>
      <c r="O819" s="5" t="s">
        <v>3328</v>
      </c>
    </row>
    <row r="820" spans="1:15" ht="193.2" x14ac:dyDescent="0.3">
      <c r="A820" s="2">
        <v>819</v>
      </c>
      <c r="B820" s="3" t="s">
        <v>3329</v>
      </c>
      <c r="C820" s="3" t="s">
        <v>3330</v>
      </c>
      <c r="D820" s="3" t="s">
        <v>335</v>
      </c>
      <c r="E820" s="3" t="s">
        <v>102</v>
      </c>
      <c r="F820" s="3" t="s">
        <v>3253</v>
      </c>
      <c r="G820" s="3" t="s">
        <v>3226</v>
      </c>
      <c r="H820" s="3" t="s">
        <v>3254</v>
      </c>
      <c r="I820" s="3" t="s">
        <v>20</v>
      </c>
      <c r="J820" s="3">
        <v>21.37</v>
      </c>
      <c r="K820" s="3" t="s">
        <v>21</v>
      </c>
      <c r="L820" s="3" t="s">
        <v>3331</v>
      </c>
      <c r="M820" s="3" t="s">
        <v>3256</v>
      </c>
      <c r="N820" s="6" t="str">
        <f>HYPERLINK("C:\Users\alexa\YandexDisk\Книги\Блокчейн\Основы блокчейн и протоколы\Блокчейн.pdf","Блокчейн.pdf")</f>
        <v>Блокчейн.pdf</v>
      </c>
      <c r="O820" s="3" t="s">
        <v>3332</v>
      </c>
    </row>
    <row r="821" spans="1:15" ht="165.6" x14ac:dyDescent="0.3">
      <c r="A821" s="4">
        <v>820</v>
      </c>
      <c r="B821" s="5" t="s">
        <v>3333</v>
      </c>
      <c r="C821" s="5" t="s">
        <v>3334</v>
      </c>
      <c r="D821" s="5"/>
      <c r="E821" s="5" t="s">
        <v>102</v>
      </c>
      <c r="F821" s="5" t="s">
        <v>3253</v>
      </c>
      <c r="G821" s="5" t="s">
        <v>3226</v>
      </c>
      <c r="H821" s="5" t="s">
        <v>3254</v>
      </c>
      <c r="I821" s="5" t="s">
        <v>20</v>
      </c>
      <c r="J821" s="5">
        <v>33.909999999999997</v>
      </c>
      <c r="K821" s="5" t="s">
        <v>21</v>
      </c>
      <c r="L821" s="5" t="s">
        <v>3335</v>
      </c>
      <c r="M821" s="5" t="s">
        <v>3256</v>
      </c>
      <c r="N821" s="7" t="str">
        <f>HYPERLINK("C:\Users\alexa\YandexDisk\Книги\Блокчейн\Основы блокчейн и протоколы\Блокчейн_архитектура,_криптовалюты.pdf","Блокчейн_архитектура,_криптовалюты.pdf")</f>
        <v>Блокчейн_архитектура,_криптовалюты.pdf</v>
      </c>
      <c r="O821" s="5" t="s">
        <v>3336</v>
      </c>
    </row>
    <row r="822" spans="1:15" ht="138" x14ac:dyDescent="0.3">
      <c r="A822" s="2">
        <v>821</v>
      </c>
      <c r="B822" s="3" t="s">
        <v>3337</v>
      </c>
      <c r="C822" s="3" t="s">
        <v>3338</v>
      </c>
      <c r="D822" s="3" t="s">
        <v>59</v>
      </c>
      <c r="E822" s="3" t="s">
        <v>18</v>
      </c>
      <c r="F822" s="3" t="s">
        <v>3253</v>
      </c>
      <c r="G822" s="3" t="s">
        <v>3226</v>
      </c>
      <c r="H822" s="3" t="s">
        <v>3254</v>
      </c>
      <c r="I822" s="3" t="s">
        <v>20</v>
      </c>
      <c r="J822" s="3">
        <v>56.94</v>
      </c>
      <c r="K822" s="3" t="s">
        <v>21</v>
      </c>
      <c r="L822" s="3" t="s">
        <v>3339</v>
      </c>
      <c r="M822" s="3" t="s">
        <v>3256</v>
      </c>
      <c r="N822" s="6" t="str">
        <f>HYPERLINK("C:\Users\alexa\YandexDisk\Книги\Блокчейн\Основы блокчейн и протоколы\Грокаем_технологию_Биткоин.pdf","Грокаем_технологию_Биткоин.pdf")</f>
        <v>Грокаем_технологию_Биткоин.pdf</v>
      </c>
      <c r="O822" s="3" t="s">
        <v>3340</v>
      </c>
    </row>
    <row r="823" spans="1:15" ht="207" x14ac:dyDescent="0.3">
      <c r="A823" s="4">
        <v>822</v>
      </c>
      <c r="B823" s="5" t="s">
        <v>3341</v>
      </c>
      <c r="C823" s="5" t="s">
        <v>3342</v>
      </c>
      <c r="D823" s="5" t="s">
        <v>50</v>
      </c>
      <c r="E823" s="5" t="s">
        <v>18</v>
      </c>
      <c r="F823" s="5" t="s">
        <v>3253</v>
      </c>
      <c r="G823" s="5" t="s">
        <v>3226</v>
      </c>
      <c r="H823" s="5" t="s">
        <v>3254</v>
      </c>
      <c r="I823" s="5" t="s">
        <v>20</v>
      </c>
      <c r="J823" s="5">
        <v>18.32</v>
      </c>
      <c r="K823" s="5" t="s">
        <v>21</v>
      </c>
      <c r="L823" s="5" t="s">
        <v>3343</v>
      </c>
      <c r="M823" s="5" t="s">
        <v>3256</v>
      </c>
      <c r="N823" s="7" t="str">
        <f>HYPERLINK("C:\Users\alexa\YandexDisk\Книги\Блокчейн\Основы блокчейн и протоколы\Децентрализованные приложения БлокЧейн в действии.pdf","Децентрализованные приложения БлокЧейн в действии.pdf")</f>
        <v>Децентрализованные приложения БлокЧейн в действии.pdf</v>
      </c>
      <c r="O823" s="5" t="s">
        <v>3344</v>
      </c>
    </row>
    <row r="824" spans="1:15" ht="165.6" x14ac:dyDescent="0.3">
      <c r="A824" s="2">
        <v>823</v>
      </c>
      <c r="B824" s="3" t="s">
        <v>3345</v>
      </c>
      <c r="C824" s="3" t="s">
        <v>3346</v>
      </c>
      <c r="D824" s="3" t="s">
        <v>59</v>
      </c>
      <c r="E824" s="3" t="s">
        <v>227</v>
      </c>
      <c r="F824" s="3" t="s">
        <v>3253</v>
      </c>
      <c r="G824" s="3" t="s">
        <v>3226</v>
      </c>
      <c r="H824" s="3" t="s">
        <v>3254</v>
      </c>
      <c r="I824" s="3" t="s">
        <v>20</v>
      </c>
      <c r="J824" s="3">
        <v>28.75</v>
      </c>
      <c r="K824" s="3" t="s">
        <v>21</v>
      </c>
      <c r="L824" s="3" t="s">
        <v>3347</v>
      </c>
      <c r="M824" s="3" t="s">
        <v>3256</v>
      </c>
      <c r="N824" s="6" t="str">
        <f>HYPERLINK("C:\Users\alexa\YandexDisk\Книги\Блокчейн\Основы блокчейн и протоколы\Изучите блокчейн, создав свой 2020.pdf","Изучите блокчейн, создав свой 2020.pdf")</f>
        <v>Изучите блокчейн, создав свой 2020.pdf</v>
      </c>
      <c r="O824" s="3" t="s">
        <v>3348</v>
      </c>
    </row>
    <row r="825" spans="1:15" ht="124.2" x14ac:dyDescent="0.3">
      <c r="A825" s="4">
        <v>824</v>
      </c>
      <c r="B825" s="5" t="s">
        <v>3349</v>
      </c>
      <c r="C825" s="5" t="s">
        <v>3350</v>
      </c>
      <c r="D825" s="5"/>
      <c r="E825" s="5" t="s">
        <v>3351</v>
      </c>
      <c r="F825" s="5" t="s">
        <v>3253</v>
      </c>
      <c r="G825" s="5" t="s">
        <v>3226</v>
      </c>
      <c r="H825" s="5" t="s">
        <v>3254</v>
      </c>
      <c r="I825" s="5" t="s">
        <v>20</v>
      </c>
      <c r="J825" s="5">
        <v>2.7</v>
      </c>
      <c r="K825" s="5" t="s">
        <v>21</v>
      </c>
      <c r="L825" s="5" t="s">
        <v>3352</v>
      </c>
      <c r="M825" s="5" t="s">
        <v>3256</v>
      </c>
      <c r="N825" s="7" t="str">
        <f>HYPERLINK("C:\Users\alexa\YandexDisk\Книги\Блокчейн\Основы блокчейн и протоколы\Криптвоюматика 2.0.pdf","Криптвоюматика 2.0.pdf")</f>
        <v>Криптвоюматика 2.0.pdf</v>
      </c>
      <c r="O825" s="5" t="s">
        <v>3353</v>
      </c>
    </row>
    <row r="826" spans="1:15" ht="165.6" x14ac:dyDescent="0.3">
      <c r="A826" s="2">
        <v>825</v>
      </c>
      <c r="B826" s="3" t="s">
        <v>3354</v>
      </c>
      <c r="C826" s="3" t="s">
        <v>3355</v>
      </c>
      <c r="D826" s="3"/>
      <c r="E826" s="3" t="s">
        <v>3356</v>
      </c>
      <c r="F826" s="3" t="s">
        <v>3253</v>
      </c>
      <c r="G826" s="3" t="s">
        <v>3226</v>
      </c>
      <c r="H826" s="3" t="s">
        <v>3254</v>
      </c>
      <c r="I826" s="3" t="s">
        <v>2787</v>
      </c>
      <c r="J826" s="3">
        <v>2.0499999999999998</v>
      </c>
      <c r="K826" s="3" t="s">
        <v>21</v>
      </c>
      <c r="L826" s="3" t="s">
        <v>3357</v>
      </c>
      <c r="M826" s="3" t="s">
        <v>3256</v>
      </c>
      <c r="N826" s="6" t="str">
        <f>HYPERLINK("C:\Users\alexa\YandexDisk\Книги\Блокчейн\Основы блокчейн и протоколы\Криптвоюматика.fb2","Криптвоюматика.fb2")</f>
        <v>Криптвоюматика.fb2</v>
      </c>
      <c r="O826" s="3" t="s">
        <v>3358</v>
      </c>
    </row>
    <row r="827" spans="1:15" ht="165.6" x14ac:dyDescent="0.3">
      <c r="A827" s="4">
        <v>826</v>
      </c>
      <c r="B827" s="5" t="s">
        <v>3359</v>
      </c>
      <c r="C827" s="5" t="s">
        <v>3360</v>
      </c>
      <c r="D827" s="5" t="s">
        <v>71</v>
      </c>
      <c r="E827" s="5" t="s">
        <v>227</v>
      </c>
      <c r="F827" s="5" t="s">
        <v>3253</v>
      </c>
      <c r="G827" s="5" t="s">
        <v>3226</v>
      </c>
      <c r="H827" s="5" t="s">
        <v>3254</v>
      </c>
      <c r="I827" s="5" t="s">
        <v>20</v>
      </c>
      <c r="J827" s="5">
        <v>2.92</v>
      </c>
      <c r="K827" s="5" t="s">
        <v>21</v>
      </c>
      <c r="L827" s="5" t="s">
        <v>3361</v>
      </c>
      <c r="M827" s="5" t="s">
        <v>3256</v>
      </c>
      <c r="N827" s="7" t="str">
        <f>HYPERLINK("C:\Users\alexa\YandexDisk\Книги\Блокчейн\Основы блокчейн и протоколы\Начало работы с Ethereum.pdf","Начало работы с Ethereum.pdf")</f>
        <v>Начало работы с Ethereum.pdf</v>
      </c>
      <c r="O827" s="5" t="s">
        <v>3362</v>
      </c>
    </row>
    <row r="828" spans="1:15" ht="151.80000000000001" x14ac:dyDescent="0.3">
      <c r="A828" s="2">
        <v>827</v>
      </c>
      <c r="B828" s="3" t="s">
        <v>3363</v>
      </c>
      <c r="C828" s="3" t="s">
        <v>3364</v>
      </c>
      <c r="D828" s="3" t="s">
        <v>17</v>
      </c>
      <c r="E828" s="3" t="s">
        <v>1023</v>
      </c>
      <c r="F828" s="3" t="s">
        <v>3253</v>
      </c>
      <c r="G828" s="3" t="s">
        <v>3226</v>
      </c>
      <c r="H828" s="3" t="s">
        <v>3254</v>
      </c>
      <c r="I828" s="3" t="s">
        <v>20</v>
      </c>
      <c r="J828" s="3">
        <v>36.299999999999997</v>
      </c>
      <c r="K828" s="3" t="s">
        <v>21</v>
      </c>
      <c r="L828" s="3" t="s">
        <v>3365</v>
      </c>
      <c r="M828" s="3" t="s">
        <v>3256</v>
      </c>
      <c r="N828" s="6" t="str">
        <f>HYPERLINK("C:\Users\alexa\YandexDisk\Книги\Блокчейн\Основы блокчейн и протоколы\Осваиваем Ethereum.pdf","Осваиваем Ethereum.pdf")</f>
        <v>Осваиваем Ethereum.pdf</v>
      </c>
      <c r="O828" s="3" t="s">
        <v>3366</v>
      </c>
    </row>
    <row r="829" spans="1:15" ht="151.80000000000001" x14ac:dyDescent="0.3">
      <c r="A829" s="4">
        <v>828</v>
      </c>
      <c r="B829" s="5" t="s">
        <v>3299</v>
      </c>
      <c r="C829" s="5" t="s">
        <v>3367</v>
      </c>
      <c r="D829" s="5" t="s">
        <v>109</v>
      </c>
      <c r="E829" s="5" t="s">
        <v>442</v>
      </c>
      <c r="F829" s="5" t="s">
        <v>3253</v>
      </c>
      <c r="G829" s="5" t="s">
        <v>3226</v>
      </c>
      <c r="H829" s="5" t="s">
        <v>3254</v>
      </c>
      <c r="I829" s="5" t="s">
        <v>20</v>
      </c>
      <c r="J829" s="5">
        <v>9</v>
      </c>
      <c r="K829" s="5" t="s">
        <v>21</v>
      </c>
      <c r="L829" s="5" t="s">
        <v>3368</v>
      </c>
      <c r="M829" s="5" t="s">
        <v>3256</v>
      </c>
      <c r="N829" s="7" t="str">
        <f>HYPERLINK("C:\Users\alexa\YandexDisk\Книги\Блокчейн\Основы блокчейн и протоколы\Осваиваем биткойн.pdf","Осваиваем биткойн.pdf")</f>
        <v>Осваиваем биткойн.pdf</v>
      </c>
      <c r="O829" s="5" t="s">
        <v>3369</v>
      </c>
    </row>
    <row r="830" spans="1:15" ht="165.6" x14ac:dyDescent="0.3">
      <c r="A830" s="2">
        <v>829</v>
      </c>
      <c r="B830" s="3" t="s">
        <v>3370</v>
      </c>
      <c r="C830" s="3" t="s">
        <v>3371</v>
      </c>
      <c r="D830" s="3" t="s">
        <v>27</v>
      </c>
      <c r="E830" s="3" t="s">
        <v>102</v>
      </c>
      <c r="F830" s="3" t="s">
        <v>3253</v>
      </c>
      <c r="G830" s="3" t="s">
        <v>3226</v>
      </c>
      <c r="H830" s="3" t="s">
        <v>3254</v>
      </c>
      <c r="I830" s="3" t="s">
        <v>20</v>
      </c>
      <c r="J830" s="3">
        <v>34.97</v>
      </c>
      <c r="K830" s="3" t="s">
        <v>21</v>
      </c>
      <c r="L830" s="3" t="s">
        <v>3372</v>
      </c>
      <c r="M830" s="3" t="s">
        <v>3256</v>
      </c>
      <c r="N830" s="6" t="str">
        <f>HYPERLINK("C:\Users\alexa\YandexDisk\Книги\Блокчейн\Основы блокчейн и протоколы\Освоение Lightning Network.pdf","Освоение Lightning Network.pdf")</f>
        <v>Освоение Lightning Network.pdf</v>
      </c>
      <c r="O830" s="3" t="s">
        <v>3373</v>
      </c>
    </row>
    <row r="831" spans="1:15" ht="165.6" x14ac:dyDescent="0.3">
      <c r="A831" s="4">
        <v>830</v>
      </c>
      <c r="B831" s="5" t="s">
        <v>3374</v>
      </c>
      <c r="C831" s="5" t="s">
        <v>3375</v>
      </c>
      <c r="D831" s="5" t="s">
        <v>32</v>
      </c>
      <c r="E831" s="5" t="s">
        <v>102</v>
      </c>
      <c r="F831" s="5" t="s">
        <v>3253</v>
      </c>
      <c r="G831" s="5" t="s">
        <v>3226</v>
      </c>
      <c r="H831" s="5" t="s">
        <v>3254</v>
      </c>
      <c r="I831" s="5" t="s">
        <v>20</v>
      </c>
      <c r="J831" s="5">
        <v>2.95</v>
      </c>
      <c r="K831" s="5" t="s">
        <v>21</v>
      </c>
      <c r="L831" s="5" t="s">
        <v>3376</v>
      </c>
      <c r="M831" s="5" t="s">
        <v>3256</v>
      </c>
      <c r="N831" s="7" t="str">
        <f>HYPERLINK("C:\Users\alexa\YandexDisk\Книги\Блокчейн\Основы блокчейн и протоколы\Основы_блокчейна_вводный_курс_для_начинающих_в_25_небольших_главах.pdf","Основы_блокчейна_вводный_курс_для_начинающих_в_25_небольших_главах.pdf")</f>
        <v>Основы_блокчейна_вводный_курс_для_начинающих_в_25_небольших_главах.pdf</v>
      </c>
      <c r="O831" s="5" t="s">
        <v>3377</v>
      </c>
    </row>
    <row r="832" spans="1:15" ht="151.80000000000001" x14ac:dyDescent="0.3">
      <c r="A832" s="2">
        <v>831</v>
      </c>
      <c r="B832" s="3" t="s">
        <v>3378</v>
      </c>
      <c r="C832" s="3" t="s">
        <v>3379</v>
      </c>
      <c r="D832" s="3" t="s">
        <v>59</v>
      </c>
      <c r="E832" s="3" t="s">
        <v>2526</v>
      </c>
      <c r="F832" s="3" t="s">
        <v>3253</v>
      </c>
      <c r="G832" s="3" t="s">
        <v>3226</v>
      </c>
      <c r="H832" s="3" t="s">
        <v>3254</v>
      </c>
      <c r="I832" s="3" t="s">
        <v>20</v>
      </c>
      <c r="J832" s="3">
        <v>23.26</v>
      </c>
      <c r="K832" s="3" t="s">
        <v>21</v>
      </c>
      <c r="L832" s="3" t="s">
        <v>3380</v>
      </c>
      <c r="M832" s="3" t="s">
        <v>3256</v>
      </c>
      <c r="N832" s="6" t="str">
        <f>HYPERLINK("C:\Users\alexa\YandexDisk\Книги\Блокчейн\Основы блокчейн и протоколы\Принципы_и_методы_технологии_блокчейн.pdf","Принципы_и_методы_технологии_блокчейн.pdf")</f>
        <v>Принципы_и_методы_технологии_блокчейн.pdf</v>
      </c>
      <c r="O832" s="3" t="s">
        <v>3381</v>
      </c>
    </row>
    <row r="833" spans="1:15" ht="207" x14ac:dyDescent="0.3">
      <c r="A833" s="4">
        <v>832</v>
      </c>
      <c r="B833" s="5" t="s">
        <v>3382</v>
      </c>
      <c r="C833" s="5" t="s">
        <v>3383</v>
      </c>
      <c r="D833" s="5" t="s">
        <v>114</v>
      </c>
      <c r="E833" s="5" t="s">
        <v>3384</v>
      </c>
      <c r="F833" s="5" t="s">
        <v>3253</v>
      </c>
      <c r="G833" s="5" t="s">
        <v>3226</v>
      </c>
      <c r="H833" s="5" t="s">
        <v>3254</v>
      </c>
      <c r="I833" s="5" t="s">
        <v>20</v>
      </c>
      <c r="J833" s="5">
        <v>2.5499999999999998</v>
      </c>
      <c r="K833" s="5" t="s">
        <v>21</v>
      </c>
      <c r="L833" s="5" t="s">
        <v>3385</v>
      </c>
      <c r="M833" s="5" t="s">
        <v>3256</v>
      </c>
      <c r="N833" s="7" t="str">
        <f>HYPERLINK("C:\Users\alexa\YandexDisk\Книги\Блокчейн\Основы блокчейн и протоколы\Тапскот Blockchain_Revolution 1993-2010.pdf","Тапскот Blockchain_Revolution 1993-2010.pdf")</f>
        <v>Тапскот Blockchain_Revolution 1993-2010.pdf</v>
      </c>
      <c r="O833" s="5" t="s">
        <v>3386</v>
      </c>
    </row>
    <row r="834" spans="1:15" ht="151.80000000000001" x14ac:dyDescent="0.3">
      <c r="A834" s="2">
        <v>833</v>
      </c>
      <c r="B834" s="3" t="s">
        <v>3325</v>
      </c>
      <c r="C834" s="3" t="s">
        <v>3387</v>
      </c>
      <c r="D834" s="3"/>
      <c r="E834" s="3"/>
      <c r="F834" s="3" t="s">
        <v>3253</v>
      </c>
      <c r="G834" s="3" t="s">
        <v>3226</v>
      </c>
      <c r="H834" s="3" t="s">
        <v>3254</v>
      </c>
      <c r="I834" s="3" t="s">
        <v>20</v>
      </c>
      <c r="J834" s="3">
        <v>114.57</v>
      </c>
      <c r="K834" s="3" t="s">
        <v>21</v>
      </c>
      <c r="L834" s="3" t="s">
        <v>3388</v>
      </c>
      <c r="M834" s="3" t="s">
        <v>3256</v>
      </c>
      <c r="N834" s="6" t="str">
        <f>HYPERLINK("C:\Users\alexa\YandexDisk\Книги\Блокчейн\Основы блокчейн и протоколы\Тиана_Лоуренс БлокЧейн для чайников.pdf","Тиана_Лоуренс БлокЧейн для чайников.pdf")</f>
        <v>Тиана_Лоуренс БлокЧейн для чайников.pdf</v>
      </c>
      <c r="O834" s="3" t="s">
        <v>3389</v>
      </c>
    </row>
    <row r="835" spans="1:15" ht="151.80000000000001" x14ac:dyDescent="0.3">
      <c r="A835" s="4">
        <v>834</v>
      </c>
      <c r="B835" s="5" t="s">
        <v>3390</v>
      </c>
      <c r="C835" s="5" t="s">
        <v>3391</v>
      </c>
      <c r="D835" s="5" t="s">
        <v>17</v>
      </c>
      <c r="E835" s="5"/>
      <c r="F835" s="5" t="s">
        <v>3253</v>
      </c>
      <c r="G835" s="5" t="s">
        <v>3226</v>
      </c>
      <c r="H835" s="5" t="s">
        <v>3254</v>
      </c>
      <c r="I835" s="5" t="s">
        <v>20</v>
      </c>
      <c r="J835" s="5">
        <v>5.69</v>
      </c>
      <c r="K835" s="5" t="s">
        <v>21</v>
      </c>
      <c r="L835" s="5" t="s">
        <v>3392</v>
      </c>
      <c r="M835" s="5" t="s">
        <v>3256</v>
      </c>
      <c r="N835" s="7" t="str">
        <f>HYPERLINK("C:\Users\alexa\YandexDisk\Книги\Блокчейн\Основы блокчейн и протоколы\Экономика_знаний_Блокчейн_и_умные_контракты.pdf","Экономика_знаний_Блокчейн_и_умные_контракты.pdf")</f>
        <v>Экономика_знаний_Блокчейн_и_умные_контракты.pdf</v>
      </c>
      <c r="O835" s="5" t="s">
        <v>3393</v>
      </c>
    </row>
    <row r="836" spans="1:15" ht="179.4" x14ac:dyDescent="0.3">
      <c r="A836" s="2">
        <v>835</v>
      </c>
      <c r="B836" s="3" t="s">
        <v>3394</v>
      </c>
      <c r="C836" s="3" t="s">
        <v>3395</v>
      </c>
      <c r="D836" s="3" t="s">
        <v>77</v>
      </c>
      <c r="E836" s="3" t="s">
        <v>536</v>
      </c>
      <c r="F836" s="3" t="s">
        <v>3396</v>
      </c>
      <c r="G836" s="3" t="s">
        <v>3226</v>
      </c>
      <c r="H836" s="3" t="s">
        <v>3397</v>
      </c>
      <c r="I836" s="3" t="s">
        <v>20</v>
      </c>
      <c r="J836" s="3">
        <v>9.1999999999999993</v>
      </c>
      <c r="K836" s="3" t="s">
        <v>21</v>
      </c>
      <c r="L836" s="3" t="s">
        <v>3398</v>
      </c>
      <c r="M836" s="3" t="s">
        <v>3399</v>
      </c>
      <c r="N836" s="6" t="str">
        <f>HYPERLINK("C:\Users\alexa\YandexDisk\Книги\Блокчейн\Разработка\Infante_R_Building_Ethereum_Dapps_Decentralized_applications_on.pdf","Infante_R_Building_Ethereum_Dapps_Decentralized_applications_on.pdf")</f>
        <v>Infante_R_Building_Ethereum_Dapps_Decentralized_applications_on.pdf</v>
      </c>
      <c r="O836" s="3" t="s">
        <v>3400</v>
      </c>
    </row>
    <row r="837" spans="1:15" ht="124.2" x14ac:dyDescent="0.3">
      <c r="A837" s="4">
        <v>836</v>
      </c>
      <c r="B837" s="5" t="s">
        <v>3401</v>
      </c>
      <c r="C837" s="5"/>
      <c r="D837" s="5" t="s">
        <v>59</v>
      </c>
      <c r="E837" s="5"/>
      <c r="F837" s="5" t="s">
        <v>3396</v>
      </c>
      <c r="G837" s="5" t="s">
        <v>3226</v>
      </c>
      <c r="H837" s="5" t="s">
        <v>3397</v>
      </c>
      <c r="I837" s="5" t="s">
        <v>20</v>
      </c>
      <c r="J837" s="5">
        <v>44.56</v>
      </c>
      <c r="K837" s="5" t="s">
        <v>21</v>
      </c>
      <c r="L837" s="5" t="s">
        <v>3402</v>
      </c>
      <c r="M837" s="5" t="s">
        <v>3399</v>
      </c>
      <c r="N837" s="7" t="str">
        <f>HYPERLINK("C:\Users\alexa\YandexDisk\Книги\Блокчейн\Разработка\Блокчеин Руководствo для разработчиков 2020.pdf","Блокчеин Руководствo для разработчиков 2020.pdf")</f>
        <v>Блокчеин Руководствo для разработчиков 2020.pdf</v>
      </c>
      <c r="O837" s="5" t="s">
        <v>3403</v>
      </c>
    </row>
    <row r="838" spans="1:15" ht="193.2" x14ac:dyDescent="0.3">
      <c r="A838" s="2">
        <v>837</v>
      </c>
      <c r="B838" s="3" t="s">
        <v>3404</v>
      </c>
      <c r="C838" s="3" t="s">
        <v>3405</v>
      </c>
      <c r="D838" s="3" t="s">
        <v>32</v>
      </c>
      <c r="E838" s="3" t="s">
        <v>402</v>
      </c>
      <c r="F838" s="3" t="s">
        <v>3396</v>
      </c>
      <c r="G838" s="3" t="s">
        <v>3226</v>
      </c>
      <c r="H838" s="3" t="s">
        <v>3397</v>
      </c>
      <c r="I838" s="3" t="s">
        <v>20</v>
      </c>
      <c r="J838" s="3">
        <v>8.3000000000000007</v>
      </c>
      <c r="K838" s="3" t="s">
        <v>21</v>
      </c>
      <c r="L838" s="3" t="s">
        <v>3406</v>
      </c>
      <c r="M838" s="3" t="s">
        <v>3399</v>
      </c>
      <c r="N838" s="6" t="str">
        <f>HYPERLINK("C:\Users\alexa\YandexDisk\Книги\Блокчейн\Разработка\Блокчейн. Разработка приложений.pdf","Блокчейн. Разработка приложений.pdf")</f>
        <v>Блокчейн. Разработка приложений.pdf</v>
      </c>
      <c r="O838" s="3" t="s">
        <v>3407</v>
      </c>
    </row>
    <row r="839" spans="1:15" ht="151.80000000000001" x14ac:dyDescent="0.3">
      <c r="A839" s="4">
        <v>838</v>
      </c>
      <c r="B839" s="5" t="s">
        <v>3408</v>
      </c>
      <c r="C839" s="5"/>
      <c r="D839" s="5"/>
      <c r="E839" s="5"/>
      <c r="F839" s="5" t="s">
        <v>3396</v>
      </c>
      <c r="G839" s="5" t="s">
        <v>3226</v>
      </c>
      <c r="H839" s="5" t="s">
        <v>3397</v>
      </c>
      <c r="I839" s="5" t="s">
        <v>20</v>
      </c>
      <c r="J839" s="5">
        <v>44.48</v>
      </c>
      <c r="K839" s="5" t="s">
        <v>21</v>
      </c>
      <c r="L839" s="5" t="s">
        <v>3409</v>
      </c>
      <c r="M839" s="5" t="s">
        <v>3399</v>
      </c>
      <c r="N839" s="7" t="str">
        <f>HYPERLINK("C:\Users\alexa\YandexDisk\Книги\Блокчейн\Разработка\Блокчейн. Руководство для начинающих разработчиков.pdf","Блокчейн. Руководство для начинающих разработчиков.pdf")</f>
        <v>Блокчейн. Руководство для начинающих разработчиков.pdf</v>
      </c>
      <c r="O839" s="5" t="s">
        <v>3410</v>
      </c>
    </row>
    <row r="840" spans="1:15" ht="179.4" x14ac:dyDescent="0.3">
      <c r="A840" s="2">
        <v>839</v>
      </c>
      <c r="B840" s="3" t="s">
        <v>3411</v>
      </c>
      <c r="C840" s="3" t="s">
        <v>3412</v>
      </c>
      <c r="D840" s="3" t="s">
        <v>71</v>
      </c>
      <c r="E840" s="3" t="s">
        <v>2</v>
      </c>
      <c r="F840" s="3" t="s">
        <v>3396</v>
      </c>
      <c r="G840" s="3" t="s">
        <v>3226</v>
      </c>
      <c r="H840" s="3" t="s">
        <v>3397</v>
      </c>
      <c r="I840" s="3" t="s">
        <v>20</v>
      </c>
      <c r="J840" s="3">
        <v>7.64</v>
      </c>
      <c r="K840" s="3" t="s">
        <v>21</v>
      </c>
      <c r="L840" s="3" t="s">
        <v>3413</v>
      </c>
      <c r="M840" s="3" t="s">
        <v>3399</v>
      </c>
      <c r="N840" s="6" t="str">
        <f>HYPERLINK("C:\Users\alexa\YandexDisk\Книги\Блокчейн\Разработка\Разработка_смарт_контрактов_в_Ethereum 2022.pdf","Разработка_смарт_контрактов_в_Ethereum 2022.pdf")</f>
        <v>Разработка_смарт_контрактов_в_Ethereum 2022.pdf</v>
      </c>
      <c r="O840" s="3" t="s">
        <v>3414</v>
      </c>
    </row>
    <row r="841" spans="1:15" ht="179.4" x14ac:dyDescent="0.3">
      <c r="A841" s="4">
        <v>840</v>
      </c>
      <c r="B841" s="5" t="s">
        <v>3415</v>
      </c>
      <c r="C841" s="5" t="s">
        <v>3416</v>
      </c>
      <c r="D841" s="5" t="s">
        <v>32</v>
      </c>
      <c r="E841" s="5" t="s">
        <v>18</v>
      </c>
      <c r="F841" s="5" t="s">
        <v>3417</v>
      </c>
      <c r="G841" s="5" t="s">
        <v>3418</v>
      </c>
      <c r="H841" s="5" t="s">
        <v>3419</v>
      </c>
      <c r="I841" s="5" t="s">
        <v>20</v>
      </c>
      <c r="J841" s="5">
        <v>10.29</v>
      </c>
      <c r="K841" s="5" t="s">
        <v>21</v>
      </c>
      <c r="L841" s="5" t="s">
        <v>3420</v>
      </c>
      <c r="M841" s="5" t="s">
        <v>3421</v>
      </c>
      <c r="N841" s="7" t="str">
        <f>HYPERLINK("C:\Users\alexa\YandexDisk\Книги\Веб-разработка\Angular\Angular для профессионалов.pdf","Angular для профессионалов.pdf")</f>
        <v>Angular для профессионалов.pdf</v>
      </c>
      <c r="O841" s="5" t="s">
        <v>3422</v>
      </c>
    </row>
    <row r="842" spans="1:15" ht="151.80000000000001" x14ac:dyDescent="0.3">
      <c r="A842" s="2">
        <v>841</v>
      </c>
      <c r="B842" s="3" t="s">
        <v>3423</v>
      </c>
      <c r="C842" s="3" t="s">
        <v>3424</v>
      </c>
      <c r="D842" s="3" t="s">
        <v>32</v>
      </c>
      <c r="E842" s="3" t="s">
        <v>18</v>
      </c>
      <c r="F842" s="3" t="s">
        <v>3417</v>
      </c>
      <c r="G842" s="3" t="s">
        <v>3418</v>
      </c>
      <c r="H842" s="3" t="s">
        <v>3419</v>
      </c>
      <c r="I842" s="3" t="s">
        <v>20</v>
      </c>
      <c r="J842" s="3">
        <v>40.520000000000003</v>
      </c>
      <c r="K842" s="3" t="s">
        <v>21</v>
      </c>
      <c r="L842" s="3" t="s">
        <v>3425</v>
      </c>
      <c r="M842" s="3" t="s">
        <v>3421</v>
      </c>
      <c r="N842" s="6" t="str">
        <f>HYPERLINK("C:\Users\alexa\YandexDisk\Книги\Веб-разработка\Angular\Angular и TypeScript.pdf","Angular и TypeScript.pdf")</f>
        <v>Angular и TypeScript.pdf</v>
      </c>
      <c r="O842" s="3" t="s">
        <v>3426</v>
      </c>
    </row>
    <row r="843" spans="1:15" ht="179.4" x14ac:dyDescent="0.3">
      <c r="A843" s="4">
        <v>842</v>
      </c>
      <c r="B843" s="5" t="s">
        <v>3427</v>
      </c>
      <c r="C843" s="5" t="s">
        <v>3428</v>
      </c>
      <c r="D843" s="5" t="s">
        <v>32</v>
      </c>
      <c r="E843" s="5" t="s">
        <v>205</v>
      </c>
      <c r="F843" s="5" t="s">
        <v>3417</v>
      </c>
      <c r="G843" s="5" t="s">
        <v>3418</v>
      </c>
      <c r="H843" s="5" t="s">
        <v>3419</v>
      </c>
      <c r="I843" s="5" t="s">
        <v>20</v>
      </c>
      <c r="J843" s="5">
        <v>45.98</v>
      </c>
      <c r="K843" s="5" t="s">
        <v>21</v>
      </c>
      <c r="L843" s="5" t="s">
        <v>3429</v>
      </c>
      <c r="M843" s="5" t="s">
        <v>3421</v>
      </c>
      <c r="N843" s="7" t="str">
        <f>HYPERLINK("C:\Users\alexa\YandexDisk\Книги\Веб-разработка\Angular\Angular_Сборник_рецептов_2018.pdf","Angular_Сборник_рецептов_2018.pdf")</f>
        <v>Angular_Сборник_рецептов_2018.pdf</v>
      </c>
      <c r="O843" s="5" t="s">
        <v>3430</v>
      </c>
    </row>
    <row r="844" spans="1:15" ht="165.6" x14ac:dyDescent="0.3">
      <c r="A844" s="2">
        <v>843</v>
      </c>
      <c r="B844" s="3" t="s">
        <v>3431</v>
      </c>
      <c r="C844" s="3" t="s">
        <v>3432</v>
      </c>
      <c r="D844" s="3" t="s">
        <v>71</v>
      </c>
      <c r="E844" s="3" t="s">
        <v>227</v>
      </c>
      <c r="F844" s="3" t="s">
        <v>3417</v>
      </c>
      <c r="G844" s="3" t="s">
        <v>3418</v>
      </c>
      <c r="H844" s="3" t="s">
        <v>3419</v>
      </c>
      <c r="I844" s="3" t="s">
        <v>20</v>
      </c>
      <c r="J844" s="3">
        <v>12.44</v>
      </c>
      <c r="K844" s="3" t="s">
        <v>21</v>
      </c>
      <c r="L844" s="3" t="s">
        <v>3433</v>
      </c>
      <c r="M844" s="3" t="s">
        <v>3421</v>
      </c>
      <c r="N844" s="6" t="str">
        <f>HYPERLINK("C:\Users\alexa\YandexDisk\Книги\Веб-разработка\Angular\Building_Offline_Applications_with_Angular_Develop_Reliable,_Performant.pdf","Building_Offline_Applications_with_Angular_Develop_Reliable,_Performant.pdf")</f>
        <v>Building_Offline_Applications_with_Angular_Develop_Reliable,_Performant.pdf</v>
      </c>
      <c r="O844" s="3" t="s">
        <v>3434</v>
      </c>
    </row>
    <row r="845" spans="1:15" ht="124.2" x14ac:dyDescent="0.3">
      <c r="A845" s="4">
        <v>844</v>
      </c>
      <c r="B845" s="5" t="s">
        <v>3435</v>
      </c>
      <c r="C845" s="5" t="s">
        <v>3436</v>
      </c>
      <c r="D845" s="5" t="s">
        <v>59</v>
      </c>
      <c r="E845" s="5" t="s">
        <v>205</v>
      </c>
      <c r="F845" s="5" t="s">
        <v>3417</v>
      </c>
      <c r="G845" s="5" t="s">
        <v>3418</v>
      </c>
      <c r="H845" s="5" t="s">
        <v>3419</v>
      </c>
      <c r="I845" s="5" t="s">
        <v>20</v>
      </c>
      <c r="J845" s="5">
        <v>2.76</v>
      </c>
      <c r="K845" s="5" t="s">
        <v>21</v>
      </c>
      <c r="L845" s="5" t="s">
        <v>3437</v>
      </c>
      <c r="M845" s="5" t="s">
        <v>3421</v>
      </c>
      <c r="N845" s="7" t="str">
        <f>HYPERLINK("C:\Users\alexa\YandexDisk\Книги\Веб-разработка\Angular\Learning_Angular,_3rd_Edition_A_no_nonsense_beginner’s_guide_to.pdf","Learning_Angular,_3rd_Edition_A_no_nonsense_beginner’s_guide_to.pdf")</f>
        <v>Learning_Angular,_3rd_Edition_A_no_nonsense_beginner’s_guide_to.pdf</v>
      </c>
      <c r="O845" s="5" t="s">
        <v>3438</v>
      </c>
    </row>
    <row r="846" spans="1:15" ht="179.4" x14ac:dyDescent="0.3">
      <c r="A846" s="2">
        <v>845</v>
      </c>
      <c r="B846" s="3" t="s">
        <v>3439</v>
      </c>
      <c r="C846" s="3" t="s">
        <v>3440</v>
      </c>
      <c r="D846" s="3" t="s">
        <v>109</v>
      </c>
      <c r="E846" s="3" t="s">
        <v>536</v>
      </c>
      <c r="F846" s="3" t="s">
        <v>3417</v>
      </c>
      <c r="G846" s="3" t="s">
        <v>3418</v>
      </c>
      <c r="H846" s="3" t="s">
        <v>3419</v>
      </c>
      <c r="I846" s="3" t="s">
        <v>20</v>
      </c>
      <c r="J846" s="3">
        <v>14.07</v>
      </c>
      <c r="K846" s="3" t="s">
        <v>21</v>
      </c>
      <c r="L846" s="3" t="s">
        <v>3441</v>
      </c>
      <c r="M846" s="3" t="s">
        <v>3421</v>
      </c>
      <c r="N846" s="6" t="str">
        <f>HYPERLINK("C:\Users\alexa\YandexDisk\Книги\Веб-разработка\Angular\Pro_Angular_16.pdf","Pro_Angular_16.pdf")</f>
        <v>Pro_Angular_16.pdf</v>
      </c>
      <c r="O846" s="3" t="s">
        <v>3442</v>
      </c>
    </row>
    <row r="847" spans="1:15" ht="193.2" x14ac:dyDescent="0.3">
      <c r="A847" s="4">
        <v>846</v>
      </c>
      <c r="B847" s="5" t="s">
        <v>3443</v>
      </c>
      <c r="C847" s="5" t="s">
        <v>3444</v>
      </c>
      <c r="D847" s="5" t="s">
        <v>50</v>
      </c>
      <c r="E847" s="5" t="s">
        <v>102</v>
      </c>
      <c r="F847" s="5" t="s">
        <v>3417</v>
      </c>
      <c r="G847" s="5" t="s">
        <v>3418</v>
      </c>
      <c r="H847" s="5" t="s">
        <v>3419</v>
      </c>
      <c r="I847" s="5" t="s">
        <v>20</v>
      </c>
      <c r="J847" s="5">
        <v>25.66</v>
      </c>
      <c r="K847" s="5" t="s">
        <v>21</v>
      </c>
      <c r="L847" s="5" t="s">
        <v>3445</v>
      </c>
      <c r="M847" s="5" t="s">
        <v>3421</v>
      </c>
      <c r="N847" s="7" t="str">
        <f>HYPERLINK("C:\Users\alexa\YandexDisk\Книги\Веб-разработка\Angular\Дилеман Изучаем angular-2 2017.pdf","Дилеман Изучаем angular-2 2017.pdf")</f>
        <v>Дилеман Изучаем angular-2 2017.pdf</v>
      </c>
      <c r="O847" s="5" t="s">
        <v>3446</v>
      </c>
    </row>
    <row r="848" spans="1:15" ht="179.4" x14ac:dyDescent="0.3">
      <c r="A848" s="2">
        <v>847</v>
      </c>
      <c r="B848" s="3" t="s">
        <v>3415</v>
      </c>
      <c r="C848" s="3" t="s">
        <v>3416</v>
      </c>
      <c r="D848" s="3" t="s">
        <v>32</v>
      </c>
      <c r="E848" s="3" t="s">
        <v>18</v>
      </c>
      <c r="F848" s="3" t="s">
        <v>3417</v>
      </c>
      <c r="G848" s="3" t="s">
        <v>3418</v>
      </c>
      <c r="H848" s="3" t="s">
        <v>3419</v>
      </c>
      <c r="I848" s="3" t="s">
        <v>20</v>
      </c>
      <c r="J848" s="3">
        <v>10.08</v>
      </c>
      <c r="K848" s="3" t="s">
        <v>21</v>
      </c>
      <c r="L848" s="3" t="s">
        <v>3447</v>
      </c>
      <c r="M848" s="3" t="s">
        <v>3421</v>
      </c>
      <c r="N848" s="6" t="str">
        <f>HYPERLINK("C:\Users\alexa\YandexDisk\Книги\Веб-разработка\Angular\Фримен - Angular для профессионалов - 2018.pdf","Фримен - Angular для профессионалов - 2018.pdf")</f>
        <v>Фримен - Angular для профессионалов - 2018.pdf</v>
      </c>
      <c r="O848" s="3" t="s">
        <v>3448</v>
      </c>
    </row>
    <row r="849" spans="1:15" ht="193.2" x14ac:dyDescent="0.3">
      <c r="A849" s="4">
        <v>848</v>
      </c>
      <c r="B849" s="5" t="s">
        <v>3449</v>
      </c>
      <c r="C849" s="5" t="s">
        <v>3450</v>
      </c>
      <c r="D849" s="5" t="s">
        <v>17</v>
      </c>
      <c r="E849" s="5" t="s">
        <v>402</v>
      </c>
      <c r="F849" s="5" t="s">
        <v>3451</v>
      </c>
      <c r="G849" s="5" t="s">
        <v>3418</v>
      </c>
      <c r="H849" s="5" t="s">
        <v>3452</v>
      </c>
      <c r="I849" s="5" t="s">
        <v>20</v>
      </c>
      <c r="J849" s="5">
        <v>26.96</v>
      </c>
      <c r="K849" s="5" t="s">
        <v>21</v>
      </c>
      <c r="L849" s="5" t="s">
        <v>3453</v>
      </c>
      <c r="M849" s="5" t="s">
        <v>3454</v>
      </c>
      <c r="N849" s="7" t="str">
        <f>HYPERLINK("C:\Users\alexa\YandexDisk\Книги\Веб-разработка\Backend\!WordPress с нуля 2021.pdf","!WordPress с нуля 2021.pdf")</f>
        <v>!WordPress с нуля 2021.pdf</v>
      </c>
      <c r="O849" s="5" t="s">
        <v>3455</v>
      </c>
    </row>
    <row r="850" spans="1:15" ht="165.6" x14ac:dyDescent="0.3">
      <c r="A850" s="2">
        <v>849</v>
      </c>
      <c r="B850" s="3" t="s">
        <v>3456</v>
      </c>
      <c r="C850" s="3" t="s">
        <v>3457</v>
      </c>
      <c r="D850" s="3" t="s">
        <v>71</v>
      </c>
      <c r="E850" s="3" t="s">
        <v>557</v>
      </c>
      <c r="F850" s="3" t="s">
        <v>3451</v>
      </c>
      <c r="G850" s="3" t="s">
        <v>3418</v>
      </c>
      <c r="H850" s="3" t="s">
        <v>3452</v>
      </c>
      <c r="I850" s="3" t="s">
        <v>20</v>
      </c>
      <c r="J850" s="3">
        <v>15.94</v>
      </c>
      <c r="K850" s="3" t="s">
        <v>21</v>
      </c>
      <c r="L850" s="3" t="s">
        <v>3458</v>
      </c>
      <c r="M850" s="3" t="s">
        <v>3454</v>
      </c>
      <c r="N850" s="6" t="str">
        <f>HYPERLINK("C:\Users\alexa\YandexDisk\Книги\Веб-разработка\Backend\Designing APIs with Swagger and OpenAPI 2022.pdf","Designing APIs with Swagger and OpenAPI 2022.pdf")</f>
        <v>Designing APIs with Swagger and OpenAPI 2022.pdf</v>
      </c>
      <c r="O850" s="3" t="s">
        <v>3459</v>
      </c>
    </row>
    <row r="851" spans="1:15" ht="207" x14ac:dyDescent="0.3">
      <c r="A851" s="4">
        <v>850</v>
      </c>
      <c r="B851" s="5" t="s">
        <v>3460</v>
      </c>
      <c r="C851" s="5" t="s">
        <v>3461</v>
      </c>
      <c r="D851" s="5" t="s">
        <v>71</v>
      </c>
      <c r="E851" s="5" t="s">
        <v>536</v>
      </c>
      <c r="F851" s="5" t="s">
        <v>3451</v>
      </c>
      <c r="G851" s="5" t="s">
        <v>3418</v>
      </c>
      <c r="H851" s="5" t="s">
        <v>3452</v>
      </c>
      <c r="I851" s="5" t="s">
        <v>20</v>
      </c>
      <c r="J851" s="5">
        <v>19.32</v>
      </c>
      <c r="K851" s="5" t="s">
        <v>21</v>
      </c>
      <c r="L851" s="5" t="s">
        <v>3462</v>
      </c>
      <c r="M851" s="5" t="s">
        <v>3454</v>
      </c>
      <c r="N851" s="7" t="str">
        <f>HYPERLINK("C:\Users\alexa\YandexDisk\Книги\Веб-разработка\Backend\Full Stack GraphQL Applications V9 2022.pdf","Full Stack GraphQL Applications V9 2022.pdf")</f>
        <v>Full Stack GraphQL Applications V9 2022.pdf</v>
      </c>
      <c r="O851" s="5" t="s">
        <v>3463</v>
      </c>
    </row>
    <row r="852" spans="1:15" ht="220.8" x14ac:dyDescent="0.3">
      <c r="A852" s="2">
        <v>851</v>
      </c>
      <c r="B852" s="3" t="s">
        <v>3464</v>
      </c>
      <c r="C852" s="3"/>
      <c r="D852" s="3" t="s">
        <v>17</v>
      </c>
      <c r="E852" s="3" t="s">
        <v>102</v>
      </c>
      <c r="F852" s="3" t="s">
        <v>3451</v>
      </c>
      <c r="G852" s="3" t="s">
        <v>3418</v>
      </c>
      <c r="H852" s="3" t="s">
        <v>3452</v>
      </c>
      <c r="I852" s="3" t="s">
        <v>20</v>
      </c>
      <c r="J852" s="3">
        <v>31.28</v>
      </c>
      <c r="K852" s="3" t="s">
        <v>21</v>
      </c>
      <c r="L852" s="3" t="s">
        <v>3465</v>
      </c>
      <c r="M852" s="3" t="s">
        <v>3454</v>
      </c>
      <c r="N852" s="6" t="str">
        <f>HYPERLINK("C:\Users\alexa\YandexDisk\Книги\Веб-разработка\Backend\HTTP 2 в действии 2021.pdf","HTTP 2 в действии 2021.pdf")</f>
        <v>HTTP 2 в действии 2021.pdf</v>
      </c>
      <c r="O852" s="3" t="s">
        <v>3466</v>
      </c>
    </row>
    <row r="853" spans="1:15" ht="151.80000000000001" x14ac:dyDescent="0.3">
      <c r="A853" s="4">
        <v>852</v>
      </c>
      <c r="B853" s="5" t="s">
        <v>3467</v>
      </c>
      <c r="C853" s="5" t="s">
        <v>3468</v>
      </c>
      <c r="D853" s="5" t="s">
        <v>109</v>
      </c>
      <c r="E853" s="5" t="s">
        <v>402</v>
      </c>
      <c r="F853" s="5" t="s">
        <v>3451</v>
      </c>
      <c r="G853" s="5" t="s">
        <v>3418</v>
      </c>
      <c r="H853" s="5" t="s">
        <v>3452</v>
      </c>
      <c r="I853" s="5" t="s">
        <v>20</v>
      </c>
      <c r="J853" s="5">
        <v>10.59</v>
      </c>
      <c r="K853" s="5" t="s">
        <v>21</v>
      </c>
      <c r="L853" s="5" t="s">
        <v>3469</v>
      </c>
      <c r="M853" s="5" t="s">
        <v>3454</v>
      </c>
      <c r="N853" s="7" t="str">
        <f>HYPERLINK("C:\Users\alexa\YandexDisk\Книги\Веб-разработка\Backend\Node.js, Express, MongoDB и React. 23 урока.pdf","Node.js, Express, MongoDB и React. 23 урока.pdf")</f>
        <v>Node.js, Express, MongoDB и React. 23 урока.pdf</v>
      </c>
      <c r="O853" s="5" t="s">
        <v>3470</v>
      </c>
    </row>
    <row r="854" spans="1:15" ht="151.80000000000001" x14ac:dyDescent="0.3">
      <c r="A854" s="2">
        <v>853</v>
      </c>
      <c r="B854" s="3" t="s">
        <v>3471</v>
      </c>
      <c r="C854" s="3" t="s">
        <v>3472</v>
      </c>
      <c r="D854" s="3" t="s">
        <v>71</v>
      </c>
      <c r="E854" s="3" t="s">
        <v>148</v>
      </c>
      <c r="F854" s="3" t="s">
        <v>3451</v>
      </c>
      <c r="G854" s="3" t="s">
        <v>3418</v>
      </c>
      <c r="H854" s="3" t="s">
        <v>3452</v>
      </c>
      <c r="I854" s="3" t="s">
        <v>20</v>
      </c>
      <c r="J854" s="3">
        <v>5.77</v>
      </c>
      <c r="K854" s="3" t="s">
        <v>21</v>
      </c>
      <c r="L854" s="3" t="s">
        <v>3473</v>
      </c>
      <c r="M854" s="3" t="s">
        <v>3454</v>
      </c>
      <c r="N854" s="6" t="str">
        <f>HYPERLINK("C:\Users\alexa\YandexDisk\Книги\Веб-разработка\Backend\Web-программирование на Python.pdf","Web-программирование на Python.pdf")</f>
        <v>Web-программирование на Python.pdf</v>
      </c>
      <c r="O854" s="3" t="s">
        <v>3474</v>
      </c>
    </row>
    <row r="855" spans="1:15" ht="151.80000000000001" x14ac:dyDescent="0.3">
      <c r="A855" s="4">
        <v>854</v>
      </c>
      <c r="B855" s="5" t="s">
        <v>3475</v>
      </c>
      <c r="C855" s="5" t="s">
        <v>3476</v>
      </c>
      <c r="D855" s="5" t="s">
        <v>17</v>
      </c>
      <c r="E855" s="5" t="s">
        <v>3477</v>
      </c>
      <c r="F855" s="5" t="s">
        <v>3451</v>
      </c>
      <c r="G855" s="5" t="s">
        <v>3418</v>
      </c>
      <c r="H855" s="5" t="s">
        <v>3452</v>
      </c>
      <c r="I855" s="5" t="s">
        <v>20</v>
      </c>
      <c r="J855" s="5">
        <v>2.6</v>
      </c>
      <c r="K855" s="5" t="s">
        <v>21</v>
      </c>
      <c r="L855" s="5" t="s">
        <v>3478</v>
      </c>
      <c r="M855" s="5" t="s">
        <v>3454</v>
      </c>
      <c r="N855" s="7" t="str">
        <f>HYPERLINK("C:\Users\alexa\YandexDisk\Книги\Веб-разработка\Backend\Web_API_Development_with_Python_A_Beginners_Guide.pdf","Web_API_Development_with_Python_A_Beginners_Guide.pdf")</f>
        <v>Web_API_Development_with_Python_A_Beginners_Guide.pdf</v>
      </c>
      <c r="O855" s="5" t="s">
        <v>3479</v>
      </c>
    </row>
    <row r="856" spans="1:15" ht="193.2" x14ac:dyDescent="0.3">
      <c r="A856" s="2">
        <v>855</v>
      </c>
      <c r="B856" s="3" t="s">
        <v>3449</v>
      </c>
      <c r="C856" s="3" t="s">
        <v>3450</v>
      </c>
      <c r="D856" s="3" t="s">
        <v>17</v>
      </c>
      <c r="E856" s="3" t="s">
        <v>402</v>
      </c>
      <c r="F856" s="3" t="s">
        <v>3451</v>
      </c>
      <c r="G856" s="3" t="s">
        <v>3418</v>
      </c>
      <c r="H856" s="3" t="s">
        <v>3452</v>
      </c>
      <c r="I856" s="3" t="s">
        <v>20</v>
      </c>
      <c r="J856" s="3">
        <v>26.99</v>
      </c>
      <c r="K856" s="3" t="s">
        <v>21</v>
      </c>
      <c r="L856" s="3" t="s">
        <v>3480</v>
      </c>
      <c r="M856" s="3" t="s">
        <v>3454</v>
      </c>
      <c r="N856" s="6" t="str">
        <f>HYPERLINK("C:\Users\alexa\YandexDisk\Книги\Веб-разработка\Backend\WordPress с нуля.pdf","WordPress с нуля.pdf")</f>
        <v>WordPress с нуля.pdf</v>
      </c>
      <c r="O856" s="3" t="s">
        <v>3481</v>
      </c>
    </row>
    <row r="857" spans="1:15" ht="193.2" x14ac:dyDescent="0.3">
      <c r="A857" s="4">
        <v>856</v>
      </c>
      <c r="B857" s="5" t="s">
        <v>3482</v>
      </c>
      <c r="C857" s="5" t="s">
        <v>3483</v>
      </c>
      <c r="D857" s="5" t="s">
        <v>77</v>
      </c>
      <c r="E857" s="5" t="s">
        <v>18</v>
      </c>
      <c r="F857" s="5" t="s">
        <v>3451</v>
      </c>
      <c r="G857" s="5" t="s">
        <v>3418</v>
      </c>
      <c r="H857" s="5" t="s">
        <v>3452</v>
      </c>
      <c r="I857" s="5" t="s">
        <v>20</v>
      </c>
      <c r="J857" s="5">
        <v>5.52</v>
      </c>
      <c r="K857" s="5" t="s">
        <v>21</v>
      </c>
      <c r="L857" s="5" t="s">
        <v>3484</v>
      </c>
      <c r="M857" s="5" t="s">
        <v>3454</v>
      </c>
      <c r="N857" s="7" t="str">
        <f>HYPERLINK("C:\Users\alexa\YandexDisk\Книги\Веб-разработка\Backend\Алекс_Бэнкс GraphQL_Язык_запросов_для_современных_веб_приложений 2019.pdf","Алекс_Бэнкс GraphQL_Язык_запросов_для_современных_веб_приложений 2019.pdf")</f>
        <v>Алекс_Бэнкс GraphQL_Язык_запросов_для_современных_веб_приложений 2019.pdf</v>
      </c>
      <c r="O857" s="5" t="s">
        <v>3485</v>
      </c>
    </row>
    <row r="858" spans="1:15" ht="138" x14ac:dyDescent="0.3">
      <c r="A858" s="2">
        <v>857</v>
      </c>
      <c r="B858" s="3" t="s">
        <v>3486</v>
      </c>
      <c r="C858" s="3" t="s">
        <v>3487</v>
      </c>
      <c r="D858" s="3" t="s">
        <v>50</v>
      </c>
      <c r="E858" s="3" t="s">
        <v>18</v>
      </c>
      <c r="F858" s="3" t="s">
        <v>3451</v>
      </c>
      <c r="G858" s="3" t="s">
        <v>3418</v>
      </c>
      <c r="H858" s="3" t="s">
        <v>3452</v>
      </c>
      <c r="I858" s="3" t="s">
        <v>20</v>
      </c>
      <c r="J858" s="3">
        <v>6.51</v>
      </c>
      <c r="K858" s="3" t="s">
        <v>21</v>
      </c>
      <c r="L858" s="3" t="s">
        <v>3488</v>
      </c>
      <c r="M858" s="3" t="s">
        <v>3454</v>
      </c>
      <c r="N858" s="6" t="str">
        <f>HYPERLINK("C:\Users\alexa\YandexDisk\Книги\Веб-разработка\Backend\Веб-разработка с использованием Node и Express.pdf","Веб-разработка с использованием Node и Express.pdf")</f>
        <v>Веб-разработка с использованием Node и Express.pdf</v>
      </c>
      <c r="O858" s="3" t="s">
        <v>3489</v>
      </c>
    </row>
    <row r="859" spans="1:15" ht="165.6" x14ac:dyDescent="0.3">
      <c r="A859" s="4">
        <v>858</v>
      </c>
      <c r="B859" s="5" t="s">
        <v>3490</v>
      </c>
      <c r="C859" s="5" t="s">
        <v>3491</v>
      </c>
      <c r="D859" s="5" t="s">
        <v>17</v>
      </c>
      <c r="E859" s="5" t="s">
        <v>442</v>
      </c>
      <c r="F859" s="5" t="s">
        <v>3451</v>
      </c>
      <c r="G859" s="5" t="s">
        <v>3418</v>
      </c>
      <c r="H859" s="5" t="s">
        <v>3452</v>
      </c>
      <c r="I859" s="5" t="s">
        <v>20</v>
      </c>
      <c r="J859" s="5">
        <v>9.49</v>
      </c>
      <c r="K859" s="5" t="s">
        <v>21</v>
      </c>
      <c r="L859" s="5" t="s">
        <v>3492</v>
      </c>
      <c r="M859" s="5" t="s">
        <v>3454</v>
      </c>
      <c r="N859" s="7" t="str">
        <f>HYPERLINK("C:\Users\alexa\YandexDisk\Книги\Веб-разработка\Backend\Веб_разработка_с_применением_Node_и_Express -2021.pdf","Веб_разработка_с_применением_Node_и_Express -2021.pdf")</f>
        <v>Веб_разработка_с_применением_Node_и_Express -2021.pdf</v>
      </c>
      <c r="O859" s="5" t="s">
        <v>3493</v>
      </c>
    </row>
    <row r="860" spans="1:15" ht="41.4" x14ac:dyDescent="0.3">
      <c r="A860" s="2">
        <v>859</v>
      </c>
      <c r="B860" s="3" t="s">
        <v>3494</v>
      </c>
      <c r="C860" s="3"/>
      <c r="D860" s="3" t="s">
        <v>59</v>
      </c>
      <c r="E860" s="3"/>
      <c r="F860" s="3" t="s">
        <v>3451</v>
      </c>
      <c r="G860" s="3" t="s">
        <v>3418</v>
      </c>
      <c r="H860" s="3" t="s">
        <v>3452</v>
      </c>
      <c r="I860" s="3" t="s">
        <v>20</v>
      </c>
      <c r="J860" s="3">
        <v>49.87</v>
      </c>
      <c r="K860" s="3" t="s">
        <v>21</v>
      </c>
      <c r="L860" s="3" t="s">
        <v>3495</v>
      </c>
      <c r="M860" s="3" t="s">
        <v>3454</v>
      </c>
      <c r="N860" s="6" t="str">
        <f>HYPERLINK("C:\Users\alexa\YandexDisk\Книги\Веб-разработка\Backend\Разработка веб-приложений 2020.pdf","Разработка веб-приложений 2020.pdf")</f>
        <v>Разработка веб-приложений 2020.pdf</v>
      </c>
      <c r="O860" s="3" t="s">
        <v>930</v>
      </c>
    </row>
    <row r="861" spans="1:15" ht="179.4" x14ac:dyDescent="0.3">
      <c r="A861" s="4">
        <v>860</v>
      </c>
      <c r="B861" s="5" t="s">
        <v>3496</v>
      </c>
      <c r="C861" s="5" t="s">
        <v>3497</v>
      </c>
      <c r="D861" s="5" t="s">
        <v>17</v>
      </c>
      <c r="E861" s="5" t="s">
        <v>442</v>
      </c>
      <c r="F861" s="5" t="s">
        <v>3451</v>
      </c>
      <c r="G861" s="5" t="s">
        <v>3418</v>
      </c>
      <c r="H861" s="5" t="s">
        <v>3452</v>
      </c>
      <c r="I861" s="5" t="s">
        <v>20</v>
      </c>
      <c r="J861" s="5">
        <v>37.090000000000003</v>
      </c>
      <c r="K861" s="5" t="s">
        <v>21</v>
      </c>
      <c r="L861" s="5" t="s">
        <v>3498</v>
      </c>
      <c r="M861" s="5" t="s">
        <v>3454</v>
      </c>
      <c r="N861" s="7" t="str">
        <f>HYPERLINK("C:\Users\alexa\YandexDisk\Книги\Веб-разработка\Backend\Разработка_веб_приложений_на_WordPress.pdf","Разработка_веб_приложений_на_WordPress.pdf")</f>
        <v>Разработка_веб_приложений_на_WordPress.pdf</v>
      </c>
      <c r="O861" s="5" t="s">
        <v>3499</v>
      </c>
    </row>
    <row r="862" spans="1:15" ht="262.2" x14ac:dyDescent="0.3">
      <c r="A862" s="2">
        <v>861</v>
      </c>
      <c r="B862" s="3" t="s">
        <v>3500</v>
      </c>
      <c r="C862" s="3" t="s">
        <v>3501</v>
      </c>
      <c r="D862" s="3"/>
      <c r="E862" s="3"/>
      <c r="F862" s="3" t="s">
        <v>3451</v>
      </c>
      <c r="G862" s="3" t="s">
        <v>3418</v>
      </c>
      <c r="H862" s="3" t="s">
        <v>3452</v>
      </c>
      <c r="I862" s="3" t="s">
        <v>20</v>
      </c>
      <c r="J862" s="3">
        <v>4.82</v>
      </c>
      <c r="K862" s="3" t="s">
        <v>21</v>
      </c>
      <c r="L862" s="3" t="s">
        <v>3502</v>
      </c>
      <c r="M862" s="3" t="s">
        <v>3454</v>
      </c>
      <c r="N862" s="6" t="str">
        <f>HYPERLINK("C:\Users\alexa\YandexDisk\Книги\Веб-разработка\Backend\Свой_сайт_на_Wordpress_легко,_быстро,_бесплатно.pdf","Свой_сайт_на_Wordpress_легко,_быстро,_бесплатно.pdf")</f>
        <v>Свой_сайт_на_Wordpress_легко,_быстро,_бесплатно.pdf</v>
      </c>
      <c r="O862" s="3" t="s">
        <v>3503</v>
      </c>
    </row>
    <row r="863" spans="1:15" ht="151.80000000000001" x14ac:dyDescent="0.3">
      <c r="A863" s="4">
        <v>862</v>
      </c>
      <c r="B863" s="5" t="s">
        <v>3504</v>
      </c>
      <c r="C863" s="5" t="s">
        <v>3505</v>
      </c>
      <c r="D863" s="5" t="s">
        <v>114</v>
      </c>
      <c r="E863" s="5" t="s">
        <v>86</v>
      </c>
      <c r="F863" s="5" t="s">
        <v>3451</v>
      </c>
      <c r="G863" s="5" t="s">
        <v>3418</v>
      </c>
      <c r="H863" s="5" t="s">
        <v>3452</v>
      </c>
      <c r="I863" s="5" t="s">
        <v>20</v>
      </c>
      <c r="J863" s="5">
        <v>2.35</v>
      </c>
      <c r="K863" s="5" t="s">
        <v>21</v>
      </c>
      <c r="L863" s="5" t="s">
        <v>3506</v>
      </c>
      <c r="M863" s="5" t="s">
        <v>3454</v>
      </c>
      <c r="N863" s="7" t="str">
        <f>HYPERLINK("C:\Users\alexa\YandexDisk\Книги\Веб-разработка\Backend\Семантический веб.pdf","Семантический веб.pdf")</f>
        <v>Семантический веб.pdf</v>
      </c>
      <c r="O863" s="5" t="s">
        <v>3507</v>
      </c>
    </row>
    <row r="864" spans="1:15" ht="179.4" x14ac:dyDescent="0.3">
      <c r="A864" s="2">
        <v>863</v>
      </c>
      <c r="B864" s="3" t="s">
        <v>3508</v>
      </c>
      <c r="C864" s="3" t="s">
        <v>3509</v>
      </c>
      <c r="D864" s="3" t="s">
        <v>335</v>
      </c>
      <c r="E864" s="3" t="s">
        <v>442</v>
      </c>
      <c r="F864" s="3" t="s">
        <v>3451</v>
      </c>
      <c r="G864" s="3" t="s">
        <v>3418</v>
      </c>
      <c r="H864" s="3" t="s">
        <v>3452</v>
      </c>
      <c r="I864" s="3" t="s">
        <v>20</v>
      </c>
      <c r="J864" s="3">
        <v>11.57</v>
      </c>
      <c r="K864" s="3" t="s">
        <v>21</v>
      </c>
      <c r="L864" s="3" t="s">
        <v>3510</v>
      </c>
      <c r="M864" s="3" t="s">
        <v>3454</v>
      </c>
      <c r="N864" s="6" t="str">
        <f>HYPERLINK("C:\Users\alexa\YandexDisk\Книги\Веб-разработка\Backend\Создаем динамические веб-сайты.pdf","Создаем динамические веб-сайты.pdf")</f>
        <v>Создаем динамические веб-сайты.pdf</v>
      </c>
      <c r="O864" s="3" t="s">
        <v>3511</v>
      </c>
    </row>
    <row r="865" spans="1:15" ht="220.8" x14ac:dyDescent="0.3">
      <c r="A865" s="4">
        <v>864</v>
      </c>
      <c r="B865" s="5" t="s">
        <v>3512</v>
      </c>
      <c r="C865" s="5" t="s">
        <v>3513</v>
      </c>
      <c r="D865" s="5" t="s">
        <v>50</v>
      </c>
      <c r="E865" s="5" t="s">
        <v>18</v>
      </c>
      <c r="F865" s="5" t="s">
        <v>3451</v>
      </c>
      <c r="G865" s="5" t="s">
        <v>3418</v>
      </c>
      <c r="H865" s="5" t="s">
        <v>3452</v>
      </c>
      <c r="I865" s="5" t="s">
        <v>20</v>
      </c>
      <c r="J865" s="5">
        <v>38.58</v>
      </c>
      <c r="K865" s="5" t="s">
        <v>21</v>
      </c>
      <c r="L865" s="5" t="s">
        <v>3514</v>
      </c>
      <c r="M865" s="5" t="s">
        <v>3454</v>
      </c>
      <c r="N865" s="7" t="str">
        <f>HYPERLINK("C:\Users\alexa\YandexDisk\Книги\Веб-разработка\Backend\Стек MEAN. Mongo, Express, Angular, Node.pdf","Стек MEAN. Mongo, Express, Angular, Node.pdf")</f>
        <v>Стек MEAN. Mongo, Express, Angular, Node.pdf</v>
      </c>
      <c r="O865" s="5" t="s">
        <v>3515</v>
      </c>
    </row>
    <row r="866" spans="1:15" ht="151.80000000000001" x14ac:dyDescent="0.3">
      <c r="A866" s="2">
        <v>865</v>
      </c>
      <c r="B866" s="3" t="s">
        <v>3516</v>
      </c>
      <c r="C866" s="3" t="s">
        <v>3517</v>
      </c>
      <c r="D866" s="3" t="s">
        <v>27</v>
      </c>
      <c r="E866" s="3" t="s">
        <v>205</v>
      </c>
      <c r="F866" s="3" t="s">
        <v>3518</v>
      </c>
      <c r="G866" s="3" t="s">
        <v>3418</v>
      </c>
      <c r="H866" s="3" t="s">
        <v>3519</v>
      </c>
      <c r="I866" s="3" t="s">
        <v>20</v>
      </c>
      <c r="J866" s="3">
        <v>59.87</v>
      </c>
      <c r="K866" s="3" t="s">
        <v>21</v>
      </c>
      <c r="L866" s="3" t="s">
        <v>3520</v>
      </c>
      <c r="M866" s="3" t="s">
        <v>3521</v>
      </c>
      <c r="N866" s="6" t="str">
        <f>HYPERLINK("C:\Users\alexa\YandexDisk\Книги\Веб-разработка\Django\Django 4 в примерах [2023] Антонио Меле.pdf","Django 4 в примерах [2023] Антонио Меле.pdf")</f>
        <v>Django 4 в примерах [2023] Антонио Меле.pdf</v>
      </c>
      <c r="O866" s="3" t="s">
        <v>3522</v>
      </c>
    </row>
    <row r="867" spans="1:15" ht="124.2" x14ac:dyDescent="0.3">
      <c r="A867" s="4">
        <v>866</v>
      </c>
      <c r="B867" s="5" t="s">
        <v>3523</v>
      </c>
      <c r="C867" s="5" t="s">
        <v>3524</v>
      </c>
      <c r="D867" s="5" t="s">
        <v>32</v>
      </c>
      <c r="E867" s="5" t="s">
        <v>205</v>
      </c>
      <c r="F867" s="5" t="s">
        <v>3518</v>
      </c>
      <c r="G867" s="5" t="s">
        <v>3418</v>
      </c>
      <c r="H867" s="5" t="s">
        <v>3519</v>
      </c>
      <c r="I867" s="5" t="s">
        <v>280</v>
      </c>
      <c r="J867" s="5">
        <v>10.47</v>
      </c>
      <c r="K867" s="5" t="s">
        <v>21</v>
      </c>
      <c r="L867" s="5" t="s">
        <v>3525</v>
      </c>
      <c r="M867" s="5" t="s">
        <v>3521</v>
      </c>
      <c r="N867" s="7" t="str">
        <f>HYPERLINK("C:\Users\alexa\YandexDisk\Книги\Веб-разработка\Django\Django-RESTful-Web-Services_RuLit_Me_618227.epub","Django-RESTful-Web-Services_RuLit_Me_618227.epub")</f>
        <v>Django-RESTful-Web-Services_RuLit_Me_618227.epub</v>
      </c>
      <c r="O867" s="5" t="s">
        <v>3526</v>
      </c>
    </row>
    <row r="868" spans="1:15" ht="124.2" x14ac:dyDescent="0.3">
      <c r="A868" s="2">
        <v>867</v>
      </c>
      <c r="B868" s="3" t="s">
        <v>3527</v>
      </c>
      <c r="C868" s="3" t="s">
        <v>3528</v>
      </c>
      <c r="D868" s="3" t="s">
        <v>71</v>
      </c>
      <c r="E868" s="3" t="s">
        <v>205</v>
      </c>
      <c r="F868" s="3" t="s">
        <v>3518</v>
      </c>
      <c r="G868" s="3" t="s">
        <v>3418</v>
      </c>
      <c r="H868" s="3" t="s">
        <v>3519</v>
      </c>
      <c r="I868" s="3" t="s">
        <v>20</v>
      </c>
      <c r="J868" s="3">
        <v>8.3699999999999992</v>
      </c>
      <c r="K868" s="3" t="s">
        <v>21</v>
      </c>
      <c r="L868" s="3" t="s">
        <v>3529</v>
      </c>
      <c r="M868" s="3" t="s">
        <v>3521</v>
      </c>
      <c r="N868" s="6" t="str">
        <f>HYPERLINK("C:\Users\alexa\YandexDisk\Книги\Веб-разработка\Django\Django_4_for_the_Impatient_Learn_the_Core_Concepts_of_Python_Web.pdf","Django_4_for_the_Impatient_Learn_the_Core_Concepts_of_Python_Web.pdf")</f>
        <v>Django_4_for_the_Impatient_Learn_the_Core_Concepts_of_Python_Web.pdf</v>
      </c>
      <c r="O868" s="3" t="s">
        <v>3530</v>
      </c>
    </row>
    <row r="869" spans="1:15" ht="165.6" x14ac:dyDescent="0.3">
      <c r="A869" s="4">
        <v>868</v>
      </c>
      <c r="B869" s="5" t="s">
        <v>3531</v>
      </c>
      <c r="C869" s="5" t="s">
        <v>3532</v>
      </c>
      <c r="D869" s="5" t="s">
        <v>77</v>
      </c>
      <c r="E869" s="5" t="s">
        <v>296</v>
      </c>
      <c r="F869" s="5" t="s">
        <v>3518</v>
      </c>
      <c r="G869" s="5" t="s">
        <v>3418</v>
      </c>
      <c r="H869" s="5" t="s">
        <v>3519</v>
      </c>
      <c r="I869" s="5" t="s">
        <v>20</v>
      </c>
      <c r="J869" s="5">
        <v>8.7200000000000006</v>
      </c>
      <c r="K869" s="5" t="s">
        <v>21</v>
      </c>
      <c r="L869" s="5" t="s">
        <v>3533</v>
      </c>
      <c r="M869" s="5" t="s">
        <v>3521</v>
      </c>
      <c r="N869" s="7" t="str">
        <f>HYPERLINK("C:\Users\alexa\YandexDisk\Книги\Веб-разработка\Django\Django_for_APIs_Build_Web_APIs_with_Python 2019.pdf","Django_for_APIs_Build_Web_APIs_with_Python 2019.pdf")</f>
        <v>Django_for_APIs_Build_Web_APIs_with_Python 2019.pdf</v>
      </c>
      <c r="O869" s="5" t="s">
        <v>3534</v>
      </c>
    </row>
    <row r="870" spans="1:15" ht="193.2" x14ac:dyDescent="0.3">
      <c r="A870" s="2">
        <v>869</v>
      </c>
      <c r="B870" s="3" t="s">
        <v>3535</v>
      </c>
      <c r="C870" s="3" t="s">
        <v>3536</v>
      </c>
      <c r="D870" s="3" t="s">
        <v>114</v>
      </c>
      <c r="E870" s="3" t="s">
        <v>402</v>
      </c>
      <c r="F870" s="3" t="s">
        <v>3518</v>
      </c>
      <c r="G870" s="3" t="s">
        <v>3418</v>
      </c>
      <c r="H870" s="3" t="s">
        <v>3519</v>
      </c>
      <c r="I870" s="3" t="s">
        <v>20</v>
      </c>
      <c r="J870" s="3">
        <v>31.97</v>
      </c>
      <c r="K870" s="3" t="s">
        <v>21</v>
      </c>
      <c r="L870" s="3" t="s">
        <v>3537</v>
      </c>
      <c r="M870" s="3" t="s">
        <v>3521</v>
      </c>
      <c r="N870" s="6" t="str">
        <f>HYPERLINK("C:\Users\alexa\YandexDisk\Книги\Веб-разработка\Django\Django_Практика_создания_Web_сайтов_на_Python.pdf","Django_Практика_создания_Web_сайтов_на_Python.pdf")</f>
        <v>Django_Практика_создания_Web_сайтов_на_Python.pdf</v>
      </c>
      <c r="O870" s="3" t="s">
        <v>3538</v>
      </c>
    </row>
    <row r="871" spans="1:15" ht="151.80000000000001" x14ac:dyDescent="0.3">
      <c r="A871" s="4">
        <v>870</v>
      </c>
      <c r="B871" s="5" t="s">
        <v>3539</v>
      </c>
      <c r="C871" s="5" t="s">
        <v>3540</v>
      </c>
      <c r="D871" s="5" t="s">
        <v>27</v>
      </c>
      <c r="E871" s="5" t="s">
        <v>402</v>
      </c>
      <c r="F871" s="5" t="s">
        <v>3518</v>
      </c>
      <c r="G871" s="5" t="s">
        <v>3418</v>
      </c>
      <c r="H871" s="5" t="s">
        <v>3519</v>
      </c>
      <c r="I871" s="5" t="s">
        <v>20</v>
      </c>
      <c r="J871" s="5">
        <v>86.8</v>
      </c>
      <c r="K871" s="5" t="s">
        <v>21</v>
      </c>
      <c r="L871" s="5" t="s">
        <v>3541</v>
      </c>
      <c r="M871" s="5" t="s">
        <v>3521</v>
      </c>
      <c r="N871" s="7" t="str">
        <f>HYPERLINK("C:\Users\alexa\YandexDisk\Книги\Веб-разработка\Django\Python, Django и Bootstrap для начинающих.pdf","Python, Django и Bootstrap для начинающих.pdf")</f>
        <v>Python, Django и Bootstrap для начинающих.pdf</v>
      </c>
      <c r="O871" s="5" t="s">
        <v>3542</v>
      </c>
    </row>
    <row r="872" spans="1:15" ht="151.80000000000001" x14ac:dyDescent="0.3">
      <c r="A872" s="2">
        <v>871</v>
      </c>
      <c r="B872" s="3" t="s">
        <v>3543</v>
      </c>
      <c r="C872" s="3" t="s">
        <v>3544</v>
      </c>
      <c r="D872" s="3" t="s">
        <v>17</v>
      </c>
      <c r="E872" s="3" t="s">
        <v>402</v>
      </c>
      <c r="F872" s="3" t="s">
        <v>3518</v>
      </c>
      <c r="G872" s="3" t="s">
        <v>3418</v>
      </c>
      <c r="H872" s="3" t="s">
        <v>3519</v>
      </c>
      <c r="I872" s="3" t="s">
        <v>20</v>
      </c>
      <c r="J872" s="3">
        <v>56.98</v>
      </c>
      <c r="K872" s="3" t="s">
        <v>21</v>
      </c>
      <c r="L872" s="3" t="s">
        <v>3545</v>
      </c>
      <c r="M872" s="3" t="s">
        <v>3521</v>
      </c>
      <c r="N872" s="6" t="str">
        <f>HYPERLINK("C:\Users\alexa\YandexDisk\Книги\Веб-разработка\Django\Python, Django, PyCharm.pdf","Python, Django, PyCharm.pdf")</f>
        <v>Python, Django, PyCharm.pdf</v>
      </c>
      <c r="O872" s="3" t="s">
        <v>3546</v>
      </c>
    </row>
    <row r="873" spans="1:15" ht="138" x14ac:dyDescent="0.3">
      <c r="A873" s="4">
        <v>872</v>
      </c>
      <c r="B873" s="5" t="s">
        <v>3547</v>
      </c>
      <c r="C873" s="5" t="s">
        <v>3548</v>
      </c>
      <c r="D873" s="5" t="s">
        <v>71</v>
      </c>
      <c r="E873" s="5" t="s">
        <v>227</v>
      </c>
      <c r="F873" s="5" t="s">
        <v>3518</v>
      </c>
      <c r="G873" s="5" t="s">
        <v>3418</v>
      </c>
      <c r="H873" s="5" t="s">
        <v>3519</v>
      </c>
      <c r="I873" s="5" t="s">
        <v>20</v>
      </c>
      <c r="J873" s="5">
        <v>12.7</v>
      </c>
      <c r="K873" s="5" t="s">
        <v>21</v>
      </c>
      <c r="L873" s="5" t="s">
        <v>3549</v>
      </c>
      <c r="M873" s="5" t="s">
        <v>3521</v>
      </c>
      <c r="N873" s="7" t="str">
        <f>HYPERLINK("C:\Users\alexa\YandexDisk\Книги\Веб-разработка\Django\Secure Web Application Development.pdf","Secure Web Application Development.pdf")</f>
        <v>Secure Web Application Development.pdf</v>
      </c>
      <c r="O873" s="5" t="s">
        <v>3550</v>
      </c>
    </row>
    <row r="874" spans="1:15" ht="124.2" x14ac:dyDescent="0.3">
      <c r="A874" s="2">
        <v>873</v>
      </c>
      <c r="B874" s="3" t="s">
        <v>3535</v>
      </c>
      <c r="C874" s="3" t="s">
        <v>3551</v>
      </c>
      <c r="D874" s="3"/>
      <c r="E874" s="3"/>
      <c r="F874" s="3" t="s">
        <v>3518</v>
      </c>
      <c r="G874" s="3" t="s">
        <v>3418</v>
      </c>
      <c r="H874" s="3" t="s">
        <v>3519</v>
      </c>
      <c r="I874" s="3" t="s">
        <v>20</v>
      </c>
      <c r="J874" s="3">
        <v>111.72</v>
      </c>
      <c r="K874" s="3" t="s">
        <v>21</v>
      </c>
      <c r="L874" s="3" t="s">
        <v>3552</v>
      </c>
      <c r="M874" s="3" t="s">
        <v>3521</v>
      </c>
      <c r="N874" s="6" t="str">
        <f>HYPERLINK("C:\Users\alexa\YandexDisk\Книги\Веб-разработка\Django\Владимир_Дронов_Django_практика.pdf","Владимир_Дронов_Django_практика.pdf")</f>
        <v>Владимир_Дронов_Django_практика.pdf</v>
      </c>
      <c r="O874" s="3" t="s">
        <v>3553</v>
      </c>
    </row>
    <row r="875" spans="1:15" ht="165.6" x14ac:dyDescent="0.3">
      <c r="A875" s="4">
        <v>874</v>
      </c>
      <c r="B875" s="5" t="s">
        <v>3554</v>
      </c>
      <c r="C875" s="5" t="s">
        <v>3551</v>
      </c>
      <c r="D875" s="5" t="s">
        <v>17</v>
      </c>
      <c r="E875" s="5" t="s">
        <v>402</v>
      </c>
      <c r="F875" s="5" t="s">
        <v>3518</v>
      </c>
      <c r="G875" s="5" t="s">
        <v>3418</v>
      </c>
      <c r="H875" s="5" t="s">
        <v>3519</v>
      </c>
      <c r="I875" s="5" t="s">
        <v>20</v>
      </c>
      <c r="J875" s="5">
        <v>16.91</v>
      </c>
      <c r="K875" s="5" t="s">
        <v>21</v>
      </c>
      <c r="L875" s="5" t="s">
        <v>3555</v>
      </c>
      <c r="M875" s="5" t="s">
        <v>3521</v>
      </c>
      <c r="N875" s="7" t="str">
        <f>HYPERLINK("C:\Users\alexa\YandexDisk\Книги\Веб-разработка\Django\Дронов Практика создания сайтов на Python 2021.pdf","Дронов Практика создания сайтов на Python 2021.pdf")</f>
        <v>Дронов Практика создания сайтов на Python 2021.pdf</v>
      </c>
      <c r="O875" s="5" t="s">
        <v>3556</v>
      </c>
    </row>
    <row r="876" spans="1:15" ht="138" x14ac:dyDescent="0.3">
      <c r="A876" s="2">
        <v>875</v>
      </c>
      <c r="B876" s="3" t="s">
        <v>3519</v>
      </c>
      <c r="C876" s="3" t="s">
        <v>3557</v>
      </c>
      <c r="D876" s="3"/>
      <c r="E876" s="3"/>
      <c r="F876" s="3" t="s">
        <v>3518</v>
      </c>
      <c r="G876" s="3" t="s">
        <v>3418</v>
      </c>
      <c r="H876" s="3" t="s">
        <v>3519</v>
      </c>
      <c r="I876" s="3" t="s">
        <v>721</v>
      </c>
      <c r="J876" s="3">
        <v>5.12</v>
      </c>
      <c r="K876" s="3" t="s">
        <v>21</v>
      </c>
      <c r="L876" s="3" t="s">
        <v>3558</v>
      </c>
      <c r="M876" s="3" t="s">
        <v>3521</v>
      </c>
      <c r="N876" s="6" t="str">
        <f>HYPERLINK("C:\Users\alexa\YandexDisk\Книги\Веб-разработка\Django\Форсье_Д_,_Биссекс_П_,_Чан_У_Django.djvu","Форсье_Д_,_Биссекс_П_,_Чан_У_Django.djvu")</f>
        <v>Форсье_Д_,_Биссекс_П_,_Чан_У_Django.djvu</v>
      </c>
      <c r="O876" s="3" t="s">
        <v>3559</v>
      </c>
    </row>
    <row r="877" spans="1:15" ht="179.4" x14ac:dyDescent="0.3">
      <c r="A877" s="4">
        <v>876</v>
      </c>
      <c r="B877" s="5" t="s">
        <v>3560</v>
      </c>
      <c r="C877" s="5" t="s">
        <v>3561</v>
      </c>
      <c r="D877" s="5" t="s">
        <v>17</v>
      </c>
      <c r="E877" s="5" t="s">
        <v>402</v>
      </c>
      <c r="F877" s="5" t="s">
        <v>3562</v>
      </c>
      <c r="G877" s="5" t="s">
        <v>3418</v>
      </c>
      <c r="H877" s="5" t="s">
        <v>3563</v>
      </c>
      <c r="I877" s="5" t="s">
        <v>20</v>
      </c>
      <c r="J877" s="5">
        <v>5.48</v>
      </c>
      <c r="K877" s="5" t="s">
        <v>21</v>
      </c>
      <c r="L877" s="5" t="s">
        <v>3564</v>
      </c>
      <c r="M877" s="5" t="s">
        <v>3565</v>
      </c>
      <c r="N877" s="7" t="str">
        <f>HYPERLINK("C:\Users\alexa\YandexDisk\Книги\Веб-разработка\Frontend\Bootstrap и CSS-препроцессор Sass 2022.pdf","Bootstrap и CSS-препроцессор Sass 2022.pdf")</f>
        <v>Bootstrap и CSS-препроцессор Sass 2022.pdf</v>
      </c>
      <c r="O877" s="5" t="s">
        <v>3566</v>
      </c>
    </row>
    <row r="878" spans="1:15" ht="234.6" x14ac:dyDescent="0.3">
      <c r="A878" s="2">
        <v>877</v>
      </c>
      <c r="B878" s="3" t="s">
        <v>3567</v>
      </c>
      <c r="C878" s="3" t="s">
        <v>3568</v>
      </c>
      <c r="D878" s="3"/>
      <c r="E878" s="3"/>
      <c r="F878" s="3" t="s">
        <v>3562</v>
      </c>
      <c r="G878" s="3" t="s">
        <v>3418</v>
      </c>
      <c r="H878" s="3" t="s">
        <v>3563</v>
      </c>
      <c r="I878" s="3" t="s">
        <v>20</v>
      </c>
      <c r="J878" s="3">
        <v>6.75</v>
      </c>
      <c r="K878" s="3" t="s">
        <v>21</v>
      </c>
      <c r="L878" s="3" t="s">
        <v>3569</v>
      </c>
      <c r="M878" s="3" t="s">
        <v>3565</v>
      </c>
      <c r="N878" s="6" t="str">
        <f>HYPERLINK("C:\Users\alexa\YandexDisk\Книги\Веб-разработка\Frontend\Building Micro-Front... by Mezzalira  Luca.pdf","Building Micro-Front... by Mezzalira  Luca.pdf")</f>
        <v>Building Micro-Front... by Mezzalira  Luca.pdf</v>
      </c>
      <c r="O878" s="3" t="s">
        <v>3570</v>
      </c>
    </row>
    <row r="879" spans="1:15" ht="220.8" x14ac:dyDescent="0.3">
      <c r="A879" s="4">
        <v>878</v>
      </c>
      <c r="B879" s="5" t="s">
        <v>3571</v>
      </c>
      <c r="C879" s="5" t="s">
        <v>3572</v>
      </c>
      <c r="D879" s="5" t="s">
        <v>77</v>
      </c>
      <c r="E879" s="5" t="s">
        <v>18</v>
      </c>
      <c r="F879" s="5" t="s">
        <v>3562</v>
      </c>
      <c r="G879" s="5" t="s">
        <v>3418</v>
      </c>
      <c r="H879" s="5" t="s">
        <v>3563</v>
      </c>
      <c r="I879" s="5" t="s">
        <v>20</v>
      </c>
      <c r="J879" s="5">
        <v>40.46</v>
      </c>
      <c r="K879" s="5" t="s">
        <v>21</v>
      </c>
      <c r="L879" s="5" t="s">
        <v>3573</v>
      </c>
      <c r="M879" s="5" t="s">
        <v>3565</v>
      </c>
      <c r="N879" s="7" t="str">
        <f>HYPERLINK("C:\Users\alexa\YandexDisk\Книги\Веб-разработка\Frontend\CSS для профи.pdf","CSS для профи.pdf")</f>
        <v>CSS для профи.pdf</v>
      </c>
      <c r="O879" s="5" t="s">
        <v>3574</v>
      </c>
    </row>
    <row r="880" spans="1:15" ht="179.4" x14ac:dyDescent="0.3">
      <c r="A880" s="2">
        <v>879</v>
      </c>
      <c r="B880" s="3" t="s">
        <v>3575</v>
      </c>
      <c r="C880" s="3" t="s">
        <v>3576</v>
      </c>
      <c r="D880" s="3" t="s">
        <v>3158</v>
      </c>
      <c r="E880" s="3" t="s">
        <v>1566</v>
      </c>
      <c r="F880" s="3" t="s">
        <v>3562</v>
      </c>
      <c r="G880" s="3" t="s">
        <v>3418</v>
      </c>
      <c r="H880" s="3" t="s">
        <v>3563</v>
      </c>
      <c r="I880" s="3" t="s">
        <v>20</v>
      </c>
      <c r="J880" s="3">
        <v>8.99</v>
      </c>
      <c r="K880" s="3" t="s">
        <v>21</v>
      </c>
      <c r="L880" s="3" t="s">
        <v>3577</v>
      </c>
      <c r="M880" s="3" t="s">
        <v>3565</v>
      </c>
      <c r="N880" s="6" t="str">
        <f>HYPERLINK("C:\Users\alexa\YandexDisk\Книги\Веб-разработка\Frontend\CSS_каскадные_таблицы_стилей 2018.pdf","CSS_каскадные_таблицы_стилей 2018.pdf")</f>
        <v>CSS_каскадные_таблицы_стилей 2018.pdf</v>
      </c>
      <c r="O880" s="3" t="s">
        <v>3578</v>
      </c>
    </row>
    <row r="881" spans="1:15" ht="165.6" x14ac:dyDescent="0.3">
      <c r="A881" s="4">
        <v>880</v>
      </c>
      <c r="B881" s="5" t="s">
        <v>3579</v>
      </c>
      <c r="C881" s="5" t="s">
        <v>3580</v>
      </c>
      <c r="D881" s="5" t="s">
        <v>109</v>
      </c>
      <c r="E881" s="5" t="s">
        <v>102</v>
      </c>
      <c r="F881" s="5" t="s">
        <v>3562</v>
      </c>
      <c r="G881" s="5" t="s">
        <v>3418</v>
      </c>
      <c r="H881" s="5" t="s">
        <v>3563</v>
      </c>
      <c r="I881" s="5" t="s">
        <v>20</v>
      </c>
      <c r="J881" s="5">
        <v>63.2</v>
      </c>
      <c r="K881" s="5" t="s">
        <v>21</v>
      </c>
      <c r="L881" s="5" t="s">
        <v>3581</v>
      </c>
      <c r="M881" s="5" t="s">
        <v>3565</v>
      </c>
      <c r="N881" s="7" t="str">
        <f>HYPERLINK("C:\Users\alexa\YandexDisk\Книги\Веб-разработка\Frontend\Figma проектирование.pdf","Figma проектирование.pdf")</f>
        <v>Figma проектирование.pdf</v>
      </c>
      <c r="O881" s="5" t="s">
        <v>3582</v>
      </c>
    </row>
    <row r="882" spans="1:15" ht="165.6" x14ac:dyDescent="0.3">
      <c r="A882" s="2">
        <v>881</v>
      </c>
      <c r="B882" s="3" t="s">
        <v>3583</v>
      </c>
      <c r="C882" s="3" t="s">
        <v>3584</v>
      </c>
      <c r="D882" s="3" t="s">
        <v>50</v>
      </c>
      <c r="E882" s="3" t="s">
        <v>18</v>
      </c>
      <c r="F882" s="3" t="s">
        <v>3562</v>
      </c>
      <c r="G882" s="3" t="s">
        <v>3418</v>
      </c>
      <c r="H882" s="3" t="s">
        <v>3563</v>
      </c>
      <c r="I882" s="3" t="s">
        <v>20</v>
      </c>
      <c r="J882" s="3">
        <v>17.25</v>
      </c>
      <c r="K882" s="3" t="s">
        <v>21</v>
      </c>
      <c r="L882" s="3" t="s">
        <v>3585</v>
      </c>
      <c r="M882" s="3" t="s">
        <v>3565</v>
      </c>
      <c r="N882" s="6" t="str">
        <f>HYPERLINK("C:\Users\alexa\YandexDisk\Книги\Веб-разработка\Frontend\Front_end_Клиентская разработка для профессионалов_Node_js_ES6.pdf","Front_end_Клиентская разработка для профессионалов_Node_js_ES6.pdf")</f>
        <v>Front_end_Клиентская разработка для профессионалов_Node_js_ES6.pdf</v>
      </c>
      <c r="O882" s="3" t="s">
        <v>3586</v>
      </c>
    </row>
    <row r="883" spans="1:15" ht="179.4" x14ac:dyDescent="0.3">
      <c r="A883" s="4">
        <v>882</v>
      </c>
      <c r="B883" s="5" t="s">
        <v>3587</v>
      </c>
      <c r="C883" s="5" t="s">
        <v>3588</v>
      </c>
      <c r="D883" s="5" t="s">
        <v>186</v>
      </c>
      <c r="E883" s="5" t="s">
        <v>18</v>
      </c>
      <c r="F883" s="5" t="s">
        <v>3562</v>
      </c>
      <c r="G883" s="5" t="s">
        <v>3418</v>
      </c>
      <c r="H883" s="5" t="s">
        <v>3563</v>
      </c>
      <c r="I883" s="5" t="s">
        <v>20</v>
      </c>
      <c r="J883" s="5">
        <v>33.46</v>
      </c>
      <c r="K883" s="5" t="s">
        <v>21</v>
      </c>
      <c r="L883" s="5" t="s">
        <v>3589</v>
      </c>
      <c r="M883" s="5" t="s">
        <v>3565</v>
      </c>
      <c r="N883" s="7" t="str">
        <f>HYPERLINK("C:\Users\alexa\YandexDisk\Книги\Веб-разработка\Frontend\Head First - Изучаем HTML, XHTML и CSS.pdf","Head First - Изучаем HTML, XHTML и CSS.pdf")</f>
        <v>Head First - Изучаем HTML, XHTML и CSS.pdf</v>
      </c>
      <c r="O883" s="5" t="s">
        <v>3590</v>
      </c>
    </row>
    <row r="884" spans="1:15" ht="234.6" x14ac:dyDescent="0.3">
      <c r="A884" s="2">
        <v>883</v>
      </c>
      <c r="B884" s="3" t="s">
        <v>3591</v>
      </c>
      <c r="C884" s="3" t="s">
        <v>3592</v>
      </c>
      <c r="D884" s="3" t="s">
        <v>77</v>
      </c>
      <c r="E884" s="3" t="s">
        <v>402</v>
      </c>
      <c r="F884" s="3" t="s">
        <v>3562</v>
      </c>
      <c r="G884" s="3" t="s">
        <v>3418</v>
      </c>
      <c r="H884" s="3" t="s">
        <v>3563</v>
      </c>
      <c r="I884" s="3" t="s">
        <v>20</v>
      </c>
      <c r="J884" s="3">
        <v>6.69</v>
      </c>
      <c r="K884" s="3" t="s">
        <v>21</v>
      </c>
      <c r="L884" s="3" t="s">
        <v>3593</v>
      </c>
      <c r="M884" s="3" t="s">
        <v>3565</v>
      </c>
      <c r="N884" s="6" t="str">
        <f>HYPERLINK("C:\Users\alexa\YandexDisk\Книги\Веб-разработка\Frontend\HTML,_JavaScript,_PHP_и_MySQL_Джентльменский_набор_Web_мастера_2019.pdf","HTML,_JavaScript,_PHP_и_MySQL_Джентльменский_набор_Web_мастера_2019.pdf")</f>
        <v>HTML,_JavaScript,_PHP_и_MySQL_Джентльменский_набор_Web_мастера_2019.pdf</v>
      </c>
      <c r="O884" s="3" t="s">
        <v>3594</v>
      </c>
    </row>
    <row r="885" spans="1:15" ht="179.4" x14ac:dyDescent="0.3">
      <c r="A885" s="4">
        <v>884</v>
      </c>
      <c r="B885" s="5" t="s">
        <v>3595</v>
      </c>
      <c r="C885" s="5" t="s">
        <v>3596</v>
      </c>
      <c r="D885" s="5" t="s">
        <v>1022</v>
      </c>
      <c r="E885" s="5" t="s">
        <v>18</v>
      </c>
      <c r="F885" s="5" t="s">
        <v>3562</v>
      </c>
      <c r="G885" s="5" t="s">
        <v>3418</v>
      </c>
      <c r="H885" s="5" t="s">
        <v>3563</v>
      </c>
      <c r="I885" s="5" t="s">
        <v>20</v>
      </c>
      <c r="J885" s="5">
        <v>7.68</v>
      </c>
      <c r="K885" s="5" t="s">
        <v>21</v>
      </c>
      <c r="L885" s="5" t="s">
        <v>3597</v>
      </c>
      <c r="M885" s="5" t="s">
        <v>3565</v>
      </c>
      <c r="N885" s="7" t="str">
        <f>HYPERLINK("C:\Users\alexa\YandexDisk\Книги\Веб-разработка\Frontend\HTML5_Разработка_приложений_для_мобильных_устройств.pdf","HTML5_Разработка_приложений_для_мобильных_устройств.pdf")</f>
        <v>HTML5_Разработка_приложений_для_мобильных_устройств.pdf</v>
      </c>
      <c r="O885" s="5" t="s">
        <v>3598</v>
      </c>
    </row>
    <row r="886" spans="1:15" ht="220.8" x14ac:dyDescent="0.3">
      <c r="A886" s="2">
        <v>885</v>
      </c>
      <c r="B886" s="3" t="s">
        <v>3599</v>
      </c>
      <c r="C886" s="3" t="s">
        <v>3600</v>
      </c>
      <c r="D886" s="3" t="s">
        <v>71</v>
      </c>
      <c r="E886" s="3" t="s">
        <v>269</v>
      </c>
      <c r="F886" s="3" t="s">
        <v>3562</v>
      </c>
      <c r="G886" s="3" t="s">
        <v>3418</v>
      </c>
      <c r="H886" s="3" t="s">
        <v>3563</v>
      </c>
      <c r="I886" s="3" t="s">
        <v>20</v>
      </c>
      <c r="J886" s="3">
        <v>45.47</v>
      </c>
      <c r="K886" s="3" t="s">
        <v>21</v>
      </c>
      <c r="L886" s="3" t="s">
        <v>3601</v>
      </c>
      <c r="M886" s="3" t="s">
        <v>3565</v>
      </c>
      <c r="N886" s="6" t="str">
        <f>HYPERLINK("C:\Users\alexa\YandexDisk\Книги\Веб-разработка\Frontend\Hugo in Action Static sites and dynamic Jamstack apps 2022.pdf","Hugo in Action Static sites and dynamic Jamstack apps 2022.pdf")</f>
        <v>Hugo in Action Static sites and dynamic Jamstack apps 2022.pdf</v>
      </c>
      <c r="O886" s="3" t="s">
        <v>3602</v>
      </c>
    </row>
    <row r="887" spans="1:15" ht="138" x14ac:dyDescent="0.3">
      <c r="A887" s="4">
        <v>886</v>
      </c>
      <c r="B887" s="5" t="s">
        <v>3603</v>
      </c>
      <c r="C887" s="5" t="s">
        <v>3604</v>
      </c>
      <c r="D887" s="5" t="s">
        <v>50</v>
      </c>
      <c r="E887" s="5" t="s">
        <v>3605</v>
      </c>
      <c r="F887" s="5" t="s">
        <v>3562</v>
      </c>
      <c r="G887" s="5" t="s">
        <v>3418</v>
      </c>
      <c r="H887" s="5" t="s">
        <v>3563</v>
      </c>
      <c r="I887" s="5" t="s">
        <v>20</v>
      </c>
      <c r="J887" s="5">
        <v>36.96</v>
      </c>
      <c r="K887" s="5" t="s">
        <v>21</v>
      </c>
      <c r="L887" s="5" t="s">
        <v>3606</v>
      </c>
      <c r="M887" s="5" t="s">
        <v>3565</v>
      </c>
      <c r="N887" s="7" t="str">
        <f>HYPERLINK("C:\Users\alexa\YandexDisk\Книги\Веб-разработка\Frontend\Javascript и jQuery.  ДжонДакетт 2017.pdf","Javascript и jQuery.  ДжонДакетт 2017.pdf")</f>
        <v>Javascript и jQuery.  ДжонДакетт 2017.pdf</v>
      </c>
      <c r="O887" s="5" t="s">
        <v>3607</v>
      </c>
    </row>
    <row r="888" spans="1:15" ht="151.80000000000001" x14ac:dyDescent="0.3">
      <c r="A888" s="2">
        <v>887</v>
      </c>
      <c r="B888" s="3" t="s">
        <v>3608</v>
      </c>
      <c r="C888" s="3" t="s">
        <v>3609</v>
      </c>
      <c r="D888" s="3" t="s">
        <v>59</v>
      </c>
      <c r="E888" s="3" t="s">
        <v>485</v>
      </c>
      <c r="F888" s="3" t="s">
        <v>3562</v>
      </c>
      <c r="G888" s="3" t="s">
        <v>3418</v>
      </c>
      <c r="H888" s="3" t="s">
        <v>3563</v>
      </c>
      <c r="I888" s="3" t="s">
        <v>20</v>
      </c>
      <c r="J888" s="3">
        <v>30.05</v>
      </c>
      <c r="K888" s="3" t="s">
        <v>21</v>
      </c>
      <c r="L888" s="3" t="s">
        <v>3610</v>
      </c>
      <c r="M888" s="3" t="s">
        <v>3565</v>
      </c>
      <c r="N888" s="6" t="str">
        <f>HYPERLINK("C:\Users\alexa\YandexDisk\Книги\Веб-разработка\Frontend\JavaScript_ FrontEnd.pdf","JavaScript_ FrontEnd.pdf")</f>
        <v>JavaScript_ FrontEnd.pdf</v>
      </c>
      <c r="O888" s="3" t="s">
        <v>3611</v>
      </c>
    </row>
    <row r="889" spans="1:15" ht="179.4" x14ac:dyDescent="0.3">
      <c r="A889" s="4">
        <v>888</v>
      </c>
      <c r="B889" s="5" t="s">
        <v>3612</v>
      </c>
      <c r="C889" s="5" t="s">
        <v>3613</v>
      </c>
      <c r="D889" s="5" t="s">
        <v>32</v>
      </c>
      <c r="E889" s="5" t="s">
        <v>442</v>
      </c>
      <c r="F889" s="5" t="s">
        <v>3562</v>
      </c>
      <c r="G889" s="5" t="s">
        <v>3418</v>
      </c>
      <c r="H889" s="5" t="s">
        <v>3563</v>
      </c>
      <c r="I889" s="5" t="s">
        <v>20</v>
      </c>
      <c r="J889" s="5">
        <v>76.02</v>
      </c>
      <c r="K889" s="5" t="s">
        <v>21</v>
      </c>
      <c r="L889" s="5" t="s">
        <v>3614</v>
      </c>
      <c r="M889" s="5" t="s">
        <v>3565</v>
      </c>
      <c r="N889" s="7" t="str">
        <f>HYPERLINK("C:\Users\alexa\YandexDisk\Книги\Веб-разработка\Frontend\Learning_Web_Design_A_Beginner’s_Guide_to_HTML,_CSS,_JavaScript.pdf","Learning_Web_Design_A_Beginner’s_Guide_to_HTML,_CSS,_JavaScript.pdf")</f>
        <v>Learning_Web_Design_A_Beginner’s_Guide_to_HTML,_CSS,_JavaScript.pdf</v>
      </c>
      <c r="O889" s="5" t="s">
        <v>3615</v>
      </c>
    </row>
    <row r="890" spans="1:15" ht="193.2" x14ac:dyDescent="0.3">
      <c r="A890" s="2">
        <v>889</v>
      </c>
      <c r="B890" s="3" t="s">
        <v>3616</v>
      </c>
      <c r="C890" s="3" t="s">
        <v>3617</v>
      </c>
      <c r="D890" s="3"/>
      <c r="E890" s="3"/>
      <c r="F890" s="3" t="s">
        <v>3562</v>
      </c>
      <c r="G890" s="3" t="s">
        <v>3418</v>
      </c>
      <c r="H890" s="3" t="s">
        <v>3563</v>
      </c>
      <c r="I890" s="3" t="s">
        <v>20</v>
      </c>
      <c r="J890" s="3">
        <v>7.83</v>
      </c>
      <c r="K890" s="3" t="s">
        <v>21</v>
      </c>
      <c r="L890" s="3" t="s">
        <v>3618</v>
      </c>
      <c r="M890" s="3" t="s">
        <v>3565</v>
      </c>
      <c r="N890" s="6" t="str">
        <f>HYPERLINK("C:\Users\alexa\YandexDisk\Книги\Веб-разработка\Frontend\mara_andrew_ux_on_the_go_a_flexible_guide_to_user_experience.pdf","mara_andrew_ux_on_the_go_a_flexible_guide_to_user_experience.pdf")</f>
        <v>mara_andrew_ux_on_the_go_a_flexible_guide_to_user_experience.pdf</v>
      </c>
      <c r="O890" s="3" t="s">
        <v>3619</v>
      </c>
    </row>
    <row r="891" spans="1:15" ht="179.4" x14ac:dyDescent="0.3">
      <c r="A891" s="4">
        <v>890</v>
      </c>
      <c r="B891" s="5" t="s">
        <v>3620</v>
      </c>
      <c r="C891" s="5" t="s">
        <v>3576</v>
      </c>
      <c r="D891" s="5" t="s">
        <v>114</v>
      </c>
      <c r="E891" s="5" t="s">
        <v>734</v>
      </c>
      <c r="F891" s="5" t="s">
        <v>3562</v>
      </c>
      <c r="G891" s="5" t="s">
        <v>3418</v>
      </c>
      <c r="H891" s="5" t="s">
        <v>3563</v>
      </c>
      <c r="I891" s="5" t="s">
        <v>20</v>
      </c>
      <c r="J891" s="5">
        <v>7.56</v>
      </c>
      <c r="K891" s="5" t="s">
        <v>21</v>
      </c>
      <c r="L891" s="5" t="s">
        <v>3621</v>
      </c>
      <c r="M891" s="5" t="s">
        <v>3565</v>
      </c>
      <c r="N891" s="7" t="str">
        <f>HYPERLINK("C:\Users\alexa\YandexDisk\Книги\Веб-разработка\Frontend\Meyer_E_CSS_Karmanny_spravochnik.pdf","Meyer_E_CSS_Karmanny_spravochnik.pdf")</f>
        <v>Meyer_E_CSS_Karmanny_spravochnik.pdf</v>
      </c>
      <c r="O891" s="5" t="s">
        <v>3622</v>
      </c>
    </row>
    <row r="892" spans="1:15" ht="151.80000000000001" x14ac:dyDescent="0.3">
      <c r="A892" s="2">
        <v>891</v>
      </c>
      <c r="B892" s="3" t="s">
        <v>3623</v>
      </c>
      <c r="C892" s="3" t="s">
        <v>3624</v>
      </c>
      <c r="D892" s="3" t="s">
        <v>50</v>
      </c>
      <c r="E892" s="3" t="s">
        <v>66</v>
      </c>
      <c r="F892" s="3" t="s">
        <v>3562</v>
      </c>
      <c r="G892" s="3" t="s">
        <v>3418</v>
      </c>
      <c r="H892" s="3" t="s">
        <v>3563</v>
      </c>
      <c r="I892" s="3" t="s">
        <v>20</v>
      </c>
      <c r="J892" s="3">
        <v>43.62</v>
      </c>
      <c r="K892" s="3" t="s">
        <v>21</v>
      </c>
      <c r="L892" s="3" t="s">
        <v>3625</v>
      </c>
      <c r="M892" s="3" t="s">
        <v>3565</v>
      </c>
      <c r="N892" s="6" t="str">
        <f>HYPERLINK("C:\Users\alexa\YandexDisk\Книги\Веб-разработка\Frontend\New_Perspectives_HTML5_and_CSS3_Comprehensive_Course.pdf","New_Perspectives_HTML5_and_CSS3_Comprehensive_Course.pdf")</f>
        <v>New_Perspectives_HTML5_and_CSS3_Comprehensive_Course.pdf</v>
      </c>
      <c r="O892" s="3" t="s">
        <v>3626</v>
      </c>
    </row>
    <row r="893" spans="1:15" ht="165.6" x14ac:dyDescent="0.3">
      <c r="A893" s="4">
        <v>892</v>
      </c>
      <c r="B893" s="5" t="s">
        <v>3627</v>
      </c>
      <c r="C893" s="5" t="s">
        <v>3628</v>
      </c>
      <c r="D893" s="5" t="s">
        <v>1022</v>
      </c>
      <c r="E893" s="5"/>
      <c r="F893" s="5" t="s">
        <v>3562</v>
      </c>
      <c r="G893" s="5" t="s">
        <v>3418</v>
      </c>
      <c r="H893" s="5" t="s">
        <v>3563</v>
      </c>
      <c r="I893" s="5" t="s">
        <v>20</v>
      </c>
      <c r="J893" s="5">
        <v>26.72</v>
      </c>
      <c r="K893" s="5" t="s">
        <v>21</v>
      </c>
      <c r="L893" s="5" t="s">
        <v>3629</v>
      </c>
      <c r="M893" s="5" t="s">
        <v>3565</v>
      </c>
      <c r="N893" s="7" t="str">
        <f>HYPERLINK("C:\Users\alexa\YandexDisk\Книги\Веб-разработка\Frontend\Osnovy_Web-Dizayna_Rukovodstvo.pdf","Osnovy_Web-Dizayna_Rukovodstvo.pdf")</f>
        <v>Osnovy_Web-Dizayna_Rukovodstvo.pdf</v>
      </c>
      <c r="O893" s="5" t="s">
        <v>3630</v>
      </c>
    </row>
    <row r="894" spans="1:15" ht="248.4" x14ac:dyDescent="0.3">
      <c r="A894" s="2">
        <v>893</v>
      </c>
      <c r="B894" s="3" t="s">
        <v>3631</v>
      </c>
      <c r="C894" s="3" t="s">
        <v>3632</v>
      </c>
      <c r="D894" s="3"/>
      <c r="E894" s="3"/>
      <c r="F894" s="3" t="s">
        <v>3562</v>
      </c>
      <c r="G894" s="3" t="s">
        <v>3418</v>
      </c>
      <c r="H894" s="3" t="s">
        <v>3563</v>
      </c>
      <c r="I894" s="3" t="s">
        <v>20</v>
      </c>
      <c r="J894" s="3">
        <v>4.63</v>
      </c>
      <c r="K894" s="3" t="s">
        <v>21</v>
      </c>
      <c r="L894" s="3" t="s">
        <v>3633</v>
      </c>
      <c r="M894" s="3" t="s">
        <v>3565</v>
      </c>
      <c r="N894" s="6" t="str">
        <f>HYPERLINK("C:\Users\alexa\YandexDisk\Книги\Веб-разработка\Frontend\Successful_Freelancing_for_Web.pdf","Successful_Freelancing_for_Web.pdf")</f>
        <v>Successful_Freelancing_for_Web.pdf</v>
      </c>
      <c r="O894" s="3" t="s">
        <v>3634</v>
      </c>
    </row>
    <row r="895" spans="1:15" ht="179.4" x14ac:dyDescent="0.3">
      <c r="A895" s="4">
        <v>894</v>
      </c>
      <c r="B895" s="5" t="s">
        <v>3635</v>
      </c>
      <c r="C895" s="5" t="s">
        <v>3636</v>
      </c>
      <c r="D895" s="5" t="s">
        <v>71</v>
      </c>
      <c r="E895" s="5" t="s">
        <v>18</v>
      </c>
      <c r="F895" s="5" t="s">
        <v>3562</v>
      </c>
      <c r="G895" s="5" t="s">
        <v>3418</v>
      </c>
      <c r="H895" s="5" t="s">
        <v>3563</v>
      </c>
      <c r="I895" s="5" t="s">
        <v>20</v>
      </c>
      <c r="J895" s="5">
        <v>8.48</v>
      </c>
      <c r="K895" s="5" t="s">
        <v>21</v>
      </c>
      <c r="L895" s="5" t="s">
        <v>3637</v>
      </c>
      <c r="M895" s="5" t="s">
        <v>3565</v>
      </c>
      <c r="N895" s="7" t="str">
        <f>HYPERLINK("C:\Users\alexa\YandexDisk\Книги\Веб-разработка\Frontend\Svelte_и_Sapper_в_действии_2022_Марк_Волкманн.pdf","Svelte_и_Sapper_в_действии_2022_Марк_Волкманн.pdf")</f>
        <v>Svelte_и_Sapper_в_действии_2022_Марк_Волкманн.pdf</v>
      </c>
      <c r="O895" s="5" t="s">
        <v>3638</v>
      </c>
    </row>
    <row r="896" spans="1:15" ht="193.2" x14ac:dyDescent="0.3">
      <c r="A896" s="2">
        <v>895</v>
      </c>
      <c r="B896" s="3" t="s">
        <v>3639</v>
      </c>
      <c r="C896" s="3" t="s">
        <v>3640</v>
      </c>
      <c r="D896" s="3" t="s">
        <v>17</v>
      </c>
      <c r="E896" s="3" t="s">
        <v>205</v>
      </c>
      <c r="F896" s="3" t="s">
        <v>3562</v>
      </c>
      <c r="G896" s="3" t="s">
        <v>3418</v>
      </c>
      <c r="H896" s="3" t="s">
        <v>3563</v>
      </c>
      <c r="I896" s="3" t="s">
        <v>20</v>
      </c>
      <c r="J896" s="3">
        <v>6.28</v>
      </c>
      <c r="K896" s="3" t="s">
        <v>21</v>
      </c>
      <c r="L896" s="3" t="s">
        <v>3641</v>
      </c>
      <c r="M896" s="3" t="s">
        <v>3565</v>
      </c>
      <c r="N896" s="6" t="str">
        <f>HYPERLINK("C:\Users\alexa\YandexDisk\Книги\Веб-разработка\Frontend\The_Art_of_Micro_Frontends_Build_websites_using_compositional_UI.pdf","The_Art_of_Micro_Frontends_Build_websites_using_compositional_UI.pdf")</f>
        <v>The_Art_of_Micro_Frontends_Build_websites_using_compositional_UI.pdf</v>
      </c>
      <c r="O896" s="3" t="s">
        <v>3642</v>
      </c>
    </row>
    <row r="897" spans="1:15" ht="138" x14ac:dyDescent="0.3">
      <c r="A897" s="4">
        <v>896</v>
      </c>
      <c r="B897" s="5" t="s">
        <v>3643</v>
      </c>
      <c r="C897" s="5" t="s">
        <v>3644</v>
      </c>
      <c r="D897" s="5"/>
      <c r="E897" s="5"/>
      <c r="F897" s="5" t="s">
        <v>3562</v>
      </c>
      <c r="G897" s="5" t="s">
        <v>3418</v>
      </c>
      <c r="H897" s="5" t="s">
        <v>3563</v>
      </c>
      <c r="I897" s="5" t="s">
        <v>20</v>
      </c>
      <c r="J897" s="5">
        <v>1.91</v>
      </c>
      <c r="K897" s="5" t="s">
        <v>21</v>
      </c>
      <c r="L897" s="5" t="s">
        <v>3645</v>
      </c>
      <c r="M897" s="5" t="s">
        <v>3565</v>
      </c>
      <c r="N897" s="7" t="str">
        <f>HYPERLINK("C:\Users\alexa\YandexDisk\Книги\Веб-разработка\Frontend\Web Coding.pdf","Web Coding.pdf")</f>
        <v>Web Coding.pdf</v>
      </c>
      <c r="O897" s="5" t="s">
        <v>3646</v>
      </c>
    </row>
    <row r="898" spans="1:15" ht="151.80000000000001" x14ac:dyDescent="0.3">
      <c r="A898" s="2">
        <v>897</v>
      </c>
      <c r="B898" s="3" t="s">
        <v>3647</v>
      </c>
      <c r="C898" s="3" t="s">
        <v>3648</v>
      </c>
      <c r="D898" s="3" t="s">
        <v>59</v>
      </c>
      <c r="E898" s="3" t="s">
        <v>205</v>
      </c>
      <c r="F898" s="3" t="s">
        <v>3562</v>
      </c>
      <c r="G898" s="3" t="s">
        <v>3418</v>
      </c>
      <c r="H898" s="3" t="s">
        <v>3563</v>
      </c>
      <c r="I898" s="3" t="s">
        <v>20</v>
      </c>
      <c r="J898" s="3">
        <v>3.73</v>
      </c>
      <c r="K898" s="3" t="s">
        <v>21</v>
      </c>
      <c r="L898" s="3" t="s">
        <v>3649</v>
      </c>
      <c r="M898" s="3" t="s">
        <v>3565</v>
      </c>
      <c r="N898" s="6" t="str">
        <f>HYPERLINK("C:\Users\alexa\YandexDisk\Книги\Веб-разработка\Frontend\Webpack_5_Up_and_Running_A_quick_and_practical_introduction.pdf","Webpack_5_Up_and_Running_A_quick_and_practical_introduction.pdf")</f>
        <v>Webpack_5_Up_and_Running_A_quick_and_practical_introduction.pdf</v>
      </c>
      <c r="O898" s="3" t="s">
        <v>3650</v>
      </c>
    </row>
    <row r="899" spans="1:15" ht="179.4" x14ac:dyDescent="0.3">
      <c r="A899" s="4">
        <v>898</v>
      </c>
      <c r="B899" s="5" t="s">
        <v>3651</v>
      </c>
      <c r="C899" s="5" t="s">
        <v>3652</v>
      </c>
      <c r="D899" s="5" t="s">
        <v>71</v>
      </c>
      <c r="E899" s="5" t="s">
        <v>3653</v>
      </c>
      <c r="F899" s="5" t="s">
        <v>3562</v>
      </c>
      <c r="G899" s="5" t="s">
        <v>3418</v>
      </c>
      <c r="H899" s="5" t="s">
        <v>3563</v>
      </c>
      <c r="I899" s="5" t="s">
        <v>20</v>
      </c>
      <c r="J899" s="5">
        <v>17.32</v>
      </c>
      <c r="K899" s="5" t="s">
        <v>21</v>
      </c>
      <c r="L899" s="5" t="s">
        <v>3654</v>
      </c>
      <c r="M899" s="5" t="s">
        <v>3565</v>
      </c>
      <c r="N899" s="7" t="str">
        <f>HYPERLINK("C:\Users\alexa\YandexDisk\Книги\Веб-разработка\Frontend\Введение_в_проектирование_пользовательских_интерфейсов.pdf","Введение_в_проектирование_пользовательских_интерфейсов.pdf")</f>
        <v>Введение_в_проектирование_пользовательских_интерфейсов.pdf</v>
      </c>
      <c r="O899" s="5" t="s">
        <v>3655</v>
      </c>
    </row>
    <row r="900" spans="1:15" ht="151.80000000000001" x14ac:dyDescent="0.3">
      <c r="A900" s="2">
        <v>899</v>
      </c>
      <c r="B900" s="3" t="s">
        <v>3656</v>
      </c>
      <c r="C900" s="3" t="s">
        <v>3657</v>
      </c>
      <c r="D900" s="3" t="s">
        <v>17</v>
      </c>
      <c r="E900" s="3" t="s">
        <v>402</v>
      </c>
      <c r="F900" s="3" t="s">
        <v>3562</v>
      </c>
      <c r="G900" s="3" t="s">
        <v>3418</v>
      </c>
      <c r="H900" s="3" t="s">
        <v>3563</v>
      </c>
      <c r="I900" s="3" t="s">
        <v>20</v>
      </c>
      <c r="J900" s="3">
        <v>14.95</v>
      </c>
      <c r="K900" s="3" t="s">
        <v>21</v>
      </c>
      <c r="L900" s="3" t="s">
        <v>3658</v>
      </c>
      <c r="M900" s="3" t="s">
        <v>3565</v>
      </c>
      <c r="N900" s="6" t="str">
        <f>HYPERLINK("C:\Users\alexa\YandexDisk\Книги\Веб-разработка\Frontend\Веб-дизайн для начинающих.pdf","Веб-дизайн для начинающих.pdf")</f>
        <v>Веб-дизайн для начинающих.pdf</v>
      </c>
      <c r="O900" s="3" t="s">
        <v>3659</v>
      </c>
    </row>
    <row r="901" spans="1:15" ht="165.6" x14ac:dyDescent="0.3">
      <c r="A901" s="4">
        <v>900</v>
      </c>
      <c r="B901" s="5" t="s">
        <v>3660</v>
      </c>
      <c r="C901" s="5" t="s">
        <v>3661</v>
      </c>
      <c r="D901" s="5" t="s">
        <v>71</v>
      </c>
      <c r="E901" s="5" t="s">
        <v>18</v>
      </c>
      <c r="F901" s="5" t="s">
        <v>3562</v>
      </c>
      <c r="G901" s="5" t="s">
        <v>3418</v>
      </c>
      <c r="H901" s="5" t="s">
        <v>3563</v>
      </c>
      <c r="I901" s="5" t="s">
        <v>20</v>
      </c>
      <c r="J901" s="5">
        <v>10.48</v>
      </c>
      <c r="K901" s="5" t="s">
        <v>21</v>
      </c>
      <c r="L901" s="5" t="s">
        <v>3662</v>
      </c>
      <c r="M901" s="5" t="s">
        <v>3565</v>
      </c>
      <c r="N901" s="7" t="str">
        <f>HYPERLINK("C:\Users\alexa\YandexDisk\Книги\Веб-разработка\Frontend\Веб-дизайн для недизайнеров.pdf","Веб-дизайн для недизайнеров.pdf")</f>
        <v>Веб-дизайн для недизайнеров.pdf</v>
      </c>
      <c r="O901" s="5" t="s">
        <v>3663</v>
      </c>
    </row>
    <row r="902" spans="1:15" ht="151.80000000000001" x14ac:dyDescent="0.3">
      <c r="A902" s="2">
        <v>901</v>
      </c>
      <c r="B902" s="3" t="s">
        <v>3664</v>
      </c>
      <c r="C902" s="3" t="s">
        <v>3665</v>
      </c>
      <c r="D902" s="3" t="s">
        <v>186</v>
      </c>
      <c r="E902" s="3" t="s">
        <v>18</v>
      </c>
      <c r="F902" s="3" t="s">
        <v>3562</v>
      </c>
      <c r="G902" s="3" t="s">
        <v>3418</v>
      </c>
      <c r="H902" s="3" t="s">
        <v>3563</v>
      </c>
      <c r="I902" s="3" t="s">
        <v>20</v>
      </c>
      <c r="J902" s="3">
        <v>109.7</v>
      </c>
      <c r="K902" s="3" t="s">
        <v>21</v>
      </c>
      <c r="L902" s="3" t="s">
        <v>3666</v>
      </c>
      <c r="M902" s="3" t="s">
        <v>3565</v>
      </c>
      <c r="N902" s="6" t="str">
        <f>HYPERLINK("C:\Users\alexa\YandexDisk\Книги\Веб-разработка\Frontend\Веб-дизайн. Книга идей веб-разработчика 2014.pdf","Веб-дизайн. Книга идей веб-разработчика 2014.pdf")</f>
        <v>Веб-дизайн. Книга идей веб-разработчика 2014.pdf</v>
      </c>
      <c r="O902" s="3" t="s">
        <v>3667</v>
      </c>
    </row>
    <row r="903" spans="1:15" ht="165.6" x14ac:dyDescent="0.3">
      <c r="A903" s="4">
        <v>902</v>
      </c>
      <c r="B903" s="5" t="s">
        <v>3668</v>
      </c>
      <c r="C903" s="5" t="s">
        <v>3669</v>
      </c>
      <c r="D903" s="5" t="s">
        <v>59</v>
      </c>
      <c r="E903" s="5" t="s">
        <v>536</v>
      </c>
      <c r="F903" s="5" t="s">
        <v>3562</v>
      </c>
      <c r="G903" s="5" t="s">
        <v>3418</v>
      </c>
      <c r="H903" s="5" t="s">
        <v>3563</v>
      </c>
      <c r="I903" s="5" t="s">
        <v>20</v>
      </c>
      <c r="J903" s="5">
        <v>13.09</v>
      </c>
      <c r="K903" s="5" t="s">
        <v>21</v>
      </c>
      <c r="L903" s="5" t="s">
        <v>3670</v>
      </c>
      <c r="M903" s="5" t="s">
        <v>3565</v>
      </c>
      <c r="N903" s="7" t="str">
        <f>HYPERLINK("C:\Users\alexa\YandexDisk\Книги\Веб-разработка\Frontend\Веб-компоненты в действии.pdf","Веб-компоненты в действии.pdf")</f>
        <v>Веб-компоненты в действии.pdf</v>
      </c>
      <c r="O903" s="5" t="s">
        <v>3671</v>
      </c>
    </row>
    <row r="904" spans="1:15" ht="165.6" x14ac:dyDescent="0.3">
      <c r="A904" s="2">
        <v>903</v>
      </c>
      <c r="B904" s="3" t="s">
        <v>3672</v>
      </c>
      <c r="C904" s="3" t="s">
        <v>3673</v>
      </c>
      <c r="D904" s="3" t="s">
        <v>59</v>
      </c>
      <c r="E904" s="3" t="s">
        <v>102</v>
      </c>
      <c r="F904" s="3" t="s">
        <v>3562</v>
      </c>
      <c r="G904" s="3" t="s">
        <v>3418</v>
      </c>
      <c r="H904" s="3" t="s">
        <v>3563</v>
      </c>
      <c r="I904" s="3" t="s">
        <v>20</v>
      </c>
      <c r="J904" s="3">
        <v>13.09</v>
      </c>
      <c r="K904" s="3" t="s">
        <v>21</v>
      </c>
      <c r="L904" s="3" t="s">
        <v>3674</v>
      </c>
      <c r="M904" s="3" t="s">
        <v>3565</v>
      </c>
      <c r="N904" s="6" t="str">
        <f>HYPERLINK("C:\Users\alexa\YandexDisk\Книги\Веб-разработка\Frontend\Веб_компоненты_в_действии_2020.pdf","Веб_компоненты_в_действии_2020.pdf")</f>
        <v>Веб_компоненты_в_действии_2020.pdf</v>
      </c>
      <c r="O904" s="3" t="s">
        <v>3675</v>
      </c>
    </row>
    <row r="905" spans="1:15" ht="179.4" x14ac:dyDescent="0.3">
      <c r="A905" s="4">
        <v>904</v>
      </c>
      <c r="B905" s="5" t="s">
        <v>3676</v>
      </c>
      <c r="C905" s="5" t="s">
        <v>3677</v>
      </c>
      <c r="D905" s="5" t="s">
        <v>3158</v>
      </c>
      <c r="E905" s="5" t="s">
        <v>1566</v>
      </c>
      <c r="F905" s="5" t="s">
        <v>3562</v>
      </c>
      <c r="G905" s="5" t="s">
        <v>3418</v>
      </c>
      <c r="H905" s="5" t="s">
        <v>3563</v>
      </c>
      <c r="I905" s="5" t="s">
        <v>20</v>
      </c>
      <c r="J905" s="5">
        <v>3.89</v>
      </c>
      <c r="K905" s="5" t="s">
        <v>21</v>
      </c>
      <c r="L905" s="5" t="s">
        <v>3678</v>
      </c>
      <c r="M905" s="5" t="s">
        <v>3565</v>
      </c>
      <c r="N905" s="7" t="str">
        <f>HYPERLINK("C:\Users\alexa\YandexDisk\Книги\Веб-разработка\Frontend\Джесс Гарретт Веб_дизайн ориенированный на пользователя.pdf","Джесс Гарретт Веб_дизайн ориенированный на пользователя.pdf")</f>
        <v>Джесс Гарретт Веб_дизайн ориенированный на пользователя.pdf</v>
      </c>
      <c r="O905" s="5" t="s">
        <v>3679</v>
      </c>
    </row>
    <row r="906" spans="1:15" ht="193.2" x14ac:dyDescent="0.3">
      <c r="A906" s="2">
        <v>905</v>
      </c>
      <c r="B906" s="3" t="s">
        <v>3680</v>
      </c>
      <c r="C906" s="3" t="s">
        <v>3681</v>
      </c>
      <c r="D906" s="3" t="s">
        <v>71</v>
      </c>
      <c r="E906" s="3" t="s">
        <v>402</v>
      </c>
      <c r="F906" s="3" t="s">
        <v>3562</v>
      </c>
      <c r="G906" s="3" t="s">
        <v>3418</v>
      </c>
      <c r="H906" s="3" t="s">
        <v>3563</v>
      </c>
      <c r="I906" s="3" t="s">
        <v>20</v>
      </c>
      <c r="J906" s="3">
        <v>5.54</v>
      </c>
      <c r="K906" s="3" t="s">
        <v>21</v>
      </c>
      <c r="L906" s="3" t="s">
        <v>3682</v>
      </c>
      <c r="M906" s="3" t="s">
        <v>3565</v>
      </c>
      <c r="N906" s="6" t="str">
        <f>HYPERLINK("C:\Users\alexa\YandexDisk\Книги\Веб-разработка\Frontend\Законы UX-дизайна.pdf","Законы UX-дизайна.pdf")</f>
        <v>Законы UX-дизайна.pdf</v>
      </c>
      <c r="O906" s="3" t="s">
        <v>3683</v>
      </c>
    </row>
    <row r="907" spans="1:15" ht="138" x14ac:dyDescent="0.3">
      <c r="A907" s="4">
        <v>906</v>
      </c>
      <c r="B907" s="5" t="s">
        <v>3684</v>
      </c>
      <c r="C907" s="5" t="s">
        <v>3685</v>
      </c>
      <c r="D907" s="5" t="s">
        <v>77</v>
      </c>
      <c r="E907" s="5" t="s">
        <v>303</v>
      </c>
      <c r="F907" s="5" t="s">
        <v>3562</v>
      </c>
      <c r="G907" s="5" t="s">
        <v>3418</v>
      </c>
      <c r="H907" s="5" t="s">
        <v>3563</v>
      </c>
      <c r="I907" s="5" t="s">
        <v>20</v>
      </c>
      <c r="J907" s="5">
        <v>32.07</v>
      </c>
      <c r="K907" s="5" t="s">
        <v>21</v>
      </c>
      <c r="L907" s="5" t="s">
        <v>3686</v>
      </c>
      <c r="M907" s="5" t="s">
        <v>3565</v>
      </c>
      <c r="N907" s="7" t="str">
        <f>HYPERLINK("C:\Users\alexa\YandexDisk\Книги\Веб-разработка\Frontend\Как создать сайт.pdf","Как создать сайт.pdf")</f>
        <v>Как создать сайт.pdf</v>
      </c>
      <c r="O907" s="5" t="s">
        <v>3687</v>
      </c>
    </row>
    <row r="908" spans="1:15" ht="165.6" x14ac:dyDescent="0.3">
      <c r="A908" s="2">
        <v>907</v>
      </c>
      <c r="B908" s="3" t="s">
        <v>3688</v>
      </c>
      <c r="C908" s="3" t="s">
        <v>3689</v>
      </c>
      <c r="D908" s="3"/>
      <c r="E908" s="3"/>
      <c r="F908" s="3" t="s">
        <v>3562</v>
      </c>
      <c r="G908" s="3" t="s">
        <v>3418</v>
      </c>
      <c r="H908" s="3" t="s">
        <v>3563</v>
      </c>
      <c r="I908" s="3" t="s">
        <v>20</v>
      </c>
      <c r="J908" s="3">
        <v>14.65</v>
      </c>
      <c r="K908" s="3" t="s">
        <v>21</v>
      </c>
      <c r="L908" s="3" t="s">
        <v>3690</v>
      </c>
      <c r="M908" s="3" t="s">
        <v>3565</v>
      </c>
      <c r="N908" s="6" t="str">
        <f>HYPERLINK("C:\Users\alexa\YandexDisk\Книги\Веб-разработка\Frontend\Как_сделать_сайт_визитку_своими_руками.pdf","Как_сделать_сайт_визитку_своими_руками.pdf")</f>
        <v>Как_сделать_сайт_визитку_своими_руками.pdf</v>
      </c>
      <c r="O908" s="3" t="s">
        <v>3691</v>
      </c>
    </row>
    <row r="909" spans="1:15" ht="151.80000000000001" x14ac:dyDescent="0.3">
      <c r="A909" s="4">
        <v>908</v>
      </c>
      <c r="B909" s="5" t="s">
        <v>3692</v>
      </c>
      <c r="C909" s="5" t="s">
        <v>3693</v>
      </c>
      <c r="D909" s="5" t="s">
        <v>114</v>
      </c>
      <c r="E909" s="5" t="s">
        <v>18</v>
      </c>
      <c r="F909" s="5" t="s">
        <v>3562</v>
      </c>
      <c r="G909" s="5" t="s">
        <v>3418</v>
      </c>
      <c r="H909" s="5" t="s">
        <v>3563</v>
      </c>
      <c r="I909" s="5" t="s">
        <v>20</v>
      </c>
      <c r="J909" s="5">
        <v>21.04</v>
      </c>
      <c r="K909" s="5" t="s">
        <v>21</v>
      </c>
      <c r="L909" s="5" t="s">
        <v>3694</v>
      </c>
      <c r="M909" s="5" t="s">
        <v>3565</v>
      </c>
      <c r="N909" s="7" t="str">
        <f>HYPERLINK("C:\Users\alexa\YandexDisk\Книги\Веб-разработка\Frontend\Леа Веру Секреты CSSидеальные решения элементарных задач 2016.pdf","Леа Веру Секреты CSSидеальные решения элементарных задач 2016.pdf")</f>
        <v>Леа Веру Секреты CSSидеальные решения элементарных задач 2016.pdf</v>
      </c>
      <c r="O909" s="5" t="s">
        <v>3695</v>
      </c>
    </row>
    <row r="910" spans="1:15" ht="165.6" x14ac:dyDescent="0.3">
      <c r="A910" s="2">
        <v>909</v>
      </c>
      <c r="B910" s="3" t="s">
        <v>3696</v>
      </c>
      <c r="C910" s="3" t="s">
        <v>3697</v>
      </c>
      <c r="D910" s="3" t="s">
        <v>186</v>
      </c>
      <c r="E910" s="3" t="s">
        <v>18</v>
      </c>
      <c r="F910" s="3" t="s">
        <v>3562</v>
      </c>
      <c r="G910" s="3" t="s">
        <v>3418</v>
      </c>
      <c r="H910" s="3" t="s">
        <v>3563</v>
      </c>
      <c r="I910" s="3" t="s">
        <v>20</v>
      </c>
      <c r="J910" s="3">
        <v>20.38</v>
      </c>
      <c r="K910" s="3" t="s">
        <v>21</v>
      </c>
      <c r="L910" s="3" t="s">
        <v>3698</v>
      </c>
      <c r="M910" s="3" t="s">
        <v>3565</v>
      </c>
      <c r="N910" s="6" t="str">
        <f>HYPERLINK("C:\Users\alexa\YandexDisk\Книги\Веб-разработка\Frontend\Макфарланд_Большая_книга_CSS3 2014.pdf","Макфарланд_Большая_книга_CSS3 2014.pdf")</f>
        <v>Макфарланд_Большая_книга_CSS3 2014.pdf</v>
      </c>
      <c r="O910" s="3" t="s">
        <v>3699</v>
      </c>
    </row>
    <row r="911" spans="1:15" ht="151.80000000000001" x14ac:dyDescent="0.3">
      <c r="A911" s="4">
        <v>910</v>
      </c>
      <c r="B911" s="5" t="s">
        <v>3700</v>
      </c>
      <c r="C911" s="5" t="s">
        <v>3701</v>
      </c>
      <c r="D911" s="5" t="s">
        <v>17</v>
      </c>
      <c r="E911" s="5" t="s">
        <v>102</v>
      </c>
      <c r="F911" s="5" t="s">
        <v>3562</v>
      </c>
      <c r="G911" s="5" t="s">
        <v>3418</v>
      </c>
      <c r="H911" s="5" t="s">
        <v>3563</v>
      </c>
      <c r="I911" s="5" t="s">
        <v>20</v>
      </c>
      <c r="J911" s="5">
        <v>12.3</v>
      </c>
      <c r="K911" s="5" t="s">
        <v>21</v>
      </c>
      <c r="L911" s="5" t="s">
        <v>3702</v>
      </c>
      <c r="M911" s="5" t="s">
        <v>3565</v>
      </c>
      <c r="N911" s="7" t="str">
        <f>HYPERLINK("C:\Users\alexa\YandexDisk\Книги\Веб-разработка\Frontend\Малышев_К_В_Построение_пользовательских_интерфейсов.pdf","Малышев_К_В_Построение_пользовательских_интерфейсов.pdf")</f>
        <v>Малышев_К_В_Построение_пользовательских_интерфейсов.pdf</v>
      </c>
      <c r="O911" s="5" t="s">
        <v>3703</v>
      </c>
    </row>
    <row r="912" spans="1:15" ht="165.6" x14ac:dyDescent="0.3">
      <c r="A912" s="2">
        <v>911</v>
      </c>
      <c r="B912" s="3" t="s">
        <v>3704</v>
      </c>
      <c r="C912" s="3" t="s">
        <v>3705</v>
      </c>
      <c r="D912" s="3" t="s">
        <v>32</v>
      </c>
      <c r="E912" s="3" t="s">
        <v>2714</v>
      </c>
      <c r="F912" s="3" t="s">
        <v>3562</v>
      </c>
      <c r="G912" s="3" t="s">
        <v>3418</v>
      </c>
      <c r="H912" s="3" t="s">
        <v>3563</v>
      </c>
      <c r="I912" s="3" t="s">
        <v>20</v>
      </c>
      <c r="J912" s="3">
        <v>3.94</v>
      </c>
      <c r="K912" s="3" t="s">
        <v>21</v>
      </c>
      <c r="L912" s="3" t="s">
        <v>3706</v>
      </c>
      <c r="M912" s="3" t="s">
        <v>3565</v>
      </c>
      <c r="N912" s="6" t="str">
        <f>HYPERLINK("C:\Users\alexa\YandexDisk\Книги\Веб-разработка\Frontend\Мальцеа Проектирование Веб-сайтов.pdf","Мальцеа Проектирование Веб-сайтов.pdf")</f>
        <v>Мальцеа Проектирование Веб-сайтов.pdf</v>
      </c>
      <c r="O912" s="3" t="s">
        <v>3707</v>
      </c>
    </row>
    <row r="913" spans="1:15" ht="165.6" x14ac:dyDescent="0.3">
      <c r="A913" s="4">
        <v>912</v>
      </c>
      <c r="B913" s="5" t="s">
        <v>3708</v>
      </c>
      <c r="C913" s="5" t="s">
        <v>3709</v>
      </c>
      <c r="D913" s="5" t="s">
        <v>17</v>
      </c>
      <c r="E913" s="5" t="s">
        <v>18</v>
      </c>
      <c r="F913" s="5" t="s">
        <v>3562</v>
      </c>
      <c r="G913" s="5" t="s">
        <v>3418</v>
      </c>
      <c r="H913" s="5" t="s">
        <v>3563</v>
      </c>
      <c r="I913" s="5" t="s">
        <v>20</v>
      </c>
      <c r="J913" s="5">
        <v>12.38</v>
      </c>
      <c r="K913" s="5" t="s">
        <v>21</v>
      </c>
      <c r="L913" s="5" t="s">
        <v>3710</v>
      </c>
      <c r="M913" s="5" t="s">
        <v>3565</v>
      </c>
      <c r="N913" s="7" t="str">
        <f>HYPERLINK("C:\Users\alexa\YandexDisk\Книги\Веб-разработка\Frontend\Наглядный_CSS_2021_Грег_Сидельников.pdf","Наглядный_CSS_2021_Грег_Сидельников.pdf")</f>
        <v>Наглядный_CSS_2021_Грег_Сидельников.pdf</v>
      </c>
      <c r="O913" s="5" t="s">
        <v>3711</v>
      </c>
    </row>
    <row r="914" spans="1:15" ht="220.8" x14ac:dyDescent="0.3">
      <c r="A914" s="2">
        <v>913</v>
      </c>
      <c r="B914" s="3" t="s">
        <v>3712</v>
      </c>
      <c r="C914" s="3" t="s">
        <v>3713</v>
      </c>
      <c r="D914" s="3" t="s">
        <v>186</v>
      </c>
      <c r="E914" s="3" t="s">
        <v>102</v>
      </c>
      <c r="F914" s="3" t="s">
        <v>3562</v>
      </c>
      <c r="G914" s="3" t="s">
        <v>3418</v>
      </c>
      <c r="H914" s="3" t="s">
        <v>3563</v>
      </c>
      <c r="I914" s="3" t="s">
        <v>20</v>
      </c>
      <c r="J914" s="3">
        <v>5.83</v>
      </c>
      <c r="K914" s="3" t="s">
        <v>21</v>
      </c>
      <c r="L914" s="3" t="s">
        <v>3714</v>
      </c>
      <c r="M914" s="3" t="s">
        <v>3565</v>
      </c>
      <c r="N914" s="6" t="str">
        <f>HYPERLINK("C:\Users\alexa\YandexDisk\Книги\Веб-разработка\Frontend\Оодностраничный веб 2014.pdf","Оодностраничный веб 2014.pdf")</f>
        <v>Оодностраничный веб 2014.pdf</v>
      </c>
      <c r="O914" s="3" t="s">
        <v>3715</v>
      </c>
    </row>
    <row r="915" spans="1:15" ht="110.4" x14ac:dyDescent="0.3">
      <c r="A915" s="4">
        <v>914</v>
      </c>
      <c r="B915" s="5" t="s">
        <v>3716</v>
      </c>
      <c r="C915" s="5" t="s">
        <v>3717</v>
      </c>
      <c r="D915" s="5" t="s">
        <v>17</v>
      </c>
      <c r="E915" s="5" t="s">
        <v>143</v>
      </c>
      <c r="F915" s="5" t="s">
        <v>3562</v>
      </c>
      <c r="G915" s="5" t="s">
        <v>3418</v>
      </c>
      <c r="H915" s="5" t="s">
        <v>3563</v>
      </c>
      <c r="I915" s="5" t="s">
        <v>20</v>
      </c>
      <c r="J915" s="5">
        <v>5.67</v>
      </c>
      <c r="K915" s="5" t="s">
        <v>21</v>
      </c>
      <c r="L915" s="5" t="s">
        <v>3718</v>
      </c>
      <c r="M915" s="5" t="s">
        <v>3565</v>
      </c>
      <c r="N915" s="7" t="str">
        <f>HYPERLINK("C:\Users\alexa\YandexDisk\Книги\Веб-разработка\Frontend\Основы web-дизайна. 2021.pdf","Основы web-дизайна. 2021.pdf")</f>
        <v>Основы web-дизайна. 2021.pdf</v>
      </c>
      <c r="O915" s="5" t="s">
        <v>3719</v>
      </c>
    </row>
    <row r="916" spans="1:15" ht="165.6" x14ac:dyDescent="0.3">
      <c r="A916" s="2">
        <v>915</v>
      </c>
      <c r="B916" s="3" t="s">
        <v>3720</v>
      </c>
      <c r="C916" s="3" t="s">
        <v>3721</v>
      </c>
      <c r="D916" s="3" t="s">
        <v>1022</v>
      </c>
      <c r="E916" s="3" t="s">
        <v>18</v>
      </c>
      <c r="F916" s="3" t="s">
        <v>3562</v>
      </c>
      <c r="G916" s="3" t="s">
        <v>3418</v>
      </c>
      <c r="H916" s="3" t="s">
        <v>3563</v>
      </c>
      <c r="I916" s="3" t="s">
        <v>20</v>
      </c>
      <c r="J916" s="3">
        <v>6.72</v>
      </c>
      <c r="K916" s="3" t="s">
        <v>21</v>
      </c>
      <c r="L916" s="3" t="s">
        <v>3722</v>
      </c>
      <c r="M916" s="3" t="s">
        <v>3565</v>
      </c>
      <c r="N916" s="6" t="str">
        <f>HYPERLINK("C:\Users\alexa\YandexDisk\Книги\Веб-разработка\Frontend\Основы разработки WEB приложений 2015.pdf","Основы разработки WEB приложений 2015.pdf")</f>
        <v>Основы разработки WEB приложений 2015.pdf</v>
      </c>
      <c r="O916" s="3" t="s">
        <v>3723</v>
      </c>
    </row>
    <row r="917" spans="1:15" ht="179.4" x14ac:dyDescent="0.3">
      <c r="A917" s="4">
        <v>916</v>
      </c>
      <c r="B917" s="5" t="s">
        <v>3724</v>
      </c>
      <c r="C917" s="5" t="s">
        <v>3725</v>
      </c>
      <c r="D917" s="5" t="s">
        <v>27</v>
      </c>
      <c r="E917" s="5" t="s">
        <v>148</v>
      </c>
      <c r="F917" s="5" t="s">
        <v>3562</v>
      </c>
      <c r="G917" s="5" t="s">
        <v>3418</v>
      </c>
      <c r="H917" s="5" t="s">
        <v>3563</v>
      </c>
      <c r="I917" s="5" t="s">
        <v>20</v>
      </c>
      <c r="J917" s="5">
        <v>1.06</v>
      </c>
      <c r="K917" s="5" t="s">
        <v>21</v>
      </c>
      <c r="L917" s="5" t="s">
        <v>3726</v>
      </c>
      <c r="M917" s="5" t="s">
        <v>3565</v>
      </c>
      <c r="N917" s="7" t="str">
        <f>HYPERLINK("C:\Users\alexa\YandexDisk\Книги\Веб-разработка\Frontend\Проектирование_и_разработка_WEB_приложений.pdf","Проектирование_и_разработка_WEB_приложений.pdf")</f>
        <v>Проектирование_и_разработка_WEB_приложений.pdf</v>
      </c>
      <c r="O917" s="5" t="s">
        <v>3727</v>
      </c>
    </row>
    <row r="918" spans="1:15" ht="193.2" x14ac:dyDescent="0.3">
      <c r="A918" s="2">
        <v>917</v>
      </c>
      <c r="B918" s="3" t="s">
        <v>3728</v>
      </c>
      <c r="C918" s="3" t="s">
        <v>3729</v>
      </c>
      <c r="D918" s="3" t="s">
        <v>274</v>
      </c>
      <c r="E918" s="3" t="s">
        <v>3730</v>
      </c>
      <c r="F918" s="3" t="s">
        <v>3562</v>
      </c>
      <c r="G918" s="3" t="s">
        <v>3418</v>
      </c>
      <c r="H918" s="3" t="s">
        <v>3563</v>
      </c>
      <c r="I918" s="3" t="s">
        <v>20</v>
      </c>
      <c r="J918" s="3">
        <v>5.14</v>
      </c>
      <c r="K918" s="3" t="s">
        <v>21</v>
      </c>
      <c r="L918" s="3" t="s">
        <v>3731</v>
      </c>
      <c r="M918" s="3" t="s">
        <v>3565</v>
      </c>
      <c r="N918" s="6" t="str">
        <f>HYPERLINK("C:\Users\alexa\YandexDisk\Книги\Веб-разработка\Frontend\Реактивные_веб_сайты.pdf","Реактивные_веб_сайты.pdf")</f>
        <v>Реактивные_веб_сайты.pdf</v>
      </c>
      <c r="O918" s="3" t="s">
        <v>3732</v>
      </c>
    </row>
    <row r="919" spans="1:15" ht="179.4" x14ac:dyDescent="0.3">
      <c r="A919" s="4">
        <v>918</v>
      </c>
      <c r="B919" s="5" t="s">
        <v>3733</v>
      </c>
      <c r="C919" s="5" t="s">
        <v>3734</v>
      </c>
      <c r="D919" s="5" t="s">
        <v>65</v>
      </c>
      <c r="E919" s="5" t="s">
        <v>18</v>
      </c>
      <c r="F919" s="5" t="s">
        <v>3562</v>
      </c>
      <c r="G919" s="5" t="s">
        <v>3418</v>
      </c>
      <c r="H919" s="5" t="s">
        <v>3563</v>
      </c>
      <c r="I919" s="5" t="s">
        <v>20</v>
      </c>
      <c r="J919" s="5">
        <v>5.51</v>
      </c>
      <c r="K919" s="5" t="s">
        <v>21</v>
      </c>
      <c r="L919" s="5" t="s">
        <v>3735</v>
      </c>
      <c r="M919" s="5" t="s">
        <v>3565</v>
      </c>
      <c r="N919" s="7" t="str">
        <f>HYPERLINK("C:\Users\alexa\YandexDisk\Книги\Веб-разработка\Frontend\Рецепты_программирования_HTML5_2012г.pdf","Рецепты_программирования_HTML5_2012г.pdf")</f>
        <v>Рецепты_программирования_HTML5_2012г.pdf</v>
      </c>
      <c r="O919" s="5" t="s">
        <v>3736</v>
      </c>
    </row>
    <row r="920" spans="1:15" ht="151.80000000000001" x14ac:dyDescent="0.3">
      <c r="A920" s="2">
        <v>919</v>
      </c>
      <c r="B920" s="3" t="s">
        <v>3737</v>
      </c>
      <c r="C920" s="3" t="s">
        <v>3738</v>
      </c>
      <c r="D920" s="3" t="s">
        <v>1022</v>
      </c>
      <c r="E920" s="3" t="s">
        <v>442</v>
      </c>
      <c r="F920" s="3" t="s">
        <v>3562</v>
      </c>
      <c r="G920" s="3" t="s">
        <v>3418</v>
      </c>
      <c r="H920" s="3" t="s">
        <v>3563</v>
      </c>
      <c r="I920" s="3" t="s">
        <v>20</v>
      </c>
      <c r="J920" s="3">
        <v>20.02</v>
      </c>
      <c r="K920" s="3" t="s">
        <v>21</v>
      </c>
      <c r="L920" s="3" t="s">
        <v>3739</v>
      </c>
      <c r="M920" s="3" t="s">
        <v>3565</v>
      </c>
      <c r="N920" s="6" t="str">
        <f>HYPERLINK("C:\Users\alexa\YandexDisk\Книги\Веб-разработка\Frontend\Робинс html5-karmannyiy-spravochnik 2015.pdf","Робинс html5-karmannyiy-spravochnik 2015.pdf")</f>
        <v>Робинс html5-karmannyiy-spravochnik 2015.pdf</v>
      </c>
      <c r="O920" s="3" t="s">
        <v>3740</v>
      </c>
    </row>
    <row r="921" spans="1:15" ht="165.6" x14ac:dyDescent="0.3">
      <c r="A921" s="4">
        <v>920</v>
      </c>
      <c r="B921" s="5" t="s">
        <v>3741</v>
      </c>
      <c r="C921" s="5" t="s">
        <v>3742</v>
      </c>
      <c r="D921" s="5"/>
      <c r="E921" s="5"/>
      <c r="F921" s="5" t="s">
        <v>3562</v>
      </c>
      <c r="G921" s="5" t="s">
        <v>3418</v>
      </c>
      <c r="H921" s="5" t="s">
        <v>3563</v>
      </c>
      <c r="I921" s="5" t="s">
        <v>20</v>
      </c>
      <c r="J921" s="5">
        <v>1.43</v>
      </c>
      <c r="K921" s="5" t="s">
        <v>21</v>
      </c>
      <c r="L921" s="5" t="s">
        <v>3743</v>
      </c>
      <c r="M921" s="5" t="s">
        <v>3565</v>
      </c>
      <c r="N921" s="7" t="str">
        <f>HYPERLINK("C:\Users\alexa\YandexDisk\Книги\Веб-разработка\Frontend\Самостоятельное_создание_сайта_с_нуля_без_знаний_веб_програм.pdf","Самостоятельное_создание_сайта_с_нуля_без_знаний_веб_програм.pdf")</f>
        <v>Самостоятельное_создание_сайта_с_нуля_без_знаний_веб_програм.pdf</v>
      </c>
      <c r="O921" s="5" t="s">
        <v>3744</v>
      </c>
    </row>
    <row r="922" spans="1:15" ht="165.6" x14ac:dyDescent="0.3">
      <c r="A922" s="2">
        <v>921</v>
      </c>
      <c r="B922" s="3" t="s">
        <v>3692</v>
      </c>
      <c r="C922" s="3" t="s">
        <v>3693</v>
      </c>
      <c r="D922" s="3" t="s">
        <v>114</v>
      </c>
      <c r="E922" s="3" t="s">
        <v>18</v>
      </c>
      <c r="F922" s="3" t="s">
        <v>3562</v>
      </c>
      <c r="G922" s="3" t="s">
        <v>3418</v>
      </c>
      <c r="H922" s="3" t="s">
        <v>3563</v>
      </c>
      <c r="I922" s="3" t="s">
        <v>20</v>
      </c>
      <c r="J922" s="3">
        <v>21.05</v>
      </c>
      <c r="K922" s="3" t="s">
        <v>21</v>
      </c>
      <c r="L922" s="3" t="s">
        <v>3745</v>
      </c>
      <c r="M922" s="3" t="s">
        <v>3565</v>
      </c>
      <c r="N922" s="6" t="str">
        <f>HYPERLINK("C:\Users\alexa\YandexDisk\Книги\Веб-разработка\Frontend\Секреты_CSS_Идеальные_решения_ежедневных_задач.pdf","Секреты_CSS_Идеальные_решения_ежедневных_задач.pdf")</f>
        <v>Секреты_CSS_Идеальные_решения_ежедневных_задач.pdf</v>
      </c>
      <c r="O922" s="3" t="s">
        <v>3746</v>
      </c>
    </row>
    <row r="923" spans="1:15" ht="41.4" x14ac:dyDescent="0.3">
      <c r="A923" s="4">
        <v>922</v>
      </c>
      <c r="B923" s="5" t="s">
        <v>3747</v>
      </c>
      <c r="C923" s="5" t="s">
        <v>3748</v>
      </c>
      <c r="D923" s="5"/>
      <c r="E923" s="5"/>
      <c r="F923" s="5" t="s">
        <v>3562</v>
      </c>
      <c r="G923" s="5" t="s">
        <v>3418</v>
      </c>
      <c r="H923" s="5" t="s">
        <v>3563</v>
      </c>
      <c r="I923" s="5" t="s">
        <v>20</v>
      </c>
      <c r="J923" s="5">
        <v>8.86</v>
      </c>
      <c r="K923" s="5" t="s">
        <v>21</v>
      </c>
      <c r="L923" s="5" t="s">
        <v>3510</v>
      </c>
      <c r="M923" s="5" t="s">
        <v>3565</v>
      </c>
      <c r="N923" s="7" t="str">
        <f>HYPERLINK("C:\Users\alexa\YandexDisk\Книги\Веб-разработка\Frontend\Создаем динамические веб-сайты.pdf","Создаем динамические веб-сайты.pdf")</f>
        <v>Создаем динамические веб-сайты.pdf</v>
      </c>
      <c r="O923" s="5" t="s">
        <v>930</v>
      </c>
    </row>
    <row r="924" spans="1:15" ht="207" x14ac:dyDescent="0.3">
      <c r="A924" s="2">
        <v>923</v>
      </c>
      <c r="B924" s="3" t="s">
        <v>3749</v>
      </c>
      <c r="C924" s="3" t="s">
        <v>3750</v>
      </c>
      <c r="D924" s="3" t="s">
        <v>17</v>
      </c>
      <c r="E924" s="3" t="s">
        <v>402</v>
      </c>
      <c r="F924" s="3" t="s">
        <v>3562</v>
      </c>
      <c r="G924" s="3" t="s">
        <v>3418</v>
      </c>
      <c r="H924" s="3" t="s">
        <v>3563</v>
      </c>
      <c r="I924" s="3" t="s">
        <v>20</v>
      </c>
      <c r="J924" s="3">
        <v>47.39</v>
      </c>
      <c r="K924" s="3" t="s">
        <v>21</v>
      </c>
      <c r="L924" s="3" t="s">
        <v>3751</v>
      </c>
      <c r="M924" s="3" t="s">
        <v>3565</v>
      </c>
      <c r="N924" s="6" t="str">
        <f>HYPERLINK("C:\Users\alexa\YandexDisk\Книги\Веб-разработка\Frontend\Создание сайтов на Tilda.pdf","Создание сайтов на Tilda.pdf")</f>
        <v>Создание сайтов на Tilda.pdf</v>
      </c>
      <c r="O924" s="3" t="s">
        <v>3752</v>
      </c>
    </row>
    <row r="925" spans="1:15" ht="193.2" x14ac:dyDescent="0.3">
      <c r="A925" s="4">
        <v>924</v>
      </c>
      <c r="B925" s="5" t="s">
        <v>3753</v>
      </c>
      <c r="C925" s="5" t="s">
        <v>3754</v>
      </c>
      <c r="D925" s="5" t="s">
        <v>32</v>
      </c>
      <c r="E925" s="5" t="s">
        <v>3755</v>
      </c>
      <c r="F925" s="5" t="s">
        <v>3562</v>
      </c>
      <c r="G925" s="5" t="s">
        <v>3418</v>
      </c>
      <c r="H925" s="5" t="s">
        <v>3563</v>
      </c>
      <c r="I925" s="5" t="s">
        <v>20</v>
      </c>
      <c r="J925" s="5">
        <v>27.42</v>
      </c>
      <c r="K925" s="5" t="s">
        <v>21</v>
      </c>
      <c r="L925" s="5" t="s">
        <v>3756</v>
      </c>
      <c r="M925" s="5" t="s">
        <v>3565</v>
      </c>
      <c r="N925" s="7" t="str">
        <f>HYPERLINK("C:\Users\alexa\YandexDisk\Книги\Веб-разработка\Frontend\Создание_web_страниц,_сайтов_с_применением_web_технологий.pdf","Создание_web_страниц,_сайтов_с_применением_web_технологий.pdf")</f>
        <v>Создание_web_страниц,_сайтов_с_применением_web_технологий.pdf</v>
      </c>
      <c r="O925" s="5" t="s">
        <v>3757</v>
      </c>
    </row>
    <row r="926" spans="1:15" ht="165.6" x14ac:dyDescent="0.3">
      <c r="A926" s="2">
        <v>925</v>
      </c>
      <c r="B926" s="3" t="s">
        <v>3758</v>
      </c>
      <c r="C926" s="3" t="s">
        <v>3759</v>
      </c>
      <c r="D926" s="3" t="s">
        <v>274</v>
      </c>
      <c r="E926" s="3" t="s">
        <v>18</v>
      </c>
      <c r="F926" s="3" t="s">
        <v>3562</v>
      </c>
      <c r="G926" s="3" t="s">
        <v>3418</v>
      </c>
      <c r="H926" s="3" t="s">
        <v>3563</v>
      </c>
      <c r="I926" s="3" t="s">
        <v>20</v>
      </c>
      <c r="J926" s="3">
        <v>10.88</v>
      </c>
      <c r="K926" s="3" t="s">
        <v>21</v>
      </c>
      <c r="L926" s="3" t="s">
        <v>3760</v>
      </c>
      <c r="M926" s="3" t="s">
        <v>3565</v>
      </c>
      <c r="N926" s="6" t="str">
        <f>HYPERLINK("C:\Users\alexa\YandexDisk\Книги\Веб-разработка\Frontend\Ташков.Веб-мастеринг2010г (2).pdf","Ташков.Веб-мастеринг2010г (2).pdf")</f>
        <v>Ташков.Веб-мастеринг2010г (2).pdf</v>
      </c>
      <c r="O926" s="3" t="s">
        <v>3761</v>
      </c>
    </row>
    <row r="927" spans="1:15" ht="179.4" x14ac:dyDescent="0.3">
      <c r="A927" s="4">
        <v>926</v>
      </c>
      <c r="B927" s="5" t="s">
        <v>3758</v>
      </c>
      <c r="C927" s="5" t="s">
        <v>3759</v>
      </c>
      <c r="D927" s="5" t="s">
        <v>274</v>
      </c>
      <c r="E927" s="5" t="s">
        <v>18</v>
      </c>
      <c r="F927" s="5" t="s">
        <v>3562</v>
      </c>
      <c r="G927" s="5" t="s">
        <v>3418</v>
      </c>
      <c r="H927" s="5" t="s">
        <v>3563</v>
      </c>
      <c r="I927" s="5" t="s">
        <v>20</v>
      </c>
      <c r="J927" s="5">
        <v>10.88</v>
      </c>
      <c r="K927" s="5" t="s">
        <v>21</v>
      </c>
      <c r="L927" s="5" t="s">
        <v>3762</v>
      </c>
      <c r="M927" s="5" t="s">
        <v>3565</v>
      </c>
      <c r="N927" s="7" t="str">
        <f>HYPERLINK("C:\Users\alexa\YandexDisk\Книги\Веб-разработка\Frontend\Ташков.Веб-мастеринг2010г.pdf","Ташков.Веб-мастеринг2010г.pdf")</f>
        <v>Ташков.Веб-мастеринг2010г.pdf</v>
      </c>
      <c r="O927" s="5" t="s">
        <v>3763</v>
      </c>
    </row>
    <row r="928" spans="1:15" ht="193.2" x14ac:dyDescent="0.3">
      <c r="A928" s="2">
        <v>927</v>
      </c>
      <c r="B928" s="3" t="s">
        <v>3672</v>
      </c>
      <c r="C928" s="3" t="s">
        <v>3673</v>
      </c>
      <c r="D928" s="3" t="s">
        <v>59</v>
      </c>
      <c r="E928" s="3" t="s">
        <v>102</v>
      </c>
      <c r="F928" s="3" t="s">
        <v>3562</v>
      </c>
      <c r="G928" s="3" t="s">
        <v>3418</v>
      </c>
      <c r="H928" s="3" t="s">
        <v>3563</v>
      </c>
      <c r="I928" s="3" t="s">
        <v>20</v>
      </c>
      <c r="J928" s="3">
        <v>13.09</v>
      </c>
      <c r="K928" s="3" t="s">
        <v>21</v>
      </c>
      <c r="L928" s="3" t="s">
        <v>3764</v>
      </c>
      <c r="M928" s="3" t="s">
        <v>3565</v>
      </c>
      <c r="N928" s="6" t="str">
        <f>HYPERLINK("C:\Users\alexa\YandexDisk\Книги\Веб-разработка\Frontend\Фаррелл_Б_Веб_компоненты_в_действии_2020.pdf","Фаррелл_Б_Веб_компоненты_в_действии_2020.pdf")</f>
        <v>Фаррелл_Б_Веб_компоненты_в_действии_2020.pdf</v>
      </c>
      <c r="O928" s="3" t="s">
        <v>3765</v>
      </c>
    </row>
    <row r="929" spans="1:15" ht="151.80000000000001" x14ac:dyDescent="0.3">
      <c r="A929" s="4">
        <v>928</v>
      </c>
      <c r="B929" s="5" t="s">
        <v>3766</v>
      </c>
      <c r="C929" s="5" t="s">
        <v>3767</v>
      </c>
      <c r="D929" s="5" t="s">
        <v>837</v>
      </c>
      <c r="E929" s="5"/>
      <c r="F929" s="5" t="s">
        <v>3562</v>
      </c>
      <c r="G929" s="5" t="s">
        <v>3418</v>
      </c>
      <c r="H929" s="5" t="s">
        <v>3563</v>
      </c>
      <c r="I929" s="5" t="s">
        <v>721</v>
      </c>
      <c r="J929" s="5">
        <v>23.12</v>
      </c>
      <c r="K929" s="5" t="s">
        <v>21</v>
      </c>
      <c r="L929" s="5" t="s">
        <v>3768</v>
      </c>
      <c r="M929" s="5" t="s">
        <v>3565</v>
      </c>
      <c r="N929" s="7" t="str">
        <f>HYPERLINK("C:\Users\alexa\YandexDisk\Книги\Веб-разработка\Frontend\Шмитт К. CSS. Рецепты программирования (2011).djvu","Шмитт К. CSS. Рецепты программирования (2011).djvu")</f>
        <v>Шмитт К. CSS. Рецепты программирования (2011).djvu</v>
      </c>
      <c r="O929" s="5" t="s">
        <v>3769</v>
      </c>
    </row>
    <row r="930" spans="1:15" ht="179.4" x14ac:dyDescent="0.3">
      <c r="A930" s="2">
        <v>929</v>
      </c>
      <c r="B930" s="3" t="s">
        <v>3770</v>
      </c>
      <c r="C930" s="3" t="s">
        <v>3771</v>
      </c>
      <c r="D930" s="3"/>
      <c r="E930" s="3"/>
      <c r="F930" s="3" t="s">
        <v>3562</v>
      </c>
      <c r="G930" s="3" t="s">
        <v>3418</v>
      </c>
      <c r="H930" s="3" t="s">
        <v>3563</v>
      </c>
      <c r="I930" s="3" t="s">
        <v>20</v>
      </c>
      <c r="J930" s="3">
        <v>1.42</v>
      </c>
      <c r="K930" s="3" t="s">
        <v>21</v>
      </c>
      <c r="L930" s="3" t="s">
        <v>3772</v>
      </c>
      <c r="M930" s="3" t="s">
        <v>3565</v>
      </c>
      <c r="N930" s="6" t="str">
        <f>HYPERLINK("C:\Users\alexa\YandexDisk\Книги\Веб-разработка\Frontend\Я верстальщик..pdf","Я верстальщик..pdf")</f>
        <v>Я верстальщик..pdf</v>
      </c>
      <c r="O930" s="3" t="s">
        <v>3773</v>
      </c>
    </row>
    <row r="931" spans="1:15" ht="165.6" x14ac:dyDescent="0.3">
      <c r="A931" s="4">
        <v>930</v>
      </c>
      <c r="B931" s="5" t="s">
        <v>3774</v>
      </c>
      <c r="C931" s="5" t="s">
        <v>3775</v>
      </c>
      <c r="D931" s="5"/>
      <c r="E931" s="5" t="s">
        <v>269</v>
      </c>
      <c r="F931" s="5" t="s">
        <v>3776</v>
      </c>
      <c r="G931" s="5" t="s">
        <v>3418</v>
      </c>
      <c r="H931" s="5" t="s">
        <v>3777</v>
      </c>
      <c r="I931" s="5" t="s">
        <v>20</v>
      </c>
      <c r="J931" s="5">
        <v>8.82</v>
      </c>
      <c r="K931" s="5" t="s">
        <v>21</v>
      </c>
      <c r="L931" s="5" t="s">
        <v>3778</v>
      </c>
      <c r="M931" s="5" t="s">
        <v>3779</v>
      </c>
      <c r="N931" s="7" t="str">
        <f>HYPERLINK("C:\Users\alexa\YandexDisk\Книги\Веб-разработка\Fullstack\Getting_MEAN_with_Mongo,_Express,_Angular,_and_Node.pdf","Getting_MEAN_with_Mongo,_Express,_Angular,_and_Node.pdf")</f>
        <v>Getting_MEAN_with_Mongo,_Express,_Angular,_and_Node.pdf</v>
      </c>
      <c r="O931" s="5" t="s">
        <v>3780</v>
      </c>
    </row>
    <row r="932" spans="1:15" ht="138" x14ac:dyDescent="0.3">
      <c r="A932" s="2">
        <v>931</v>
      </c>
      <c r="B932" s="3" t="s">
        <v>3781</v>
      </c>
      <c r="C932" s="3" t="s">
        <v>3782</v>
      </c>
      <c r="D932" s="3" t="s">
        <v>71</v>
      </c>
      <c r="E932" s="3" t="s">
        <v>205</v>
      </c>
      <c r="F932" s="3" t="s">
        <v>3776</v>
      </c>
      <c r="G932" s="3" t="s">
        <v>3418</v>
      </c>
      <c r="H932" s="3" t="s">
        <v>3777</v>
      </c>
      <c r="I932" s="3" t="s">
        <v>20</v>
      </c>
      <c r="J932" s="3">
        <v>7.67</v>
      </c>
      <c r="K932" s="3" t="s">
        <v>21</v>
      </c>
      <c r="L932" s="3" t="s">
        <v>3783</v>
      </c>
      <c r="M932" s="3" t="s">
        <v>3779</v>
      </c>
      <c r="N932" s="6" t="str">
        <f>HYPERLINK("C:\Users\alexa\YandexDisk\Книги\Веб-разработка\Fullstack\jаvascript-from-frontend-to-backend.pdf","jаvascript-from-frontend-to-backend.pdf")</f>
        <v>jаvascript-from-frontend-to-backend.pdf</v>
      </c>
      <c r="O932" s="3" t="s">
        <v>3784</v>
      </c>
    </row>
    <row r="933" spans="1:15" ht="151.80000000000001" x14ac:dyDescent="0.3">
      <c r="A933" s="4">
        <v>932</v>
      </c>
      <c r="B933" s="5" t="s">
        <v>3785</v>
      </c>
      <c r="C933" s="5" t="s">
        <v>3786</v>
      </c>
      <c r="D933" s="5" t="s">
        <v>17</v>
      </c>
      <c r="E933" s="5" t="s">
        <v>485</v>
      </c>
      <c r="F933" s="5" t="s">
        <v>3776</v>
      </c>
      <c r="G933" s="5" t="s">
        <v>3418</v>
      </c>
      <c r="H933" s="5" t="s">
        <v>3777</v>
      </c>
      <c r="I933" s="5" t="s">
        <v>20</v>
      </c>
      <c r="J933" s="5">
        <v>28.36</v>
      </c>
      <c r="K933" s="5" t="s">
        <v>21</v>
      </c>
      <c r="L933" s="5" t="s">
        <v>3787</v>
      </c>
      <c r="M933" s="5" t="s">
        <v>3779</v>
      </c>
      <c r="N933" s="7" t="str">
        <f>HYPERLINK("C:\Users\alexa\YandexDisk\Книги\Веб-разработка\Fullstack\Web на практике.pdf","Web на практике.pdf")</f>
        <v>Web на практике.pdf</v>
      </c>
      <c r="O933" s="5" t="s">
        <v>3788</v>
      </c>
    </row>
    <row r="934" spans="1:15" ht="234.6" x14ac:dyDescent="0.3">
      <c r="A934" s="2">
        <v>933</v>
      </c>
      <c r="B934" s="3" t="s">
        <v>3512</v>
      </c>
      <c r="C934" s="3" t="s">
        <v>3513</v>
      </c>
      <c r="D934" s="3" t="s">
        <v>50</v>
      </c>
      <c r="E934" s="3" t="s">
        <v>18</v>
      </c>
      <c r="F934" s="3" t="s">
        <v>3776</v>
      </c>
      <c r="G934" s="3" t="s">
        <v>3418</v>
      </c>
      <c r="H934" s="3" t="s">
        <v>3777</v>
      </c>
      <c r="I934" s="3" t="s">
        <v>20</v>
      </c>
      <c r="J934" s="3">
        <v>38.11</v>
      </c>
      <c r="K934" s="3" t="s">
        <v>21</v>
      </c>
      <c r="L934" s="3" t="s">
        <v>3789</v>
      </c>
      <c r="M934" s="3" t="s">
        <v>3779</v>
      </c>
      <c r="N934" s="6" t="str">
        <f>HYPERLINK("C:\Users\alexa\YandexDisk\Книги\Веб-разработка\Fullstack\Стек MEAN. Mongo, Express, Angular, Node. С. Холмс.pdf","Стек MEAN. Mongo, Express, Angular, Node. С. Холмс.pdf")</f>
        <v>Стек MEAN. Mongo, Express, Angular, Node. С. Холмс.pdf</v>
      </c>
      <c r="O934" s="3" t="s">
        <v>3790</v>
      </c>
    </row>
    <row r="935" spans="1:15" ht="179.4" x14ac:dyDescent="0.3">
      <c r="A935" s="4">
        <v>934</v>
      </c>
      <c r="B935" s="5" t="s">
        <v>3684</v>
      </c>
      <c r="C935" s="5" t="s">
        <v>3685</v>
      </c>
      <c r="D935" s="5" t="s">
        <v>77</v>
      </c>
      <c r="E935" s="5" t="s">
        <v>303</v>
      </c>
      <c r="F935" s="5" t="s">
        <v>3791</v>
      </c>
      <c r="G935" s="5" t="s">
        <v>3418</v>
      </c>
      <c r="H935" s="5" t="s">
        <v>3792</v>
      </c>
      <c r="I935" s="5" t="s">
        <v>20</v>
      </c>
      <c r="J935" s="5">
        <v>32.07</v>
      </c>
      <c r="K935" s="5" t="s">
        <v>21</v>
      </c>
      <c r="L935" s="5" t="s">
        <v>3793</v>
      </c>
      <c r="M935" s="5" t="s">
        <v>3794</v>
      </c>
      <c r="N935" s="7" t="str">
        <f>HYPERLINK("C:\Users\alexa\YandexDisk\Книги\Веб-разработка\HTML-CSS\!!!!_Как создать сайт.pdf","!!!!_Как создать сайт.pdf")</f>
        <v>!!!!_Как создать сайт.pdf</v>
      </c>
      <c r="O935" s="5" t="s">
        <v>3795</v>
      </c>
    </row>
    <row r="936" spans="1:15" ht="165.6" x14ac:dyDescent="0.3">
      <c r="A936" s="2">
        <v>935</v>
      </c>
      <c r="B936" s="3" t="s">
        <v>3796</v>
      </c>
      <c r="C936" s="3" t="s">
        <v>3797</v>
      </c>
      <c r="D936" s="3" t="s">
        <v>335</v>
      </c>
      <c r="E936" s="3" t="s">
        <v>18</v>
      </c>
      <c r="F936" s="3" t="s">
        <v>3791</v>
      </c>
      <c r="G936" s="3" t="s">
        <v>3418</v>
      </c>
      <c r="H936" s="3" t="s">
        <v>3792</v>
      </c>
      <c r="I936" s="3" t="s">
        <v>20</v>
      </c>
      <c r="J936" s="3">
        <v>11.85</v>
      </c>
      <c r="K936" s="3" t="s">
        <v>21</v>
      </c>
      <c r="L936" s="3" t="s">
        <v>3798</v>
      </c>
      <c r="M936" s="3" t="s">
        <v>3794</v>
      </c>
      <c r="N936" s="6" t="str">
        <f>HYPERLINK("C:\Users\alexa\YandexDisk\Книги\Веб-разработка\HTML-CSS\ChatGPT_сделай_мне.pdf","ChatGPT_сделай_мне.pdf")</f>
        <v>ChatGPT_сделай_мне.pdf</v>
      </c>
      <c r="O936" s="3" t="s">
        <v>3799</v>
      </c>
    </row>
    <row r="937" spans="1:15" ht="165.6" x14ac:dyDescent="0.3">
      <c r="A937" s="4">
        <v>936</v>
      </c>
      <c r="B937" s="5" t="s">
        <v>3800</v>
      </c>
      <c r="C937" s="5" t="s">
        <v>3801</v>
      </c>
      <c r="D937" s="5" t="s">
        <v>71</v>
      </c>
      <c r="E937" s="5"/>
      <c r="F937" s="5" t="s">
        <v>3791</v>
      </c>
      <c r="G937" s="5" t="s">
        <v>3418</v>
      </c>
      <c r="H937" s="5" t="s">
        <v>3792</v>
      </c>
      <c r="I937" s="5" t="s">
        <v>20</v>
      </c>
      <c r="J937" s="5">
        <v>30.05</v>
      </c>
      <c r="K937" s="5" t="s">
        <v>21</v>
      </c>
      <c r="L937" s="5" t="s">
        <v>3802</v>
      </c>
      <c r="M937" s="5" t="s">
        <v>3794</v>
      </c>
      <c r="N937" s="7" t="str">
        <f>HYPERLINK("C:\Users\alexa\YandexDisk\Книги\Веб-разработка\HTML-CSS\HTML and CSS The Most Complete Web Development Guide.pdf","HTML and CSS The Most Complete Web Development Guide.pdf")</f>
        <v>HTML and CSS The Most Complete Web Development Guide.pdf</v>
      </c>
      <c r="O937" s="5" t="s">
        <v>3803</v>
      </c>
    </row>
    <row r="938" spans="1:15" ht="193.2" x14ac:dyDescent="0.3">
      <c r="A938" s="2">
        <v>937</v>
      </c>
      <c r="B938" s="3" t="s">
        <v>3804</v>
      </c>
      <c r="C938" s="3" t="s">
        <v>3468</v>
      </c>
      <c r="D938" s="3" t="s">
        <v>335</v>
      </c>
      <c r="E938" s="3" t="s">
        <v>402</v>
      </c>
      <c r="F938" s="3" t="s">
        <v>3791</v>
      </c>
      <c r="G938" s="3" t="s">
        <v>3418</v>
      </c>
      <c r="H938" s="3" t="s">
        <v>3792</v>
      </c>
      <c r="I938" s="3" t="s">
        <v>20</v>
      </c>
      <c r="J938" s="3">
        <v>9.4499999999999993</v>
      </c>
      <c r="K938" s="3" t="s">
        <v>21</v>
      </c>
      <c r="L938" s="3" t="s">
        <v>3805</v>
      </c>
      <c r="M938" s="3" t="s">
        <v>3794</v>
      </c>
      <c r="N938" s="6" t="str">
        <f>HYPERLINK("C:\Users\alexa\YandexDisk\Книги\Веб-разработка\HTML-CSS\HTML и CSS. 33 урока для начинающих.pdf","HTML и CSS. 33 урока для начинающих.pdf")</f>
        <v>HTML и CSS. 33 урока для начинающих.pdf</v>
      </c>
      <c r="O938" s="3" t="s">
        <v>3806</v>
      </c>
    </row>
    <row r="939" spans="1:15" ht="165.6" x14ac:dyDescent="0.3">
      <c r="A939" s="4">
        <v>938</v>
      </c>
      <c r="B939" s="5" t="s">
        <v>3807</v>
      </c>
      <c r="C939" s="5" t="s">
        <v>3808</v>
      </c>
      <c r="D939" s="5" t="s">
        <v>1022</v>
      </c>
      <c r="E939" s="5" t="s">
        <v>734</v>
      </c>
      <c r="F939" s="5" t="s">
        <v>3791</v>
      </c>
      <c r="G939" s="5" t="s">
        <v>3418</v>
      </c>
      <c r="H939" s="5" t="s">
        <v>3792</v>
      </c>
      <c r="I939" s="5" t="s">
        <v>20</v>
      </c>
      <c r="J939" s="5">
        <v>18.93</v>
      </c>
      <c r="K939" s="5" t="s">
        <v>21</v>
      </c>
      <c r="L939" s="5" t="s">
        <v>3809</v>
      </c>
      <c r="M939" s="5" t="s">
        <v>3794</v>
      </c>
      <c r="N939" s="7" t="str">
        <f>HYPERLINK("C:\Users\alexa\YandexDisk\Книги\Веб-разработка\HTML-CSS\html5-карманный справочник.pdf","html5-карманный справочник.pdf")</f>
        <v>html5-карманный справочник.pdf</v>
      </c>
      <c r="O939" s="5" t="s">
        <v>3810</v>
      </c>
    </row>
    <row r="940" spans="1:15" ht="124.2" x14ac:dyDescent="0.3">
      <c r="A940" s="2">
        <v>939</v>
      </c>
      <c r="B940" s="3" t="s">
        <v>3811</v>
      </c>
      <c r="C940" s="3"/>
      <c r="D940" s="3"/>
      <c r="E940" s="3"/>
      <c r="F940" s="3" t="s">
        <v>3791</v>
      </c>
      <c r="G940" s="3" t="s">
        <v>3418</v>
      </c>
      <c r="H940" s="3" t="s">
        <v>3792</v>
      </c>
      <c r="I940" s="3" t="s">
        <v>20</v>
      </c>
      <c r="J940" s="3">
        <v>120.32</v>
      </c>
      <c r="K940" s="3" t="s">
        <v>21</v>
      </c>
      <c r="L940" s="3" t="s">
        <v>3812</v>
      </c>
      <c r="M940" s="3" t="s">
        <v>3794</v>
      </c>
      <c r="N940" s="6" t="str">
        <f>HYPERLINK("C:\Users\alexa\YandexDisk\Книги\Веб-разработка\HTML-CSS\HTML5_+_CSS3_Основы_современного_WEB_дизайна.pdf","HTML5_+_CSS3_Основы_современного_WEB_дизайна.pdf")</f>
        <v>HTML5_+_CSS3_Основы_современного_WEB_дизайна.pdf</v>
      </c>
      <c r="O940" s="3" t="s">
        <v>3813</v>
      </c>
    </row>
    <row r="941" spans="1:15" ht="151.80000000000001" x14ac:dyDescent="0.3">
      <c r="A941" s="4">
        <v>940</v>
      </c>
      <c r="B941" s="5" t="s">
        <v>3814</v>
      </c>
      <c r="C941" s="5" t="s">
        <v>3815</v>
      </c>
      <c r="D941" s="5" t="s">
        <v>3158</v>
      </c>
      <c r="E941" s="5" t="s">
        <v>1566</v>
      </c>
      <c r="F941" s="5" t="s">
        <v>3791</v>
      </c>
      <c r="G941" s="5" t="s">
        <v>3418</v>
      </c>
      <c r="H941" s="5" t="s">
        <v>3792</v>
      </c>
      <c r="I941" s="5" t="s">
        <v>20</v>
      </c>
      <c r="J941" s="5">
        <v>6.96</v>
      </c>
      <c r="K941" s="5" t="s">
        <v>21</v>
      </c>
      <c r="L941" s="5" t="s">
        <v>3816</v>
      </c>
      <c r="M941" s="5" t="s">
        <v>3794</v>
      </c>
      <c r="N941" s="7" t="str">
        <f>HYPERLINK("C:\Users\alexa\YandexDisk\Книги\Веб-разработка\HTML-CSS\HTML_и_XHTML_Подробное_руководство.pdf","HTML_и_XHTML_Подробное_руководство.pdf")</f>
        <v>HTML_и_XHTML_Подробное_руководство.pdf</v>
      </c>
      <c r="O941" s="5" t="s">
        <v>3817</v>
      </c>
    </row>
    <row r="942" spans="1:15" ht="220.8" x14ac:dyDescent="0.3">
      <c r="A942" s="2">
        <v>941</v>
      </c>
      <c r="B942" s="3" t="s">
        <v>3818</v>
      </c>
      <c r="C942" s="3" t="s">
        <v>3797</v>
      </c>
      <c r="D942" s="3" t="s">
        <v>27</v>
      </c>
      <c r="E942" s="3" t="s">
        <v>536</v>
      </c>
      <c r="F942" s="3" t="s">
        <v>3791</v>
      </c>
      <c r="G942" s="3" t="s">
        <v>3418</v>
      </c>
      <c r="H942" s="3" t="s">
        <v>3792</v>
      </c>
      <c r="I942" s="3" t="s">
        <v>20</v>
      </c>
      <c r="J942" s="3">
        <v>10.11</v>
      </c>
      <c r="K942" s="3" t="s">
        <v>21</v>
      </c>
      <c r="L942" s="3" t="s">
        <v>3819</v>
      </c>
      <c r="M942" s="3" t="s">
        <v>3794</v>
      </c>
      <c r="N942" s="6" t="str">
        <f>HYPERLINK("C:\Users\alexa\YandexDisk\Книги\Веб-разработка\HTML-CSS\Web Design Playground, 2Ed (MEAP v1).pdf","Web Design Playground, 2Ed (MEAP v1).pdf")</f>
        <v>Web Design Playground, 2Ed (MEAP v1).pdf</v>
      </c>
      <c r="O942" s="3" t="s">
        <v>3820</v>
      </c>
    </row>
    <row r="943" spans="1:15" ht="179.4" x14ac:dyDescent="0.3">
      <c r="A943" s="4">
        <v>942</v>
      </c>
      <c r="B943" s="5" t="s">
        <v>3821</v>
      </c>
      <c r="C943" s="5" t="s">
        <v>3797</v>
      </c>
      <c r="D943" s="5" t="s">
        <v>32</v>
      </c>
      <c r="E943" s="5" t="s">
        <v>536</v>
      </c>
      <c r="F943" s="5" t="s">
        <v>3791</v>
      </c>
      <c r="G943" s="5" t="s">
        <v>3418</v>
      </c>
      <c r="H943" s="5" t="s">
        <v>3792</v>
      </c>
      <c r="I943" s="5" t="s">
        <v>280</v>
      </c>
      <c r="J943" s="5">
        <v>27.93</v>
      </c>
      <c r="K943" s="5" t="s">
        <v>21</v>
      </c>
      <c r="L943" s="5" t="s">
        <v>3822</v>
      </c>
      <c r="M943" s="5" t="s">
        <v>3794</v>
      </c>
      <c r="N943" s="7" t="str">
        <f>HYPERLINK("C:\Users\alexa\YandexDisk\Книги\Веб-разработка\HTML-CSS\Web_Design_Playground_HTML_CSS_the_Interactive_Way_by_Paul_McFedries.epub","Web_Design_Playground_HTML_CSS_the_Interactive_Way_by_Paul_McFedries.epub")</f>
        <v>Web_Design_Playground_HTML_CSS_the_Interactive_Way_by_Paul_McFedries.epub</v>
      </c>
      <c r="O943" s="5" t="s">
        <v>3823</v>
      </c>
    </row>
    <row r="944" spans="1:15" ht="151.80000000000001" x14ac:dyDescent="0.3">
      <c r="A944" s="2">
        <v>943</v>
      </c>
      <c r="B944" s="3" t="s">
        <v>3824</v>
      </c>
      <c r="C944" s="3" t="s">
        <v>3825</v>
      </c>
      <c r="D944" s="3" t="s">
        <v>114</v>
      </c>
      <c r="E944" s="3"/>
      <c r="F944" s="3" t="s">
        <v>3791</v>
      </c>
      <c r="G944" s="3" t="s">
        <v>3418</v>
      </c>
      <c r="H944" s="3" t="s">
        <v>3792</v>
      </c>
      <c r="I944" s="3" t="s">
        <v>280</v>
      </c>
      <c r="J944" s="3">
        <v>13.67</v>
      </c>
      <c r="K944" s="3" t="s">
        <v>21</v>
      </c>
      <c r="L944" s="3" t="s">
        <v>3826</v>
      </c>
      <c r="M944" s="3" t="s">
        <v>3794</v>
      </c>
      <c r="N944" s="6" t="str">
        <f>HYPERLINK("C:\Users\alexa\YandexDisk\Книги\Веб-разработка\HTML-CSS\Бен_Фрэйн_HTML5_и_CSS3_Разработка.epub","Бен_Фрэйн_HTML5_и_CSS3_Разработка.epub")</f>
        <v>Бен_Фрэйн_HTML5_и_CSS3_Разработка.epub</v>
      </c>
      <c r="O944" s="3" t="s">
        <v>3827</v>
      </c>
    </row>
    <row r="945" spans="1:15" ht="179.4" x14ac:dyDescent="0.3">
      <c r="A945" s="4">
        <v>944</v>
      </c>
      <c r="B945" s="5" t="s">
        <v>3828</v>
      </c>
      <c r="C945" s="5" t="s">
        <v>3604</v>
      </c>
      <c r="D945" s="5" t="s">
        <v>476</v>
      </c>
      <c r="E945" s="5" t="s">
        <v>1023</v>
      </c>
      <c r="F945" s="5" t="s">
        <v>3791</v>
      </c>
      <c r="G945" s="5" t="s">
        <v>3418</v>
      </c>
      <c r="H945" s="5" t="s">
        <v>3792</v>
      </c>
      <c r="I945" s="5" t="s">
        <v>20</v>
      </c>
      <c r="J945" s="5">
        <v>92.75</v>
      </c>
      <c r="K945" s="5" t="s">
        <v>21</v>
      </c>
      <c r="L945" s="5" t="s">
        <v>3829</v>
      </c>
      <c r="M945" s="5" t="s">
        <v>3794</v>
      </c>
      <c r="N945" s="7" t="str">
        <f>HYPERLINK("C:\Users\alexa\YandexDisk\Книги\Веб-разработка\HTML-CSS\Джон Дакетт HTML и CSS_Разработка ВЕБ сайта.pdf","Джон Дакетт HTML и CSS_Разработка ВЕБ сайта.pdf")</f>
        <v>Джон Дакетт HTML и CSS_Разработка ВЕБ сайта.pdf</v>
      </c>
      <c r="O945" s="5" t="s">
        <v>3830</v>
      </c>
    </row>
    <row r="946" spans="1:15" ht="179.4" x14ac:dyDescent="0.3">
      <c r="A946" s="2">
        <v>945</v>
      </c>
      <c r="B946" s="3" t="s">
        <v>3831</v>
      </c>
      <c r="C946" s="3" t="s">
        <v>3832</v>
      </c>
      <c r="D946" s="3" t="s">
        <v>109</v>
      </c>
      <c r="E946" s="3" t="s">
        <v>18</v>
      </c>
      <c r="F946" s="3" t="s">
        <v>3791</v>
      </c>
      <c r="G946" s="3" t="s">
        <v>3418</v>
      </c>
      <c r="H946" s="3" t="s">
        <v>3792</v>
      </c>
      <c r="I946" s="3" t="s">
        <v>20</v>
      </c>
      <c r="J946" s="3">
        <v>12.2</v>
      </c>
      <c r="K946" s="3" t="s">
        <v>21</v>
      </c>
      <c r="L946" s="3" t="s">
        <v>3833</v>
      </c>
      <c r="M946" s="3" t="s">
        <v>3794</v>
      </c>
      <c r="N946" s="6" t="str">
        <f>HYPERLINK("C:\Users\alexa\YandexDisk\Книги\Веб-разработка\HTML-CSS\Дизайн для разработчиков.pdf","Дизайн для разработчиков.pdf")</f>
        <v>Дизайн для разработчиков.pdf</v>
      </c>
      <c r="O946" s="3" t="s">
        <v>3834</v>
      </c>
    </row>
    <row r="947" spans="1:15" ht="138" x14ac:dyDescent="0.3">
      <c r="A947" s="4">
        <v>946</v>
      </c>
      <c r="B947" s="5" t="s">
        <v>3835</v>
      </c>
      <c r="C947" s="5" t="s">
        <v>3836</v>
      </c>
      <c r="D947" s="5" t="s">
        <v>77</v>
      </c>
      <c r="E947" s="5" t="s">
        <v>148</v>
      </c>
      <c r="F947" s="5" t="s">
        <v>3791</v>
      </c>
      <c r="G947" s="5" t="s">
        <v>3418</v>
      </c>
      <c r="H947" s="5" t="s">
        <v>3792</v>
      </c>
      <c r="I947" s="5" t="s">
        <v>20</v>
      </c>
      <c r="J947" s="5">
        <v>8.27</v>
      </c>
      <c r="K947" s="5" t="s">
        <v>21</v>
      </c>
      <c r="L947" s="5" t="s">
        <v>3837</v>
      </c>
      <c r="M947" s="5" t="s">
        <v>3794</v>
      </c>
      <c r="N947" s="7" t="str">
        <f>HYPERLINK("C:\Users\alexa\YandexDisk\Книги\Веб-разработка\HTML-CSS\Клиентские_технологии_веб_дизайна_HTML5_и_CSS.pdf","Клиентские_технологии_веб_дизайна_HTML5_и_CSS.pdf")</f>
        <v>Клиентские_технологии_веб_дизайна_HTML5_и_CSS.pdf</v>
      </c>
      <c r="O947" s="5" t="s">
        <v>3838</v>
      </c>
    </row>
    <row r="948" spans="1:15" ht="207" x14ac:dyDescent="0.3">
      <c r="A948" s="2">
        <v>947</v>
      </c>
      <c r="B948" s="3" t="s">
        <v>3839</v>
      </c>
      <c r="C948" s="3" t="s">
        <v>3840</v>
      </c>
      <c r="D948" s="3"/>
      <c r="E948" s="3"/>
      <c r="F948" s="3" t="s">
        <v>3791</v>
      </c>
      <c r="G948" s="3" t="s">
        <v>3418</v>
      </c>
      <c r="H948" s="3" t="s">
        <v>3792</v>
      </c>
      <c r="I948" s="3" t="s">
        <v>20</v>
      </c>
      <c r="J948" s="3">
        <v>7.34</v>
      </c>
      <c r="K948" s="3" t="s">
        <v>21</v>
      </c>
      <c r="L948" s="3" t="s">
        <v>3841</v>
      </c>
      <c r="M948" s="3" t="s">
        <v>3794</v>
      </c>
      <c r="N948" s="6" t="str">
        <f>HYPERLINK("C:\Users\alexa\YandexDisk\Книги\Веб-разработка\HTML-CSS\Мержевич_В_Вёрстка_веб_страниц_2.pdf","Мержевич_В_Вёрстка_веб_страниц_2.pdf")</f>
        <v>Мержевич_В_Вёрстка_веб_страниц_2.pdf</v>
      </c>
      <c r="O948" s="3" t="s">
        <v>3842</v>
      </c>
    </row>
    <row r="949" spans="1:15" ht="138" x14ac:dyDescent="0.3">
      <c r="A949" s="4">
        <v>948</v>
      </c>
      <c r="B949" s="5" t="s">
        <v>3843</v>
      </c>
      <c r="C949" s="5" t="s">
        <v>3844</v>
      </c>
      <c r="D949" s="5" t="s">
        <v>71</v>
      </c>
      <c r="E949" s="5" t="s">
        <v>18</v>
      </c>
      <c r="F949" s="5" t="s">
        <v>3791</v>
      </c>
      <c r="G949" s="5" t="s">
        <v>3418</v>
      </c>
      <c r="H949" s="5" t="s">
        <v>3792</v>
      </c>
      <c r="I949" s="5" t="s">
        <v>20</v>
      </c>
      <c r="J949" s="5">
        <v>10.86</v>
      </c>
      <c r="K949" s="5" t="s">
        <v>21</v>
      </c>
      <c r="L949" s="5" t="s">
        <v>3845</v>
      </c>
      <c r="M949" s="5" t="s">
        <v>3794</v>
      </c>
      <c r="N949" s="7" t="str">
        <f>HYPERLINK("C:\Users\alexa\YandexDisk\Книги\Веб-разработка\HTML-CSS\Отзывчивый_дизайн_на_HTML5_и_CSS3_для_любых_устройств_3_е_изд_ 2021.pdf","Отзывчивый_дизайн_на_HTML5_и_CSS3_для_любых_устройств_3_е_изд_ 2021.pdf")</f>
        <v>Отзывчивый_дизайн_на_HTML5_и_CSS3_для_любых_устройств_3_е_изд_ 2021.pdf</v>
      </c>
      <c r="O949" s="5" t="s">
        <v>3846</v>
      </c>
    </row>
    <row r="950" spans="1:15" ht="151.80000000000001" x14ac:dyDescent="0.3">
      <c r="A950" s="2">
        <v>949</v>
      </c>
      <c r="B950" s="3" t="s">
        <v>3847</v>
      </c>
      <c r="C950" s="3" t="s">
        <v>3848</v>
      </c>
      <c r="D950" s="3" t="s">
        <v>27</v>
      </c>
      <c r="E950" s="3" t="s">
        <v>3849</v>
      </c>
      <c r="F950" s="3" t="s">
        <v>3791</v>
      </c>
      <c r="G950" s="3" t="s">
        <v>3418</v>
      </c>
      <c r="H950" s="3" t="s">
        <v>3792</v>
      </c>
      <c r="I950" s="3" t="s">
        <v>20</v>
      </c>
      <c r="J950" s="3">
        <v>12.16</v>
      </c>
      <c r="K950" s="3" t="s">
        <v>21</v>
      </c>
      <c r="L950" s="3" t="s">
        <v>3850</v>
      </c>
      <c r="M950" s="3" t="s">
        <v>3794</v>
      </c>
      <c r="N950" s="6" t="str">
        <f>HYPERLINK("C:\Users\alexa\YandexDisk\Книги\Веб-разработка\HTML-CSS\Руководство для начинающих по HTML и CSS.pdf","Руководство для начинающих по HTML и CSS.pdf")</f>
        <v>Руководство для начинающих по HTML и CSS.pdf</v>
      </c>
      <c r="O950" s="3" t="s">
        <v>3851</v>
      </c>
    </row>
    <row r="951" spans="1:15" ht="151.80000000000001" x14ac:dyDescent="0.3">
      <c r="A951" s="4">
        <v>950</v>
      </c>
      <c r="B951" s="5" t="s">
        <v>3852</v>
      </c>
      <c r="C951" s="5" t="s">
        <v>3853</v>
      </c>
      <c r="D951" s="5" t="s">
        <v>17</v>
      </c>
      <c r="E951" s="5" t="s">
        <v>485</v>
      </c>
      <c r="F951" s="5" t="s">
        <v>3791</v>
      </c>
      <c r="G951" s="5" t="s">
        <v>3418</v>
      </c>
      <c r="H951" s="5" t="s">
        <v>3792</v>
      </c>
      <c r="I951" s="5" t="s">
        <v>20</v>
      </c>
      <c r="J951" s="5">
        <v>16.13</v>
      </c>
      <c r="K951" s="5" t="s">
        <v>21</v>
      </c>
      <c r="L951" s="5" t="s">
        <v>3854</v>
      </c>
      <c r="M951" s="5" t="s">
        <v>3794</v>
      </c>
      <c r="N951" s="7" t="str">
        <f>HYPERLINK("C:\Users\alexa\YandexDisk\Книги\Веб-разработка\HTML-CSS\Справочник HTML.pdf","Справочник HTML.pdf")</f>
        <v>Справочник HTML.pdf</v>
      </c>
      <c r="O951" s="5" t="s">
        <v>3855</v>
      </c>
    </row>
    <row r="952" spans="1:15" ht="179.4" x14ac:dyDescent="0.3">
      <c r="A952" s="2">
        <v>951</v>
      </c>
      <c r="B952" s="3" t="s">
        <v>3824</v>
      </c>
      <c r="C952" s="3" t="s">
        <v>3825</v>
      </c>
      <c r="D952" s="3" t="s">
        <v>114</v>
      </c>
      <c r="E952" s="3"/>
      <c r="F952" s="3" t="s">
        <v>3791</v>
      </c>
      <c r="G952" s="3" t="s">
        <v>3418</v>
      </c>
      <c r="H952" s="3" t="s">
        <v>3792</v>
      </c>
      <c r="I952" s="3" t="s">
        <v>280</v>
      </c>
      <c r="J952" s="3">
        <v>13.67</v>
      </c>
      <c r="K952" s="3" t="s">
        <v>21</v>
      </c>
      <c r="L952" s="3" t="s">
        <v>3856</v>
      </c>
      <c r="M952" s="3" t="s">
        <v>3794</v>
      </c>
      <c r="N952" s="6" t="str">
        <f>HYPERLINK("C:\Users\alexa\YandexDisk\Книги\Веб-разработка\HTML-CSS\Фрейн html5-i-css3-2 2017.epub","Фрейн html5-i-css3-2 2017.epub")</f>
        <v>Фрейн html5-i-css3-2 2017.epub</v>
      </c>
      <c r="O952" s="3" t="s">
        <v>3857</v>
      </c>
    </row>
    <row r="953" spans="1:15" ht="179.4" x14ac:dyDescent="0.3">
      <c r="A953" s="4">
        <v>952</v>
      </c>
      <c r="B953" s="5" t="s">
        <v>3858</v>
      </c>
      <c r="C953" s="5" t="s">
        <v>3859</v>
      </c>
      <c r="D953" s="5" t="s">
        <v>50</v>
      </c>
      <c r="E953" s="5" t="s">
        <v>18</v>
      </c>
      <c r="F953" s="5" t="s">
        <v>3791</v>
      </c>
      <c r="G953" s="5" t="s">
        <v>3418</v>
      </c>
      <c r="H953" s="5" t="s">
        <v>3792</v>
      </c>
      <c r="I953" s="5" t="s">
        <v>20</v>
      </c>
      <c r="J953" s="5">
        <v>9.68</v>
      </c>
      <c r="K953" s="5" t="s">
        <v>21</v>
      </c>
      <c r="L953" s="5" t="s">
        <v>3860</v>
      </c>
      <c r="M953" s="5" t="s">
        <v>3794</v>
      </c>
      <c r="N953" s="7" t="str">
        <f>HYPERLINK("C:\Users\alexa\YandexDisk\Книги\Веб-разработка\HTML-CSS\Фрейн html5-i-css3-2 2017.pdf","Фрейн html5-i-css3-2 2017.pdf")</f>
        <v>Фрейн html5-i-css3-2 2017.pdf</v>
      </c>
      <c r="O953" s="5" t="s">
        <v>3861</v>
      </c>
    </row>
    <row r="954" spans="1:15" ht="179.4" x14ac:dyDescent="0.3">
      <c r="A954" s="2">
        <v>953</v>
      </c>
      <c r="B954" s="3" t="s">
        <v>3587</v>
      </c>
      <c r="C954" s="3" t="s">
        <v>3588</v>
      </c>
      <c r="D954" s="3" t="s">
        <v>77</v>
      </c>
      <c r="E954" s="3" t="s">
        <v>18</v>
      </c>
      <c r="F954" s="3" t="s">
        <v>3791</v>
      </c>
      <c r="G954" s="3" t="s">
        <v>3418</v>
      </c>
      <c r="H954" s="3" t="s">
        <v>3792</v>
      </c>
      <c r="I954" s="3" t="s">
        <v>20</v>
      </c>
      <c r="J954" s="3">
        <v>31.19</v>
      </c>
      <c r="K954" s="3" t="s">
        <v>21</v>
      </c>
      <c r="L954" s="3" t="s">
        <v>3862</v>
      </c>
      <c r="M954" s="3" t="s">
        <v>3794</v>
      </c>
      <c r="N954" s="6" t="str">
        <f>HYPERLINK("C:\Users\alexa\YandexDisk\Книги\Веб-разработка\HTML-CSS\Фримен Изучаем HTML.pdf","Фримен Изучаем HTML.pdf")</f>
        <v>Фримен Изучаем HTML.pdf</v>
      </c>
      <c r="O954" s="3" t="s">
        <v>3863</v>
      </c>
    </row>
    <row r="955" spans="1:15" ht="138" x14ac:dyDescent="0.3">
      <c r="A955" s="4">
        <v>954</v>
      </c>
      <c r="B955" s="5" t="s">
        <v>3864</v>
      </c>
      <c r="C955" s="5" t="s">
        <v>3865</v>
      </c>
      <c r="D955" s="5" t="s">
        <v>186</v>
      </c>
      <c r="E955" s="5" t="s">
        <v>18</v>
      </c>
      <c r="F955" s="5" t="s">
        <v>3791</v>
      </c>
      <c r="G955" s="5" t="s">
        <v>3418</v>
      </c>
      <c r="H955" s="5" t="s">
        <v>3792</v>
      </c>
      <c r="I955" s="5" t="s">
        <v>20</v>
      </c>
      <c r="J955" s="5">
        <v>9.77</v>
      </c>
      <c r="K955" s="5" t="s">
        <v>21</v>
      </c>
      <c r="L955" s="5" t="s">
        <v>3866</v>
      </c>
      <c r="M955" s="5" t="s">
        <v>3794</v>
      </c>
      <c r="N955" s="7" t="str">
        <f>HYPERLINK("C:\Users\alexa\YandexDisk\Книги\Веб-разработка\HTML-CSS\Хоган html5-i-css3-veb-razrabotka 2014.pdf","Хоган html5-i-css3-veb-razrabotka 2014.pdf")</f>
        <v>Хоган html5-i-css3-veb-razrabotka 2014.pdf</v>
      </c>
      <c r="O955" s="5" t="s">
        <v>3867</v>
      </c>
    </row>
    <row r="956" spans="1:15" ht="207" x14ac:dyDescent="0.3">
      <c r="A956" s="2">
        <v>955</v>
      </c>
      <c r="B956" s="3" t="s">
        <v>3868</v>
      </c>
      <c r="C956" s="3" t="s">
        <v>3869</v>
      </c>
      <c r="D956" s="3" t="s">
        <v>17</v>
      </c>
      <c r="E956" s="3" t="s">
        <v>1500</v>
      </c>
      <c r="F956" s="3" t="s">
        <v>3791</v>
      </c>
      <c r="G956" s="3" t="s">
        <v>3418</v>
      </c>
      <c r="H956" s="3" t="s">
        <v>3792</v>
      </c>
      <c r="I956" s="3" t="s">
        <v>20</v>
      </c>
      <c r="J956" s="3">
        <v>1.1399999999999999</v>
      </c>
      <c r="K956" s="3" t="s">
        <v>21</v>
      </c>
      <c r="L956" s="3" t="s">
        <v>3870</v>
      </c>
      <c r="M956" s="3" t="s">
        <v>3794</v>
      </c>
      <c r="N956" s="6" t="str">
        <f>HYPERLINK("C:\Users\alexa\YandexDisk\Книги\Веб-разработка\HTML-CSS\Шпаргалки_для_начинающего_верстальщика.pdf","Шпаргалки_для_начинающего_верстальщика.pdf")</f>
        <v>Шпаргалки_для_начинающего_верстальщика.pdf</v>
      </c>
      <c r="O956" s="3" t="s">
        <v>3871</v>
      </c>
    </row>
    <row r="957" spans="1:15" ht="151.80000000000001" x14ac:dyDescent="0.3">
      <c r="A957" s="4">
        <v>956</v>
      </c>
      <c r="B957" s="5" t="s">
        <v>3872</v>
      </c>
      <c r="C957" s="5" t="s">
        <v>3873</v>
      </c>
      <c r="D957" s="5" t="s">
        <v>335</v>
      </c>
      <c r="E957" s="5" t="s">
        <v>407</v>
      </c>
      <c r="F957" s="5" t="s">
        <v>3874</v>
      </c>
      <c r="G957" s="5" t="s">
        <v>3418</v>
      </c>
      <c r="H957" s="5" t="s">
        <v>3875</v>
      </c>
      <c r="I957" s="5" t="s">
        <v>20</v>
      </c>
      <c r="J957" s="5">
        <v>34.81</v>
      </c>
      <c r="K957" s="5" t="s">
        <v>21</v>
      </c>
      <c r="L957" s="5" t="s">
        <v>3876</v>
      </c>
      <c r="M957" s="5" t="s">
        <v>3877</v>
      </c>
      <c r="N957" s="7" t="str">
        <f>HYPERLINK("C:\Users\alexa\YandexDisk\Книги\Веб-разработка\JavaScript\Web API. Сборник рецептов.pdf","Web API. Сборник рецептов.pdf")</f>
        <v>Web API. Сборник рецептов.pdf</v>
      </c>
      <c r="O957" s="5" t="s">
        <v>3878</v>
      </c>
    </row>
    <row r="958" spans="1:15" ht="179.4" x14ac:dyDescent="0.3">
      <c r="A958" s="2">
        <v>957</v>
      </c>
      <c r="B958" s="3" t="s">
        <v>3879</v>
      </c>
      <c r="C958" s="3" t="s">
        <v>3880</v>
      </c>
      <c r="D958" s="3"/>
      <c r="E958" s="3"/>
      <c r="F958" s="3" t="s">
        <v>3881</v>
      </c>
      <c r="G958" s="3" t="s">
        <v>3418</v>
      </c>
      <c r="H958" s="3" t="s">
        <v>3882</v>
      </c>
      <c r="I958" s="3" t="s">
        <v>20</v>
      </c>
      <c r="J958" s="3">
        <v>10.41</v>
      </c>
      <c r="K958" s="3" t="s">
        <v>21</v>
      </c>
      <c r="L958" s="3" t="s">
        <v>3883</v>
      </c>
      <c r="M958" s="3" t="s">
        <v>3884</v>
      </c>
      <c r="N958" s="6" t="str">
        <f>HYPERLINK("C:\Users\alexa\YandexDisk\Книги\Веб-разработка\Node.js\Efficient Node.Js_True.pdf","Efficient Node.Js_True.pdf")</f>
        <v>Efficient Node.Js_True.pdf</v>
      </c>
      <c r="O958" s="3" t="s">
        <v>3885</v>
      </c>
    </row>
    <row r="959" spans="1:15" ht="207" x14ac:dyDescent="0.3">
      <c r="A959" s="4">
        <v>958</v>
      </c>
      <c r="B959" s="5" t="s">
        <v>3886</v>
      </c>
      <c r="C959" s="5" t="s">
        <v>3887</v>
      </c>
      <c r="D959" s="5" t="s">
        <v>32</v>
      </c>
      <c r="E959" s="5" t="s">
        <v>269</v>
      </c>
      <c r="F959" s="5" t="s">
        <v>3881</v>
      </c>
      <c r="G959" s="5" t="s">
        <v>3418</v>
      </c>
      <c r="H959" s="5" t="s">
        <v>3882</v>
      </c>
      <c r="I959" s="5" t="s">
        <v>20</v>
      </c>
      <c r="J959" s="5">
        <v>14.92</v>
      </c>
      <c r="K959" s="5" t="s">
        <v>21</v>
      </c>
      <c r="L959" s="5" t="s">
        <v>3888</v>
      </c>
      <c r="M959" s="5" t="s">
        <v>3884</v>
      </c>
      <c r="N959" s="7" t="str">
        <f>HYPERLINK("C:\Users\alexa\YandexDisk\Книги\Веб-разработка\Node.js\Node.js в действии.pdf","Node.js в действии.pdf")</f>
        <v>Node.js в действии.pdf</v>
      </c>
      <c r="O959" s="5" t="s">
        <v>3889</v>
      </c>
    </row>
    <row r="960" spans="1:15" ht="193.2" x14ac:dyDescent="0.3">
      <c r="A960" s="2">
        <v>959</v>
      </c>
      <c r="B960" s="3" t="s">
        <v>3890</v>
      </c>
      <c r="C960" s="3" t="s">
        <v>3491</v>
      </c>
      <c r="D960" s="3" t="s">
        <v>186</v>
      </c>
      <c r="E960" s="3" t="s">
        <v>442</v>
      </c>
      <c r="F960" s="3" t="s">
        <v>3881</v>
      </c>
      <c r="G960" s="3" t="s">
        <v>3418</v>
      </c>
      <c r="H960" s="3" t="s">
        <v>3882</v>
      </c>
      <c r="I960" s="3" t="s">
        <v>20</v>
      </c>
      <c r="J960" s="3">
        <v>8.49</v>
      </c>
      <c r="K960" s="3" t="s">
        <v>21</v>
      </c>
      <c r="L960" s="3" t="s">
        <v>3891</v>
      </c>
      <c r="M960" s="3" t="s">
        <v>3884</v>
      </c>
      <c r="N960" s="6" t="str">
        <f>HYPERLINK("C:\Users\alexa\YandexDisk\Книги\Веб-разработка\Node.js\Web_Development_with_Node_and_Express_Leveraging_the_JavaScript_Stack_proglib.pdf","Web_Development_with_Node_and_Express_Leveraging_the_JavaScript_Stack_proglib.pdf")</f>
        <v>Web_Development_with_Node_and_Express_Leveraging_the_JavaScript_Stack_proglib.pdf</v>
      </c>
      <c r="O960" s="3" t="s">
        <v>3892</v>
      </c>
    </row>
    <row r="961" spans="1:15" ht="165.6" x14ac:dyDescent="0.3">
      <c r="A961" s="4">
        <v>960</v>
      </c>
      <c r="B961" s="5" t="s">
        <v>3893</v>
      </c>
      <c r="C961" s="5" t="s">
        <v>3894</v>
      </c>
      <c r="D961" s="5" t="s">
        <v>50</v>
      </c>
      <c r="E961" s="5" t="s">
        <v>18</v>
      </c>
      <c r="F961" s="5" t="s">
        <v>3881</v>
      </c>
      <c r="G961" s="5" t="s">
        <v>3418</v>
      </c>
      <c r="H961" s="5" t="s">
        <v>3882</v>
      </c>
      <c r="I961" s="5" t="s">
        <v>20</v>
      </c>
      <c r="J961" s="5">
        <v>5.18</v>
      </c>
      <c r="K961" s="5" t="s">
        <v>21</v>
      </c>
      <c r="L961" s="5" t="s">
        <v>3895</v>
      </c>
      <c r="M961" s="5" t="s">
        <v>3884</v>
      </c>
      <c r="N961" s="7" t="str">
        <f>HYPERLINK("C:\Users\alexa\YandexDisk\Книги\Веб-разработка\Node.js\Изучаем Node.pdf","Изучаем Node.pdf")</f>
        <v>Изучаем Node.pdf</v>
      </c>
      <c r="O961" s="5" t="s">
        <v>3896</v>
      </c>
    </row>
    <row r="962" spans="1:15" ht="151.80000000000001" x14ac:dyDescent="0.3">
      <c r="A962" s="2">
        <v>961</v>
      </c>
      <c r="B962" s="3" t="s">
        <v>3897</v>
      </c>
      <c r="C962" s="3" t="s">
        <v>3880</v>
      </c>
      <c r="D962" s="3" t="s">
        <v>600</v>
      </c>
      <c r="E962" s="3" t="s">
        <v>336</v>
      </c>
      <c r="F962" s="3" t="s">
        <v>3881</v>
      </c>
      <c r="G962" s="3" t="s">
        <v>3418</v>
      </c>
      <c r="H962" s="3" t="s">
        <v>3882</v>
      </c>
      <c r="I962" s="3" t="s">
        <v>20</v>
      </c>
      <c r="J962" s="3">
        <v>6.65</v>
      </c>
      <c r="K962" s="3" t="s">
        <v>21</v>
      </c>
      <c r="L962" s="3" t="s">
        <v>3898</v>
      </c>
      <c r="M962" s="3" t="s">
        <v>3884</v>
      </c>
      <c r="N962" s="6" t="str">
        <f>HYPERLINK("C:\Users\alexa\YandexDisk\Книги\Веб-разработка\Node.js\Эффективный Node.js.pdf","Эффективный Node.js.pdf")</f>
        <v>Эффективный Node.js.pdf</v>
      </c>
      <c r="O962" s="3" t="s">
        <v>3899</v>
      </c>
    </row>
    <row r="963" spans="1:15" ht="193.2" x14ac:dyDescent="0.3">
      <c r="A963" s="4">
        <v>962</v>
      </c>
      <c r="B963" s="5" t="s">
        <v>3900</v>
      </c>
      <c r="C963" s="5" t="s">
        <v>3901</v>
      </c>
      <c r="D963" s="5" t="s">
        <v>17</v>
      </c>
      <c r="E963" s="5" t="s">
        <v>3902</v>
      </c>
      <c r="F963" s="5" t="s">
        <v>3903</v>
      </c>
      <c r="G963" s="5" t="s">
        <v>3418</v>
      </c>
      <c r="H963" s="5" t="s">
        <v>3904</v>
      </c>
      <c r="I963" s="5" t="s">
        <v>280</v>
      </c>
      <c r="J963" s="5">
        <v>6.26</v>
      </c>
      <c r="K963" s="5" t="s">
        <v>21</v>
      </c>
      <c r="L963" s="5" t="s">
        <v>3905</v>
      </c>
      <c r="M963" s="5" t="s">
        <v>3906</v>
      </c>
      <c r="N963" s="7" t="str">
        <f>HYPERLINK("C:\Users\alexa\YandexDisk\Книги\Веб-разработка\React\John_Sheehan_Creating_React_Front_End_Web_Applications_with_Python.epub","John_Sheehan_Creating_React_Front_End_Web_Applications_with_Python.epub")</f>
        <v>John_Sheehan_Creating_React_Front_End_Web_Applications_with_Python.epub</v>
      </c>
      <c r="O963" s="5" t="s">
        <v>3907</v>
      </c>
    </row>
    <row r="964" spans="1:15" ht="165.6" x14ac:dyDescent="0.3">
      <c r="A964" s="2">
        <v>963</v>
      </c>
      <c r="B964" s="3" t="s">
        <v>3908</v>
      </c>
      <c r="C964" s="3" t="s">
        <v>3909</v>
      </c>
      <c r="D964" s="3" t="s">
        <v>71</v>
      </c>
      <c r="E964" s="3" t="s">
        <v>227</v>
      </c>
      <c r="F964" s="3" t="s">
        <v>3903</v>
      </c>
      <c r="G964" s="3" t="s">
        <v>3418</v>
      </c>
      <c r="H964" s="3" t="s">
        <v>3904</v>
      </c>
      <c r="I964" s="3" t="s">
        <v>20</v>
      </c>
      <c r="J964" s="3">
        <v>10.19</v>
      </c>
      <c r="K964" s="3" t="s">
        <v>21</v>
      </c>
      <c r="L964" s="3" t="s">
        <v>3910</v>
      </c>
      <c r="M964" s="3" t="s">
        <v>3906</v>
      </c>
      <c r="N964" s="6" t="str">
        <f>HYPERLINK("C:\Users\alexa\YandexDisk\Книги\Веб-разработка\React\Just React! Learn React the React Way.pdf","Just React! Learn React the React Way.pdf")</f>
        <v>Just React! Learn React the React Way.pdf</v>
      </c>
      <c r="O964" s="3" t="s">
        <v>3911</v>
      </c>
    </row>
    <row r="965" spans="1:15" ht="234.6" x14ac:dyDescent="0.3">
      <c r="A965" s="4">
        <v>964</v>
      </c>
      <c r="B965" s="5" t="s">
        <v>3908</v>
      </c>
      <c r="C965" s="5" t="s">
        <v>3909</v>
      </c>
      <c r="D965" s="5" t="s">
        <v>71</v>
      </c>
      <c r="E965" s="5" t="s">
        <v>227</v>
      </c>
      <c r="F965" s="5" t="s">
        <v>3903</v>
      </c>
      <c r="G965" s="5" t="s">
        <v>3418</v>
      </c>
      <c r="H965" s="5" t="s">
        <v>3904</v>
      </c>
      <c r="I965" s="5" t="s">
        <v>280</v>
      </c>
      <c r="J965" s="5">
        <v>47.66</v>
      </c>
      <c r="K965" s="5" t="s">
        <v>21</v>
      </c>
      <c r="L965" s="5" t="s">
        <v>3912</v>
      </c>
      <c r="M965" s="5" t="s">
        <v>3906</v>
      </c>
      <c r="N965" s="7" t="str">
        <f>HYPERLINK("C:\Users\alexa\YandexDisk\Книги\Веб-разработка\React\Just.React.Learn.React.the.React.Way.epub","Just.React.Learn.React.the.React.Way.epub")</f>
        <v>Just.React.Learn.React.the.React.Way.epub</v>
      </c>
      <c r="O965" s="5" t="s">
        <v>3913</v>
      </c>
    </row>
    <row r="966" spans="1:15" ht="151.80000000000001" x14ac:dyDescent="0.3">
      <c r="A966" s="2">
        <v>965</v>
      </c>
      <c r="B966" s="3" t="s">
        <v>3914</v>
      </c>
      <c r="C966" s="3" t="s">
        <v>3915</v>
      </c>
      <c r="D966" s="3" t="s">
        <v>71</v>
      </c>
      <c r="E966" s="3" t="s">
        <v>205</v>
      </c>
      <c r="F966" s="3" t="s">
        <v>3903</v>
      </c>
      <c r="G966" s="3" t="s">
        <v>3418</v>
      </c>
      <c r="H966" s="3" t="s">
        <v>3904</v>
      </c>
      <c r="I966" s="3" t="s">
        <v>20</v>
      </c>
      <c r="J966" s="3">
        <v>6.49</v>
      </c>
      <c r="K966" s="3" t="s">
        <v>21</v>
      </c>
      <c r="L966" s="3" t="s">
        <v>3916</v>
      </c>
      <c r="M966" s="3" t="s">
        <v>3906</v>
      </c>
      <c r="N966" s="6" t="str">
        <f>HYPERLINK("C:\Users\alexa\YandexDisk\Книги\Веб-разработка\React\Packt.React.Projects.2nd.Edition.1801070636.pdf","Packt.React.Projects.2nd.Edition.1801070636.pdf")</f>
        <v>Packt.React.Projects.2nd.Edition.1801070636.pdf</v>
      </c>
      <c r="O966" s="3" t="s">
        <v>3917</v>
      </c>
    </row>
    <row r="967" spans="1:15" ht="151.80000000000001" x14ac:dyDescent="0.3">
      <c r="A967" s="4">
        <v>966</v>
      </c>
      <c r="B967" s="5" t="s">
        <v>3918</v>
      </c>
      <c r="C967" s="5" t="s">
        <v>3919</v>
      </c>
      <c r="D967" s="5" t="s">
        <v>77</v>
      </c>
      <c r="E967" s="5" t="s">
        <v>18</v>
      </c>
      <c r="F967" s="5" t="s">
        <v>3903</v>
      </c>
      <c r="G967" s="5" t="s">
        <v>3418</v>
      </c>
      <c r="H967" s="5" t="s">
        <v>3904</v>
      </c>
      <c r="I967" s="5" t="s">
        <v>20</v>
      </c>
      <c r="J967" s="5">
        <v>14.36</v>
      </c>
      <c r="K967" s="5" t="s">
        <v>21</v>
      </c>
      <c r="L967" s="5" t="s">
        <v>3920</v>
      </c>
      <c r="M967" s="5" t="s">
        <v>3906</v>
      </c>
      <c r="N967" s="7" t="str">
        <f>HYPERLINK("C:\Users\alexa\YandexDisk\Книги\Веб-разработка\React\React быстро.pdf","React быстро.pdf")</f>
        <v>React быстро.pdf</v>
      </c>
      <c r="O967" s="5" t="s">
        <v>3921</v>
      </c>
    </row>
    <row r="968" spans="1:15" ht="193.2" x14ac:dyDescent="0.3">
      <c r="A968" s="2">
        <v>967</v>
      </c>
      <c r="B968" s="3" t="s">
        <v>3922</v>
      </c>
      <c r="C968" s="3" t="s">
        <v>3923</v>
      </c>
      <c r="D968" s="3" t="s">
        <v>32</v>
      </c>
      <c r="E968" s="3" t="s">
        <v>18</v>
      </c>
      <c r="F968" s="3" t="s">
        <v>3903</v>
      </c>
      <c r="G968" s="3" t="s">
        <v>3418</v>
      </c>
      <c r="H968" s="3" t="s">
        <v>3904</v>
      </c>
      <c r="I968" s="3" t="s">
        <v>20</v>
      </c>
      <c r="J968" s="3">
        <v>9.64</v>
      </c>
      <c r="K968" s="3" t="s">
        <v>21</v>
      </c>
      <c r="L968" s="3" t="s">
        <v>3924</v>
      </c>
      <c r="M968" s="3" t="s">
        <v>3906</v>
      </c>
      <c r="N968" s="6" t="str">
        <f>HYPERLINK("C:\Users\alexa\YandexDisk\Книги\Веб-разработка\React\React и Redux. Функциональная веб-разработка  2018.pdf","React и Redux. Функциональная веб-разработка  2018.pdf")</f>
        <v>React и Redux. Функциональная веб-разработка  2018.pdf</v>
      </c>
      <c r="O968" s="3" t="s">
        <v>3925</v>
      </c>
    </row>
    <row r="969" spans="1:15" ht="124.2" x14ac:dyDescent="0.3">
      <c r="A969" s="4">
        <v>968</v>
      </c>
      <c r="B969" s="5" t="s">
        <v>3926</v>
      </c>
      <c r="C969" s="5" t="s">
        <v>3483</v>
      </c>
      <c r="D969" s="5" t="s">
        <v>71</v>
      </c>
      <c r="E969" s="5"/>
      <c r="F969" s="5" t="s">
        <v>3903</v>
      </c>
      <c r="G969" s="5" t="s">
        <v>3418</v>
      </c>
      <c r="H969" s="5" t="s">
        <v>3904</v>
      </c>
      <c r="I969" s="5" t="s">
        <v>280</v>
      </c>
      <c r="J969" s="5">
        <v>4.62</v>
      </c>
      <c r="K969" s="5" t="s">
        <v>21</v>
      </c>
      <c r="L969" s="5" t="s">
        <v>3927</v>
      </c>
      <c r="M969" s="5" t="s">
        <v>3906</v>
      </c>
      <c r="N969" s="7" t="str">
        <f>HYPERLINK("C:\Users\alexa\YandexDisk\Книги\Веб-разработка\React\React современные шаблоны для разработки приложений 2-е изд [2022] Алекс Бэнкс, Ева Порселло.epub","React современные шаблоны для разработки приложений 2-е изд [2022] Алекс Бэнкс, Ева Порселло.epub")</f>
        <v>React современные шаблоны для разработки приложений 2-е изд [2022] Алекс Бэнкс, Ева Порселло.epub</v>
      </c>
      <c r="O969" s="5" t="s">
        <v>3928</v>
      </c>
    </row>
    <row r="970" spans="1:15" ht="138" x14ac:dyDescent="0.3">
      <c r="A970" s="2">
        <v>969</v>
      </c>
      <c r="B970" s="3" t="s">
        <v>3929</v>
      </c>
      <c r="C970" s="3" t="s">
        <v>3930</v>
      </c>
      <c r="D970" s="3"/>
      <c r="E970" s="3"/>
      <c r="F970" s="3" t="s">
        <v>3903</v>
      </c>
      <c r="G970" s="3" t="s">
        <v>3418</v>
      </c>
      <c r="H970" s="3" t="s">
        <v>3904</v>
      </c>
      <c r="I970" s="3" t="s">
        <v>20</v>
      </c>
      <c r="J970" s="3">
        <v>6.5</v>
      </c>
      <c r="K970" s="3" t="s">
        <v>21</v>
      </c>
      <c r="L970" s="3" t="s">
        <v>3931</v>
      </c>
      <c r="M970" s="3" t="s">
        <v>3906</v>
      </c>
      <c r="N970" s="6" t="str">
        <f>HYPERLINK("C:\Users\alexa\YandexDisk\Книги\Веб-разработка\React\react-course-ru-v2.pdf","react-course-ru-v2.pdf")</f>
        <v>react-course-ru-v2.pdf</v>
      </c>
      <c r="O970" s="3" t="s">
        <v>3932</v>
      </c>
    </row>
    <row r="971" spans="1:15" ht="151.80000000000001" x14ac:dyDescent="0.3">
      <c r="A971" s="4">
        <v>970</v>
      </c>
      <c r="B971" s="5" t="s">
        <v>3914</v>
      </c>
      <c r="C971" s="5" t="s">
        <v>3915</v>
      </c>
      <c r="D971" s="5" t="s">
        <v>77</v>
      </c>
      <c r="E971" s="5" t="s">
        <v>205</v>
      </c>
      <c r="F971" s="5" t="s">
        <v>3903</v>
      </c>
      <c r="G971" s="5" t="s">
        <v>3418</v>
      </c>
      <c r="H971" s="5" t="s">
        <v>3904</v>
      </c>
      <c r="I971" s="5" t="s">
        <v>20</v>
      </c>
      <c r="J971" s="5">
        <v>22.78</v>
      </c>
      <c r="K971" s="5" t="s">
        <v>21</v>
      </c>
      <c r="L971" s="5" t="s">
        <v>3933</v>
      </c>
      <c r="M971" s="5" t="s">
        <v>3906</v>
      </c>
      <c r="N971" s="7" t="str">
        <f>HYPERLINK("C:\Users\alexa\YandexDisk\Книги\Веб-разработка\React\React.js Projects 2019.pdf","React.js Projects 2019.pdf")</f>
        <v>React.js Projects 2019.pdf</v>
      </c>
      <c r="O971" s="5" t="s">
        <v>3934</v>
      </c>
    </row>
    <row r="972" spans="1:15" ht="138" x14ac:dyDescent="0.3">
      <c r="A972" s="2">
        <v>971</v>
      </c>
      <c r="B972" s="3" t="s">
        <v>3935</v>
      </c>
      <c r="C972" s="3" t="s">
        <v>3936</v>
      </c>
      <c r="D972" s="3" t="s">
        <v>335</v>
      </c>
      <c r="E972" s="3" t="s">
        <v>515</v>
      </c>
      <c r="F972" s="3" t="s">
        <v>3903</v>
      </c>
      <c r="G972" s="3" t="s">
        <v>3418</v>
      </c>
      <c r="H972" s="3" t="s">
        <v>3904</v>
      </c>
      <c r="I972" s="3" t="s">
        <v>20</v>
      </c>
      <c r="J972" s="3">
        <v>32.090000000000003</v>
      </c>
      <c r="K972" s="3" t="s">
        <v>21</v>
      </c>
      <c r="L972" s="3" t="s">
        <v>3937</v>
      </c>
      <c r="M972" s="3" t="s">
        <v>3906</v>
      </c>
      <c r="N972" s="6" t="str">
        <f>HYPERLINK("C:\Users\alexa\YandexDisk\Книги\Веб-разработка\React\React.pdf","React.pdf")</f>
        <v>React.pdf</v>
      </c>
      <c r="O972" s="3" t="s">
        <v>3938</v>
      </c>
    </row>
    <row r="973" spans="1:15" ht="179.4" x14ac:dyDescent="0.3">
      <c r="A973" s="4">
        <v>972</v>
      </c>
      <c r="B973" s="5" t="s">
        <v>3939</v>
      </c>
      <c r="C973" s="5" t="s">
        <v>3940</v>
      </c>
      <c r="D973" s="5" t="s">
        <v>77</v>
      </c>
      <c r="E973" s="5" t="s">
        <v>18</v>
      </c>
      <c r="F973" s="5" t="s">
        <v>3903</v>
      </c>
      <c r="G973" s="5" t="s">
        <v>3418</v>
      </c>
      <c r="H973" s="5" t="s">
        <v>3904</v>
      </c>
      <c r="I973" s="5" t="s">
        <v>20</v>
      </c>
      <c r="J973" s="5">
        <v>52.97</v>
      </c>
      <c r="K973" s="5" t="s">
        <v>21</v>
      </c>
      <c r="L973" s="5" t="s">
        <v>3941</v>
      </c>
      <c r="M973" s="5" t="s">
        <v>3906</v>
      </c>
      <c r="N973" s="7" t="str">
        <f>HYPERLINK("C:\Users\alexa\YandexDisk\Книги\Веб-разработка\React\React_v_deystvii_2019_Tomas.pdf","React_v_deystvii_2019_Tomas.pdf")</f>
        <v>React_v_deystvii_2019_Tomas.pdf</v>
      </c>
      <c r="O973" s="5" t="s">
        <v>3942</v>
      </c>
    </row>
    <row r="974" spans="1:15" ht="138" x14ac:dyDescent="0.3">
      <c r="A974" s="2">
        <v>973</v>
      </c>
      <c r="B974" s="3" t="s">
        <v>3943</v>
      </c>
      <c r="C974" s="3" t="s">
        <v>3944</v>
      </c>
      <c r="D974" s="3" t="s">
        <v>77</v>
      </c>
      <c r="E974" s="3" t="s">
        <v>3945</v>
      </c>
      <c r="F974" s="3" t="s">
        <v>3903</v>
      </c>
      <c r="G974" s="3" t="s">
        <v>3418</v>
      </c>
      <c r="H974" s="3" t="s">
        <v>3904</v>
      </c>
      <c r="I974" s="3" t="s">
        <v>20</v>
      </c>
      <c r="J974" s="3">
        <v>11.37</v>
      </c>
      <c r="K974" s="3" t="s">
        <v>21</v>
      </c>
      <c r="L974" s="3" t="s">
        <v>3946</v>
      </c>
      <c r="M974" s="3" t="s">
        <v>3906</v>
      </c>
      <c r="N974" s="6" t="str">
        <f>HYPERLINK("C:\Users\alexa\YandexDisk\Книги\Веб-разработка\React\Изучаем_React_Практическое_руководство_2019.pdf","Изучаем_React_Практическое_руководство_2019.pdf")</f>
        <v>Изучаем_React_Практическое_руководство_2019.pdf</v>
      </c>
      <c r="O974" s="3" t="s">
        <v>3947</v>
      </c>
    </row>
    <row r="975" spans="1:15" ht="151.80000000000001" x14ac:dyDescent="0.3">
      <c r="A975" s="4">
        <v>974</v>
      </c>
      <c r="B975" s="5" t="s">
        <v>3918</v>
      </c>
      <c r="C975" s="5" t="s">
        <v>3948</v>
      </c>
      <c r="D975" s="5" t="s">
        <v>77</v>
      </c>
      <c r="E975" s="5" t="s">
        <v>18</v>
      </c>
      <c r="F975" s="5" t="s">
        <v>3903</v>
      </c>
      <c r="G975" s="5" t="s">
        <v>3418</v>
      </c>
      <c r="H975" s="5" t="s">
        <v>3904</v>
      </c>
      <c r="I975" s="5" t="s">
        <v>20</v>
      </c>
      <c r="J975" s="5">
        <v>13.83</v>
      </c>
      <c r="K975" s="5" t="s">
        <v>21</v>
      </c>
      <c r="L975" s="5" t="s">
        <v>3949</v>
      </c>
      <c r="M975" s="5" t="s">
        <v>3906</v>
      </c>
      <c r="N975" s="7" t="str">
        <f>HYPERLINK("C:\Users\alexa\YandexDisk\Книги\Веб-разработка\React\Мардан_А_React_быстро_Библиотека.pdf","Мардан_А_React_быстро_Библиотека.pdf")</f>
        <v>Мардан_А_React_быстро_Библиотека.pdf</v>
      </c>
      <c r="O975" s="5" t="s">
        <v>3950</v>
      </c>
    </row>
    <row r="976" spans="1:15" ht="151.80000000000001" x14ac:dyDescent="0.3">
      <c r="A976" s="2">
        <v>975</v>
      </c>
      <c r="B976" s="3" t="s">
        <v>3951</v>
      </c>
      <c r="C976" s="3" t="s">
        <v>3952</v>
      </c>
      <c r="D976" s="3" t="s">
        <v>32</v>
      </c>
      <c r="E976" s="3" t="s">
        <v>296</v>
      </c>
      <c r="F976" s="3" t="s">
        <v>3903</v>
      </c>
      <c r="G976" s="3" t="s">
        <v>3418</v>
      </c>
      <c r="H976" s="3" t="s">
        <v>3904</v>
      </c>
      <c r="I976" s="3" t="s">
        <v>20</v>
      </c>
      <c r="J976" s="3">
        <v>0.96</v>
      </c>
      <c r="K976" s="3" t="s">
        <v>21</v>
      </c>
      <c r="L976" s="3" t="s">
        <v>3953</v>
      </c>
      <c r="M976" s="3" t="s">
        <v>3906</v>
      </c>
      <c r="N976" s="6" t="str">
        <f>HYPERLINK("C:\Users\alexa\YandexDisk\Книги\Веб-разработка\React\Путь к изучению React.pdf","Путь к изучению React.pdf")</f>
        <v>Путь к изучению React.pdf</v>
      </c>
      <c r="O976" s="3" t="s">
        <v>3954</v>
      </c>
    </row>
    <row r="977" spans="1:15" ht="165.6" x14ac:dyDescent="0.3">
      <c r="A977" s="4">
        <v>976</v>
      </c>
      <c r="B977" s="5" t="s">
        <v>3955</v>
      </c>
      <c r="C977" s="5" t="s">
        <v>3461</v>
      </c>
      <c r="D977" s="5" t="s">
        <v>27</v>
      </c>
      <c r="E977" s="5" t="s">
        <v>3956</v>
      </c>
      <c r="F977" s="5" t="s">
        <v>3903</v>
      </c>
      <c r="G977" s="5" t="s">
        <v>3418</v>
      </c>
      <c r="H977" s="5" t="s">
        <v>3904</v>
      </c>
      <c r="I977" s="5" t="s">
        <v>20</v>
      </c>
      <c r="J977" s="5">
        <v>20.53</v>
      </c>
      <c r="K977" s="5" t="s">
        <v>21</v>
      </c>
      <c r="L977" s="5" t="s">
        <v>3957</v>
      </c>
      <c r="M977" s="5" t="s">
        <v>3906</v>
      </c>
      <c r="N977" s="7" t="str">
        <f>HYPERLINK("C:\Users\alexa\YandexDisk\Книги\Веб-разработка\React\Разработка веб-приложения GrapphQL React Node js Neo4j.pdf","Разработка веб-приложения GrapphQL React Node js Neo4j.pdf")</f>
        <v>Разработка веб-приложения GrapphQL React Node js Neo4j.pdf</v>
      </c>
      <c r="O977" s="5" t="s">
        <v>3958</v>
      </c>
    </row>
    <row r="978" spans="1:15" ht="193.2" x14ac:dyDescent="0.3">
      <c r="A978" s="2">
        <v>977</v>
      </c>
      <c r="B978" s="3" t="s">
        <v>3959</v>
      </c>
      <c r="C978" s="3" t="s">
        <v>3960</v>
      </c>
      <c r="D978" s="3" t="s">
        <v>50</v>
      </c>
      <c r="E978" s="3" t="s">
        <v>18</v>
      </c>
      <c r="F978" s="3" t="s">
        <v>3903</v>
      </c>
      <c r="G978" s="3" t="s">
        <v>3418</v>
      </c>
      <c r="H978" s="3" t="s">
        <v>3904</v>
      </c>
      <c r="I978" s="3" t="s">
        <v>20</v>
      </c>
      <c r="J978" s="3">
        <v>6.53</v>
      </c>
      <c r="K978" s="3" t="s">
        <v>21</v>
      </c>
      <c r="L978" s="3" t="s">
        <v>3961</v>
      </c>
      <c r="M978" s="3" t="s">
        <v>3906</v>
      </c>
      <c r="N978" s="6" t="str">
        <f>HYPERLINK("C:\Users\alexa\YandexDisk\Книги\Веб-разработка\React\Стоян Стефанов React-js Быстрый стоарт- 2017.pdf","Стоян Стефанов React-js Быстрый стоарт- 2017.pdf")</f>
        <v>Стоян Стефанов React-js Быстрый стоарт- 2017.pdf</v>
      </c>
      <c r="O978" s="3" t="s">
        <v>3962</v>
      </c>
    </row>
    <row r="979" spans="1:15" ht="165.6" x14ac:dyDescent="0.3">
      <c r="A979" s="4">
        <v>978</v>
      </c>
      <c r="B979" s="5" t="s">
        <v>3963</v>
      </c>
      <c r="C979" s="5" t="s">
        <v>3964</v>
      </c>
      <c r="D979" s="5"/>
      <c r="E979" s="5" t="s">
        <v>3965</v>
      </c>
      <c r="F979" s="5" t="s">
        <v>3966</v>
      </c>
      <c r="G979" s="5" t="s">
        <v>3418</v>
      </c>
      <c r="H979" s="5" t="s">
        <v>3967</v>
      </c>
      <c r="I979" s="5" t="s">
        <v>280</v>
      </c>
      <c r="J979" s="5">
        <v>4.37</v>
      </c>
      <c r="K979" s="5" t="s">
        <v>21</v>
      </c>
      <c r="L979" s="5" t="s">
        <v>3968</v>
      </c>
      <c r="M979" s="5" t="s">
        <v>3969</v>
      </c>
      <c r="N979" s="7" t="str">
        <f>HYPERLINK("C:\Users\alexa\YandexDisk\Книги\Веб-разработка\Vue\Building Vue.js Applications with GraphQL.epub","Building Vue.js Applications with GraphQL.epub")</f>
        <v>Building Vue.js Applications with GraphQL.epub</v>
      </c>
      <c r="O979" s="5" t="s">
        <v>3970</v>
      </c>
    </row>
    <row r="980" spans="1:15" ht="207" x14ac:dyDescent="0.3">
      <c r="A980" s="2">
        <v>979</v>
      </c>
      <c r="B980" s="3" t="s">
        <v>3971</v>
      </c>
      <c r="C980" s="3" t="s">
        <v>3972</v>
      </c>
      <c r="D980" s="3" t="s">
        <v>27</v>
      </c>
      <c r="E980" s="3" t="s">
        <v>205</v>
      </c>
      <c r="F980" s="3" t="s">
        <v>3966</v>
      </c>
      <c r="G980" s="3" t="s">
        <v>3418</v>
      </c>
      <c r="H980" s="3" t="s">
        <v>3967</v>
      </c>
      <c r="I980" s="3" t="s">
        <v>20</v>
      </c>
      <c r="J980" s="3">
        <v>22.55</v>
      </c>
      <c r="K980" s="3" t="s">
        <v>21</v>
      </c>
      <c r="L980" s="3" t="s">
        <v>3973</v>
      </c>
      <c r="M980" s="3" t="s">
        <v>3969</v>
      </c>
      <c r="N980" s="6" t="str">
        <f>HYPERLINK("C:\Users\alexa\YandexDisk\Книги\Веб-разработка\Vue\Frontend Development Projects with Vue-js-3.pdf","Frontend Development Projects with Vue-js-3.pdf")</f>
        <v>Frontend Development Projects with Vue-js-3.pdf</v>
      </c>
      <c r="O980" s="3" t="s">
        <v>3974</v>
      </c>
    </row>
    <row r="981" spans="1:15" ht="179.4" x14ac:dyDescent="0.3">
      <c r="A981" s="4">
        <v>980</v>
      </c>
      <c r="B981" s="5" t="s">
        <v>3975</v>
      </c>
      <c r="C981" s="5" t="s">
        <v>3976</v>
      </c>
      <c r="D981" s="5" t="s">
        <v>32</v>
      </c>
      <c r="E981" s="5" t="s">
        <v>3977</v>
      </c>
      <c r="F981" s="5" t="s">
        <v>3966</v>
      </c>
      <c r="G981" s="5" t="s">
        <v>3418</v>
      </c>
      <c r="H981" s="5" t="s">
        <v>3967</v>
      </c>
      <c r="I981" s="5" t="s">
        <v>20</v>
      </c>
      <c r="J981" s="5">
        <v>18.440000000000001</v>
      </c>
      <c r="K981" s="5" t="s">
        <v>21</v>
      </c>
      <c r="L981" s="5" t="s">
        <v>3978</v>
      </c>
      <c r="M981" s="5" t="s">
        <v>3969</v>
      </c>
      <c r="N981" s="7" t="str">
        <f>HYPERLINK("C:\Users\alexa\YandexDisk\Книги\Веб-разработка\Vue\Fullstack Vue (Hassan Djirdeh).pdf","Fullstack Vue (Hassan Djirdeh).pdf")</f>
        <v>Fullstack Vue (Hassan Djirdeh).pdf</v>
      </c>
      <c r="O981" s="5" t="s">
        <v>3979</v>
      </c>
    </row>
    <row r="982" spans="1:15" ht="151.80000000000001" x14ac:dyDescent="0.3">
      <c r="A982" s="2">
        <v>981</v>
      </c>
      <c r="B982" s="3" t="s">
        <v>3980</v>
      </c>
      <c r="C982" s="3" t="s">
        <v>3981</v>
      </c>
      <c r="D982" s="3" t="s">
        <v>77</v>
      </c>
      <c r="E982" s="3" t="s">
        <v>18</v>
      </c>
      <c r="F982" s="3" t="s">
        <v>3966</v>
      </c>
      <c r="G982" s="3" t="s">
        <v>3418</v>
      </c>
      <c r="H982" s="3" t="s">
        <v>3967</v>
      </c>
      <c r="I982" s="3" t="s">
        <v>20</v>
      </c>
      <c r="J982" s="3">
        <v>42.97</v>
      </c>
      <c r="K982" s="3" t="s">
        <v>21</v>
      </c>
      <c r="L982" s="3" t="s">
        <v>3982</v>
      </c>
      <c r="M982" s="3" t="s">
        <v>3969</v>
      </c>
      <c r="N982" s="6" t="str">
        <f>HYPERLINK("C:\Users\alexa\YandexDisk\Книги\Веб-разработка\Vue\Vue.js в действии.pdf","Vue.js в действии.pdf")</f>
        <v>Vue.js в действии.pdf</v>
      </c>
      <c r="O982" s="3" t="s">
        <v>3983</v>
      </c>
    </row>
    <row r="983" spans="1:15" ht="110.4" x14ac:dyDescent="0.3">
      <c r="A983" s="4">
        <v>982</v>
      </c>
      <c r="B983" s="5" t="s">
        <v>3984</v>
      </c>
      <c r="C983" s="5"/>
      <c r="D983" s="5"/>
      <c r="E983" s="5"/>
      <c r="F983" s="5" t="s">
        <v>3985</v>
      </c>
      <c r="G983" s="5" t="s">
        <v>3986</v>
      </c>
      <c r="H983" s="5" t="s">
        <v>3987</v>
      </c>
      <c r="I983" s="5" t="s">
        <v>20</v>
      </c>
      <c r="J983" s="5">
        <v>104.28</v>
      </c>
      <c r="K983" s="5" t="s">
        <v>21</v>
      </c>
      <c r="L983" s="5" t="s">
        <v>3988</v>
      </c>
      <c r="M983" s="5" t="s">
        <v>3989</v>
      </c>
      <c r="N983" s="7" t="str">
        <f>HYPERLINK("C:\Users\alexa\YandexDisk\Книги\Встроенные системы\Arduino\!Управление модулем ARDUINO по Wi-Fi.pdf","!Управление модулем ARDUINO по Wi-Fi.pdf")</f>
        <v>!Управление модулем ARDUINO по Wi-Fi.pdf</v>
      </c>
      <c r="O983" s="5" t="s">
        <v>3990</v>
      </c>
    </row>
    <row r="984" spans="1:15" ht="179.4" x14ac:dyDescent="0.3">
      <c r="A984" s="2">
        <v>983</v>
      </c>
      <c r="B984" s="3" t="s">
        <v>3991</v>
      </c>
      <c r="C984" s="3" t="s">
        <v>3992</v>
      </c>
      <c r="D984" s="3" t="s">
        <v>59</v>
      </c>
      <c r="E984" s="3" t="s">
        <v>102</v>
      </c>
      <c r="F984" s="3" t="s">
        <v>3985</v>
      </c>
      <c r="G984" s="3" t="s">
        <v>3986</v>
      </c>
      <c r="H984" s="3" t="s">
        <v>3987</v>
      </c>
      <c r="I984" s="3" t="s">
        <v>20</v>
      </c>
      <c r="J984" s="3">
        <v>47.23</v>
      </c>
      <c r="K984" s="3" t="s">
        <v>21</v>
      </c>
      <c r="L984" s="3" t="s">
        <v>3993</v>
      </c>
      <c r="M984" s="3" t="s">
        <v>3989</v>
      </c>
      <c r="N984" s="6" t="str">
        <f>HYPERLINK("C:\Users\alexa\YandexDisk\Книги\Встроенные системы\Arduino\77 проектов для Arduino.pdf","77 проектов для Arduino.pdf")</f>
        <v>77 проектов для Arduino.pdf</v>
      </c>
      <c r="O984" s="3" t="s">
        <v>3994</v>
      </c>
    </row>
    <row r="985" spans="1:15" ht="193.2" x14ac:dyDescent="0.3">
      <c r="A985" s="4">
        <v>984</v>
      </c>
      <c r="B985" s="5" t="s">
        <v>3995</v>
      </c>
      <c r="C985" s="5" t="s">
        <v>3996</v>
      </c>
      <c r="D985" s="5"/>
      <c r="E985" s="5" t="s">
        <v>3997</v>
      </c>
      <c r="F985" s="5" t="s">
        <v>3985</v>
      </c>
      <c r="G985" s="5" t="s">
        <v>3986</v>
      </c>
      <c r="H985" s="5" t="s">
        <v>3987</v>
      </c>
      <c r="I985" s="5" t="s">
        <v>20</v>
      </c>
      <c r="J985" s="5">
        <v>14.81</v>
      </c>
      <c r="K985" s="5" t="s">
        <v>21</v>
      </c>
      <c r="L985" s="5" t="s">
        <v>3998</v>
      </c>
      <c r="M985" s="5" t="s">
        <v>3989</v>
      </c>
      <c r="N985" s="7" t="str">
        <f>HYPERLINK("C:\Users\alexa\YandexDisk\Книги\Встроенные системы\Arduino\ARDUINO Быстрый старт.pdf","ARDUINO Быстрый старт.pdf")</f>
        <v>ARDUINO Быстрый старт.pdf</v>
      </c>
      <c r="O985" s="5" t="s">
        <v>3999</v>
      </c>
    </row>
    <row r="986" spans="1:15" ht="151.80000000000001" x14ac:dyDescent="0.3">
      <c r="A986" s="2">
        <v>985</v>
      </c>
      <c r="B986" s="3" t="s">
        <v>4000</v>
      </c>
      <c r="C986" s="3" t="s">
        <v>4001</v>
      </c>
      <c r="D986" s="3" t="s">
        <v>77</v>
      </c>
      <c r="E986" s="3" t="s">
        <v>102</v>
      </c>
      <c r="F986" s="3" t="s">
        <v>3985</v>
      </c>
      <c r="G986" s="3" t="s">
        <v>3986</v>
      </c>
      <c r="H986" s="3" t="s">
        <v>3987</v>
      </c>
      <c r="I986" s="3" t="s">
        <v>20</v>
      </c>
      <c r="J986" s="3">
        <v>22.94</v>
      </c>
      <c r="K986" s="3" t="s">
        <v>21</v>
      </c>
      <c r="L986" s="3" t="s">
        <v>4002</v>
      </c>
      <c r="M986" s="3" t="s">
        <v>3989</v>
      </c>
      <c r="N986" s="6" t="str">
        <f>HYPERLINK("C:\Users\alexa\YandexDisk\Книги\Встроенные системы\Arduino\Arduino для детей.pdf","Arduino для детей.pdf")</f>
        <v>Arduino для детей.pdf</v>
      </c>
      <c r="O986" s="3" t="s">
        <v>4003</v>
      </c>
    </row>
    <row r="987" spans="1:15" ht="151.80000000000001" x14ac:dyDescent="0.3">
      <c r="A987" s="4">
        <v>986</v>
      </c>
      <c r="B987" s="5" t="s">
        <v>4004</v>
      </c>
      <c r="C987" s="5"/>
      <c r="D987" s="5"/>
      <c r="E987" s="5"/>
      <c r="F987" s="5" t="s">
        <v>3985</v>
      </c>
      <c r="G987" s="5" t="s">
        <v>3986</v>
      </c>
      <c r="H987" s="5" t="s">
        <v>3987</v>
      </c>
      <c r="I987" s="5" t="s">
        <v>20</v>
      </c>
      <c r="J987" s="5">
        <v>44.58</v>
      </c>
      <c r="K987" s="5" t="s">
        <v>21</v>
      </c>
      <c r="L987" s="5" t="s">
        <v>4005</v>
      </c>
      <c r="M987" s="5" t="s">
        <v>3989</v>
      </c>
      <c r="N987" s="7" t="str">
        <f>HYPERLINK("C:\Users\alexa\YandexDisk\Книги\Встроенные системы\Arduino\Arduino для изобретателей.pdf","Arduino для изобретателей.pdf")</f>
        <v>Arduino для изобретателей.pdf</v>
      </c>
      <c r="O987" s="5" t="s">
        <v>4006</v>
      </c>
    </row>
    <row r="988" spans="1:15" ht="165.6" x14ac:dyDescent="0.3">
      <c r="A988" s="2">
        <v>987</v>
      </c>
      <c r="B988" s="3" t="s">
        <v>4007</v>
      </c>
      <c r="C988" s="3" t="s">
        <v>4008</v>
      </c>
      <c r="D988" s="3" t="s">
        <v>50</v>
      </c>
      <c r="E988" s="3" t="s">
        <v>1023</v>
      </c>
      <c r="F988" s="3" t="s">
        <v>3985</v>
      </c>
      <c r="G988" s="3" t="s">
        <v>3986</v>
      </c>
      <c r="H988" s="3" t="s">
        <v>3987</v>
      </c>
      <c r="I988" s="3" t="s">
        <v>20</v>
      </c>
      <c r="J988" s="3">
        <v>8.76</v>
      </c>
      <c r="K988" s="3" t="s">
        <v>21</v>
      </c>
      <c r="L988" s="3" t="s">
        <v>4009</v>
      </c>
      <c r="M988" s="3" t="s">
        <v>3989</v>
      </c>
      <c r="N988" s="6" t="str">
        <f>HYPERLINK("C:\Users\alexa\YandexDisk\Книги\Встроенные системы\Arduino\Arduino для начинающих  2017.pdf","Arduino для начинающих  2017.pdf")</f>
        <v>Arduino для начинающих  2017.pdf</v>
      </c>
      <c r="O988" s="3" t="s">
        <v>4010</v>
      </c>
    </row>
    <row r="989" spans="1:15" ht="138" x14ac:dyDescent="0.3">
      <c r="A989" s="4">
        <v>988</v>
      </c>
      <c r="B989" s="5" t="s">
        <v>4011</v>
      </c>
      <c r="C989" s="5" t="s">
        <v>4012</v>
      </c>
      <c r="D989" s="5"/>
      <c r="E989" s="5"/>
      <c r="F989" s="5" t="s">
        <v>3985</v>
      </c>
      <c r="G989" s="5" t="s">
        <v>3986</v>
      </c>
      <c r="H989" s="5" t="s">
        <v>3987</v>
      </c>
      <c r="I989" s="5" t="s">
        <v>20</v>
      </c>
      <c r="J989" s="5">
        <v>10.210000000000001</v>
      </c>
      <c r="K989" s="5" t="s">
        <v>21</v>
      </c>
      <c r="L989" s="5" t="s">
        <v>4013</v>
      </c>
      <c r="M989" s="5" t="s">
        <v>3989</v>
      </c>
      <c r="N989" s="7" t="str">
        <f>HYPERLINK("C:\Users\alexa\YandexDisk\Книги\Встроенные системы\Arduino\Arduino для секретных агентов.pdf","Arduino для секретных агентов.pdf")</f>
        <v>Arduino для секретных агентов.pdf</v>
      </c>
      <c r="O989" s="5" t="s">
        <v>4014</v>
      </c>
    </row>
    <row r="990" spans="1:15" ht="193.2" x14ac:dyDescent="0.3">
      <c r="A990" s="2">
        <v>989</v>
      </c>
      <c r="B990" s="3" t="s">
        <v>4015</v>
      </c>
      <c r="C990" s="3"/>
      <c r="D990" s="3" t="s">
        <v>50</v>
      </c>
      <c r="E990" s="3"/>
      <c r="F990" s="3" t="s">
        <v>3985</v>
      </c>
      <c r="G990" s="3" t="s">
        <v>3986</v>
      </c>
      <c r="H990" s="3" t="s">
        <v>3987</v>
      </c>
      <c r="I990" s="3" t="s">
        <v>20</v>
      </c>
      <c r="J990" s="3">
        <v>12.23</v>
      </c>
      <c r="K990" s="3" t="s">
        <v>21</v>
      </c>
      <c r="L990" s="3" t="s">
        <v>4016</v>
      </c>
      <c r="M990" s="3" t="s">
        <v>3989</v>
      </c>
      <c r="N990" s="6" t="str">
        <f>HYPERLINK("C:\Users\alexa\YandexDisk\Книги\Встроенные системы\Arduino\Arduino на пальцах.pdf","Arduino на пальцах.pdf")</f>
        <v>Arduino на пальцах.pdf</v>
      </c>
      <c r="O990" s="3" t="s">
        <v>4017</v>
      </c>
    </row>
    <row r="991" spans="1:15" ht="220.8" x14ac:dyDescent="0.3">
      <c r="A991" s="4">
        <v>990</v>
      </c>
      <c r="B991" s="5" t="s">
        <v>4018</v>
      </c>
      <c r="C991" s="5" t="s">
        <v>4019</v>
      </c>
      <c r="D991" s="5" t="s">
        <v>77</v>
      </c>
      <c r="E991" s="5" t="s">
        <v>402</v>
      </c>
      <c r="F991" s="5" t="s">
        <v>3985</v>
      </c>
      <c r="G991" s="5" t="s">
        <v>3986</v>
      </c>
      <c r="H991" s="5" t="s">
        <v>3987</v>
      </c>
      <c r="I991" s="5" t="s">
        <v>20</v>
      </c>
      <c r="J991" s="5">
        <v>13.26</v>
      </c>
      <c r="K991" s="5" t="s">
        <v>21</v>
      </c>
      <c r="L991" s="5" t="s">
        <v>4020</v>
      </c>
      <c r="M991" s="5" t="s">
        <v>3989</v>
      </c>
      <c r="N991" s="7" t="str">
        <f>HYPERLINK("C:\Users\alexa\YandexDisk\Книги\Встроенные системы\Arduino\Arduino,_датчики_и_сети_для_связи_устройств.pdf","Arduino,_датчики_и_сети_для_связи_устройств.pdf")</f>
        <v>Arduino,_датчики_и_сети_для_связи_устройств.pdf</v>
      </c>
      <c r="O991" s="5" t="s">
        <v>4021</v>
      </c>
    </row>
    <row r="992" spans="1:15" ht="165.6" x14ac:dyDescent="0.3">
      <c r="A992" s="2">
        <v>991</v>
      </c>
      <c r="B992" s="3" t="s">
        <v>4022</v>
      </c>
      <c r="C992" s="3" t="s">
        <v>4023</v>
      </c>
      <c r="D992" s="3" t="s">
        <v>17</v>
      </c>
      <c r="E992" s="3" t="s">
        <v>402</v>
      </c>
      <c r="F992" s="3" t="s">
        <v>3985</v>
      </c>
      <c r="G992" s="3" t="s">
        <v>3986</v>
      </c>
      <c r="H992" s="3" t="s">
        <v>3987</v>
      </c>
      <c r="I992" s="3" t="s">
        <v>20</v>
      </c>
      <c r="J992" s="3">
        <v>74.040000000000006</v>
      </c>
      <c r="K992" s="3" t="s">
        <v>21</v>
      </c>
      <c r="L992" s="3" t="s">
        <v>4024</v>
      </c>
      <c r="M992" s="3" t="s">
        <v>3989</v>
      </c>
      <c r="N992" s="6" t="str">
        <f>HYPERLINK("C:\Users\alexa\YandexDisk\Книги\Встроенные системы\Arduino\Arduino. Большая книга рецептов.pdf","Arduino. Большая книга рецептов.pdf")</f>
        <v>Arduino. Большая книга рецептов.pdf</v>
      </c>
      <c r="O992" s="3" t="s">
        <v>4025</v>
      </c>
    </row>
    <row r="993" spans="1:15" ht="193.2" x14ac:dyDescent="0.3">
      <c r="A993" s="4">
        <v>992</v>
      </c>
      <c r="B993" s="5" t="s">
        <v>4026</v>
      </c>
      <c r="C993" s="5" t="s">
        <v>4027</v>
      </c>
      <c r="D993" s="5" t="s">
        <v>109</v>
      </c>
      <c r="E993" s="5" t="s">
        <v>102</v>
      </c>
      <c r="F993" s="5" t="s">
        <v>3985</v>
      </c>
      <c r="G993" s="5" t="s">
        <v>3986</v>
      </c>
      <c r="H993" s="5" t="s">
        <v>3987</v>
      </c>
      <c r="I993" s="5" t="s">
        <v>20</v>
      </c>
      <c r="J993" s="5">
        <v>9.23</v>
      </c>
      <c r="K993" s="5" t="s">
        <v>21</v>
      </c>
      <c r="L993" s="5" t="s">
        <v>4028</v>
      </c>
      <c r="M993" s="5" t="s">
        <v>3989</v>
      </c>
      <c r="N993" s="7" t="str">
        <f>HYPERLINK("C:\Users\alexa\YandexDisk\Книги\Встроенные системы\Arduino\Arduino. Искусственный интеллект.pdf","Arduino. Искусственный интеллект.pdf")</f>
        <v>Arduino. Искусственный интеллект.pdf</v>
      </c>
      <c r="O993" s="5" t="s">
        <v>4029</v>
      </c>
    </row>
    <row r="994" spans="1:15" ht="138" x14ac:dyDescent="0.3">
      <c r="A994" s="2">
        <v>993</v>
      </c>
      <c r="B994" s="3" t="s">
        <v>4030</v>
      </c>
      <c r="C994" s="3"/>
      <c r="D994" s="3"/>
      <c r="E994" s="3"/>
      <c r="F994" s="3" t="s">
        <v>3985</v>
      </c>
      <c r="G994" s="3" t="s">
        <v>3986</v>
      </c>
      <c r="H994" s="3" t="s">
        <v>3987</v>
      </c>
      <c r="I994" s="3" t="s">
        <v>721</v>
      </c>
      <c r="J994" s="3">
        <v>13.27</v>
      </c>
      <c r="K994" s="3" t="s">
        <v>21</v>
      </c>
      <c r="L994" s="3" t="s">
        <v>4031</v>
      </c>
      <c r="M994" s="3" t="s">
        <v>3989</v>
      </c>
      <c r="N994" s="6" t="str">
        <f>HYPERLINK("C:\Users\alexa\YandexDisk\Книги\Встроенные системы\Arduino\Arduino_От_азов_программирования_до_создания_практических_устройств.djvu","Arduino_От_азов_программирования_до_создания_практических_устройств.djvu")</f>
        <v>Arduino_От_азов_программирования_до_создания_практических_устройств.djvu</v>
      </c>
      <c r="O994" s="3" t="s">
        <v>4032</v>
      </c>
    </row>
    <row r="995" spans="1:15" ht="193.2" x14ac:dyDescent="0.3">
      <c r="A995" s="4">
        <v>994</v>
      </c>
      <c r="B995" s="5" t="s">
        <v>4033</v>
      </c>
      <c r="C995" s="5" t="s">
        <v>4034</v>
      </c>
      <c r="D995" s="5" t="s">
        <v>59</v>
      </c>
      <c r="E995" s="5" t="s">
        <v>726</v>
      </c>
      <c r="F995" s="5" t="s">
        <v>3985</v>
      </c>
      <c r="G995" s="5" t="s">
        <v>3986</v>
      </c>
      <c r="H995" s="5" t="s">
        <v>3987</v>
      </c>
      <c r="I995" s="5" t="s">
        <v>20</v>
      </c>
      <c r="J995" s="5">
        <v>15.6</v>
      </c>
      <c r="K995" s="5" t="s">
        <v>21</v>
      </c>
      <c r="L995" s="5" t="s">
        <v>4035</v>
      </c>
      <c r="M995" s="5" t="s">
        <v>3989</v>
      </c>
      <c r="N995" s="7" t="str">
        <f>HYPERLINK("C:\Users\alexa\YandexDisk\Книги\Встроенные системы\Arduino\Arduino_Полный_учебный_курс_От_игры_к_инженерному_проекту.pdf","Arduino_Полный_учебный_курс_От_игры_к_инженерному_проекту.pdf")</f>
        <v>Arduino_Полный_учебный_курс_От_игры_к_инженерному_проекту.pdf</v>
      </c>
      <c r="O995" s="5" t="s">
        <v>4036</v>
      </c>
    </row>
    <row r="996" spans="1:15" ht="151.80000000000001" x14ac:dyDescent="0.3">
      <c r="A996" s="2">
        <v>995</v>
      </c>
      <c r="B996" s="3" t="s">
        <v>4037</v>
      </c>
      <c r="C996" s="3" t="s">
        <v>4038</v>
      </c>
      <c r="D996" s="3"/>
      <c r="E996" s="3"/>
      <c r="F996" s="3" t="s">
        <v>3985</v>
      </c>
      <c r="G996" s="3" t="s">
        <v>3986</v>
      </c>
      <c r="H996" s="3" t="s">
        <v>3987</v>
      </c>
      <c r="I996" s="3" t="s">
        <v>20</v>
      </c>
      <c r="J996" s="3">
        <v>3.82</v>
      </c>
      <c r="K996" s="3" t="s">
        <v>21</v>
      </c>
      <c r="L996" s="3" t="s">
        <v>4039</v>
      </c>
      <c r="M996" s="3" t="s">
        <v>3989</v>
      </c>
      <c r="N996" s="6" t="str">
        <f>HYPERLINK("C:\Users\alexa\YandexDisk\Книги\Встроенные системы\Arduino\Best_Arduino_Automation_Project.pdf","Best_Arduino_Automation_Project.pdf")</f>
        <v>Best_Arduino_Automation_Project.pdf</v>
      </c>
      <c r="O996" s="3" t="s">
        <v>4040</v>
      </c>
    </row>
    <row r="997" spans="1:15" ht="179.4" x14ac:dyDescent="0.3">
      <c r="A997" s="4">
        <v>996</v>
      </c>
      <c r="B997" s="5" t="s">
        <v>4041</v>
      </c>
      <c r="C997" s="5" t="s">
        <v>3996</v>
      </c>
      <c r="D997" s="5" t="s">
        <v>1022</v>
      </c>
      <c r="E997" s="5" t="s">
        <v>3997</v>
      </c>
      <c r="F997" s="5" t="s">
        <v>3985</v>
      </c>
      <c r="G997" s="5" t="s">
        <v>3986</v>
      </c>
      <c r="H997" s="5" t="s">
        <v>3987</v>
      </c>
      <c r="I997" s="5" t="s">
        <v>20</v>
      </c>
      <c r="J997" s="5">
        <v>14.81</v>
      </c>
      <c r="K997" s="5" t="s">
        <v>21</v>
      </c>
      <c r="L997" s="5" t="s">
        <v>4042</v>
      </c>
      <c r="M997" s="5" t="s">
        <v>3989</v>
      </c>
      <c r="N997" s="7" t="str">
        <f>HYPERLINK("C:\Users\alexa\YandexDisk\Книги\Встроенные системы\Arduino\Bystry_start_Pervye_shagi_po_osvoeniyu_Arduino_2015.pdf","Bystry_start_Pervye_shagi_po_osvoeniyu_Arduino_2015.pdf")</f>
        <v>Bystry_start_Pervye_shagi_po_osvoeniyu_Arduino_2015.pdf</v>
      </c>
      <c r="O997" s="5" t="s">
        <v>4043</v>
      </c>
    </row>
    <row r="998" spans="1:15" ht="193.2" x14ac:dyDescent="0.3">
      <c r="A998" s="2">
        <v>997</v>
      </c>
      <c r="B998" s="3" t="s">
        <v>4044</v>
      </c>
      <c r="C998" s="3" t="s">
        <v>4045</v>
      </c>
      <c r="D998" s="3" t="s">
        <v>71</v>
      </c>
      <c r="E998" s="3" t="s">
        <v>4046</v>
      </c>
      <c r="F998" s="3" t="s">
        <v>3985</v>
      </c>
      <c r="G998" s="3" t="s">
        <v>3986</v>
      </c>
      <c r="H998" s="3" t="s">
        <v>3987</v>
      </c>
      <c r="I998" s="3" t="s">
        <v>20</v>
      </c>
      <c r="J998" s="3">
        <v>28.4</v>
      </c>
      <c r="K998" s="3" t="s">
        <v>21</v>
      </c>
      <c r="L998" s="3" t="s">
        <v>4047</v>
      </c>
      <c r="M998" s="3" t="s">
        <v>3989</v>
      </c>
      <c r="N998" s="6" t="str">
        <f>HYPERLINK("C:\Users\alexa\YandexDisk\Книги\Встроенные системы\Arduino\Getting_Started_With_Arduino_The_Open_Source_Electronics_Prototy.pdf","Getting_Started_With_Arduino_The_Open_Source_Electronics_Prototy.pdf")</f>
        <v>Getting_Started_With_Arduino_The_Open_Source_Electronics_Prototy.pdf</v>
      </c>
      <c r="O998" s="3" t="s">
        <v>4048</v>
      </c>
    </row>
    <row r="999" spans="1:15" ht="179.4" x14ac:dyDescent="0.3">
      <c r="A999" s="4">
        <v>998</v>
      </c>
      <c r="B999" s="5" t="s">
        <v>4049</v>
      </c>
      <c r="C999" s="5" t="s">
        <v>4050</v>
      </c>
      <c r="D999" s="5" t="s">
        <v>50</v>
      </c>
      <c r="E999" s="5" t="s">
        <v>4051</v>
      </c>
      <c r="F999" s="5" t="s">
        <v>3985</v>
      </c>
      <c r="G999" s="5" t="s">
        <v>3986</v>
      </c>
      <c r="H999" s="5" t="s">
        <v>3987</v>
      </c>
      <c r="I999" s="5" t="s">
        <v>20</v>
      </c>
      <c r="J999" s="5">
        <v>14.98</v>
      </c>
      <c r="K999" s="5" t="s">
        <v>21</v>
      </c>
      <c r="L999" s="5" t="s">
        <v>4052</v>
      </c>
      <c r="M999" s="5" t="s">
        <v>3989</v>
      </c>
      <c r="N999" s="7" t="str">
        <f>HYPERLINK("C:\Users\alexa\YandexDisk\Книги\Встроенные системы\Arduino\Meykerstvo_Arduino_i_Raspberry_Pi_2017.pdf","Meykerstvo_Arduino_i_Raspberry_Pi_2017.pdf")</f>
        <v>Meykerstvo_Arduino_i_Raspberry_Pi_2017.pdf</v>
      </c>
      <c r="O999" s="5" t="s">
        <v>4053</v>
      </c>
    </row>
    <row r="1000" spans="1:15" ht="151.80000000000001" x14ac:dyDescent="0.3">
      <c r="A1000" s="2">
        <v>999</v>
      </c>
      <c r="B1000" s="3" t="s">
        <v>4054</v>
      </c>
      <c r="C1000" s="3"/>
      <c r="D1000" s="3"/>
      <c r="E1000" s="3" t="s">
        <v>4055</v>
      </c>
      <c r="F1000" s="3" t="s">
        <v>3985</v>
      </c>
      <c r="G1000" s="3" t="s">
        <v>3986</v>
      </c>
      <c r="H1000" s="3" t="s">
        <v>3987</v>
      </c>
      <c r="I1000" s="3" t="s">
        <v>20</v>
      </c>
      <c r="J1000" s="3">
        <v>9.66</v>
      </c>
      <c r="K1000" s="3" t="s">
        <v>21</v>
      </c>
      <c r="L1000" s="3" t="s">
        <v>4056</v>
      </c>
      <c r="M1000" s="3" t="s">
        <v>3989</v>
      </c>
      <c r="N1000" s="6" t="str">
        <f>HYPERLINK("C:\Users\alexa\YandexDisk\Книги\Встроенные системы\Arduino\Ардуино для чайников.pdf","Ардуино для чайников.pdf")</f>
        <v>Ардуино для чайников.pdf</v>
      </c>
      <c r="O1000" s="3" t="s">
        <v>4057</v>
      </c>
    </row>
    <row r="1001" spans="1:15" ht="207" x14ac:dyDescent="0.3">
      <c r="A1001" s="4">
        <v>1000</v>
      </c>
      <c r="B1001" s="5" t="s">
        <v>4058</v>
      </c>
      <c r="C1001" s="5" t="s">
        <v>3996</v>
      </c>
      <c r="D1001" s="5" t="s">
        <v>1022</v>
      </c>
      <c r="E1001" s="5" t="s">
        <v>3997</v>
      </c>
      <c r="F1001" s="5" t="s">
        <v>3985</v>
      </c>
      <c r="G1001" s="5" t="s">
        <v>3986</v>
      </c>
      <c r="H1001" s="5" t="s">
        <v>3987</v>
      </c>
      <c r="I1001" s="5" t="s">
        <v>20</v>
      </c>
      <c r="J1001" s="5">
        <v>14.81</v>
      </c>
      <c r="K1001" s="5" t="s">
        <v>21</v>
      </c>
      <c r="L1001" s="5" t="s">
        <v>4059</v>
      </c>
      <c r="M1001" s="5" t="s">
        <v>3989</v>
      </c>
      <c r="N1001" s="7" t="str">
        <f>HYPERLINK("C:\Users\alexa\YandexDisk\Книги\Встроенные системы\Arduino\Быстрый старт-первые шаги по изучению_Arduino_2015.pdf","Быстрый старт-первые шаги по изучению_Arduino_2015.pdf")</f>
        <v>Быстрый старт-первые шаги по изучению_Arduino_2015.pdf</v>
      </c>
      <c r="O1001" s="5" t="s">
        <v>4060</v>
      </c>
    </row>
    <row r="1002" spans="1:15" ht="151.80000000000001" x14ac:dyDescent="0.3">
      <c r="A1002" s="2">
        <v>1001</v>
      </c>
      <c r="B1002" s="3" t="s">
        <v>4061</v>
      </c>
      <c r="C1002" s="3" t="s">
        <v>4062</v>
      </c>
      <c r="D1002" s="3" t="s">
        <v>1022</v>
      </c>
      <c r="E1002" s="3"/>
      <c r="F1002" s="3" t="s">
        <v>3985</v>
      </c>
      <c r="G1002" s="3" t="s">
        <v>3986</v>
      </c>
      <c r="H1002" s="3" t="s">
        <v>3987</v>
      </c>
      <c r="I1002" s="3" t="s">
        <v>721</v>
      </c>
      <c r="J1002" s="3">
        <v>51.37</v>
      </c>
      <c r="K1002" s="3" t="s">
        <v>21</v>
      </c>
      <c r="L1002" s="3" t="s">
        <v>4063</v>
      </c>
      <c r="M1002" s="3" t="s">
        <v>3989</v>
      </c>
      <c r="N1002" s="6" t="str">
        <f>HYPERLINK("C:\Users\alexa\YandexDisk\Книги\Встроенные системы\Arduino\Джереми Блум Изучаем Arduino- инструменты и методы технического волшебства (2015).djvu","Джереми Блум Изучаем Arduino- инструменты и методы технического волшебства (2015).djvu")</f>
        <v>Джереми Блум Изучаем Arduino- инструменты и методы технического волшебства (2015).djvu</v>
      </c>
      <c r="O1002" s="3" t="s">
        <v>4064</v>
      </c>
    </row>
    <row r="1003" spans="1:15" ht="193.2" x14ac:dyDescent="0.3">
      <c r="A1003" s="4">
        <v>1002</v>
      </c>
      <c r="B1003" s="5" t="s">
        <v>4065</v>
      </c>
      <c r="C1003" s="5" t="s">
        <v>4066</v>
      </c>
      <c r="D1003" s="5"/>
      <c r="E1003" s="5"/>
      <c r="F1003" s="5" t="s">
        <v>3985</v>
      </c>
      <c r="G1003" s="5" t="s">
        <v>3986</v>
      </c>
      <c r="H1003" s="5" t="s">
        <v>3987</v>
      </c>
      <c r="I1003" s="5" t="s">
        <v>20</v>
      </c>
      <c r="J1003" s="5">
        <v>32.950000000000003</v>
      </c>
      <c r="K1003" s="5" t="s">
        <v>21</v>
      </c>
      <c r="L1003" s="5" t="s">
        <v>4067</v>
      </c>
      <c r="M1003" s="5" t="s">
        <v>3989</v>
      </c>
      <c r="N1003" s="7" t="str">
        <f>HYPERLINK("C:\Users\alexa\YandexDisk\Книги\Встроенные системы\Arduino\Измерительная лаборатория внутри Arduino.pdf","Измерительная лаборатория внутри Arduino.pdf")</f>
        <v>Измерительная лаборатория внутри Arduino.pdf</v>
      </c>
      <c r="O1003" s="5" t="s">
        <v>4068</v>
      </c>
    </row>
    <row r="1004" spans="1:15" ht="193.2" x14ac:dyDescent="0.3">
      <c r="A1004" s="2">
        <v>1003</v>
      </c>
      <c r="B1004" s="3" t="s">
        <v>4069</v>
      </c>
      <c r="C1004" s="3" t="s">
        <v>4070</v>
      </c>
      <c r="D1004" s="3" t="s">
        <v>109</v>
      </c>
      <c r="E1004" s="3" t="s">
        <v>102</v>
      </c>
      <c r="F1004" s="3" t="s">
        <v>3985</v>
      </c>
      <c r="G1004" s="3" t="s">
        <v>3986</v>
      </c>
      <c r="H1004" s="3" t="s">
        <v>3987</v>
      </c>
      <c r="I1004" s="3" t="s">
        <v>20</v>
      </c>
      <c r="J1004" s="3">
        <v>35.92</v>
      </c>
      <c r="K1004" s="3" t="s">
        <v>21</v>
      </c>
      <c r="L1004" s="3" t="s">
        <v>4071</v>
      </c>
      <c r="M1004" s="3" t="s">
        <v>3989</v>
      </c>
      <c r="N1004" s="6" t="str">
        <f>HYPERLINK("C:\Users\alexa\YandexDisk\Книги\Встроенные системы\Arduino\Изучаем Arduino UNO R4.pdf","Изучаем Arduino UNO R4.pdf")</f>
        <v>Изучаем Arduino UNO R4.pdf</v>
      </c>
      <c r="O1004" s="3" t="s">
        <v>4072</v>
      </c>
    </row>
    <row r="1005" spans="1:15" ht="220.8" x14ac:dyDescent="0.3">
      <c r="A1005" s="4">
        <v>1004</v>
      </c>
      <c r="B1005" s="5" t="s">
        <v>4073</v>
      </c>
      <c r="C1005" s="5" t="s">
        <v>4074</v>
      </c>
      <c r="D1005" s="5" t="s">
        <v>59</v>
      </c>
      <c r="E1005" s="5" t="s">
        <v>4075</v>
      </c>
      <c r="F1005" s="5" t="s">
        <v>3985</v>
      </c>
      <c r="G1005" s="5" t="s">
        <v>3986</v>
      </c>
      <c r="H1005" s="5" t="s">
        <v>3987</v>
      </c>
      <c r="I1005" s="5" t="s">
        <v>20</v>
      </c>
      <c r="J1005" s="5">
        <v>43.39</v>
      </c>
      <c r="K1005" s="5" t="s">
        <v>21</v>
      </c>
      <c r="L1005" s="5" t="s">
        <v>4076</v>
      </c>
      <c r="M1005" s="5" t="s">
        <v>3989</v>
      </c>
      <c r="N1005" s="7" t="str">
        <f>HYPERLINK("C:\Users\alexa\YandexDisk\Книги\Встроенные системы\Arduino\Изучаем Arduino.pdf","Изучаем Arduino.pdf")</f>
        <v>Изучаем Arduino.pdf</v>
      </c>
      <c r="O1005" s="5" t="s">
        <v>4077</v>
      </c>
    </row>
    <row r="1006" spans="1:15" ht="138" x14ac:dyDescent="0.3">
      <c r="A1006" s="2">
        <v>1005</v>
      </c>
      <c r="B1006" s="3" t="s">
        <v>4078</v>
      </c>
      <c r="C1006" s="3" t="s">
        <v>4079</v>
      </c>
      <c r="D1006" s="3" t="s">
        <v>59</v>
      </c>
      <c r="E1006" s="3" t="s">
        <v>726</v>
      </c>
      <c r="F1006" s="3" t="s">
        <v>3985</v>
      </c>
      <c r="G1006" s="3" t="s">
        <v>3986</v>
      </c>
      <c r="H1006" s="3" t="s">
        <v>3987</v>
      </c>
      <c r="I1006" s="3" t="s">
        <v>20</v>
      </c>
      <c r="J1006" s="3">
        <v>10.29</v>
      </c>
      <c r="K1006" s="3" t="s">
        <v>21</v>
      </c>
      <c r="L1006" s="3" t="s">
        <v>4080</v>
      </c>
      <c r="M1006" s="3" t="s">
        <v>3989</v>
      </c>
      <c r="N1006" s="6" t="str">
        <f>HYPERLINK("C:\Users\alexa\YandexDisk\Книги\Встроенные системы\Arduino\Конструируем роботов ARDUINO.pdf","Конструируем роботов ARDUINO.pdf")</f>
        <v>Конструируем роботов ARDUINO.pdf</v>
      </c>
      <c r="O1006" s="3" t="s">
        <v>4081</v>
      </c>
    </row>
    <row r="1007" spans="1:15" ht="207" x14ac:dyDescent="0.3">
      <c r="A1007" s="4">
        <v>1006</v>
      </c>
      <c r="B1007" s="5" t="s">
        <v>4082</v>
      </c>
      <c r="C1007" s="5" t="s">
        <v>4083</v>
      </c>
      <c r="D1007" s="5" t="s">
        <v>32</v>
      </c>
      <c r="E1007" s="5" t="s">
        <v>402</v>
      </c>
      <c r="F1007" s="5" t="s">
        <v>4084</v>
      </c>
      <c r="G1007" s="5" t="s">
        <v>3986</v>
      </c>
      <c r="H1007" s="5" t="s">
        <v>4085</v>
      </c>
      <c r="I1007" s="5" t="s">
        <v>20</v>
      </c>
      <c r="J1007" s="5">
        <v>47.75</v>
      </c>
      <c r="K1007" s="5" t="s">
        <v>21</v>
      </c>
      <c r="L1007" s="5" t="s">
        <v>4086</v>
      </c>
      <c r="M1007" s="5" t="s">
        <v>3989</v>
      </c>
      <c r="N1007" s="7" t="str">
        <f>HYPERLINK("C:\Users\alexa\YandexDisk\Книги\Встроенные системы\Arduino\Мобильные роботы на базе Arduino.pdf","Мобильные роботы на базе Arduino.pdf")</f>
        <v>Мобильные роботы на базе Arduino.pdf</v>
      </c>
      <c r="O1007" s="5" t="s">
        <v>4087</v>
      </c>
    </row>
    <row r="1008" spans="1:15" ht="193.2" x14ac:dyDescent="0.3">
      <c r="A1008" s="2">
        <v>1007</v>
      </c>
      <c r="B1008" s="3" t="s">
        <v>4088</v>
      </c>
      <c r="C1008" s="3" t="s">
        <v>4089</v>
      </c>
      <c r="D1008" s="3" t="s">
        <v>186</v>
      </c>
      <c r="E1008" s="3"/>
      <c r="F1008" s="3" t="s">
        <v>3985</v>
      </c>
      <c r="G1008" s="3" t="s">
        <v>3986</v>
      </c>
      <c r="H1008" s="3" t="s">
        <v>3987</v>
      </c>
      <c r="I1008" s="3" t="s">
        <v>20</v>
      </c>
      <c r="J1008" s="3">
        <v>69.11</v>
      </c>
      <c r="K1008" s="3" t="s">
        <v>21</v>
      </c>
      <c r="L1008" s="3" t="s">
        <v>4090</v>
      </c>
      <c r="M1008" s="3" t="s">
        <v>3989</v>
      </c>
      <c r="N1008" s="6" t="str">
        <f>HYPERLINK("C:\Users\alexa\YandexDisk\Книги\Встроенные системы\Arduino\Освоение Arduino - 2014.pdf","Освоение Arduino - 2014.pdf")</f>
        <v>Освоение Arduino - 2014.pdf</v>
      </c>
      <c r="O1008" s="3" t="s">
        <v>4091</v>
      </c>
    </row>
    <row r="1009" spans="1:15" ht="151.80000000000001" x14ac:dyDescent="0.3">
      <c r="A1009" s="4">
        <v>1008</v>
      </c>
      <c r="B1009" s="5" t="s">
        <v>4092</v>
      </c>
      <c r="C1009" s="5" t="s">
        <v>4093</v>
      </c>
      <c r="D1009" s="5"/>
      <c r="E1009" s="5"/>
      <c r="F1009" s="5" t="s">
        <v>3985</v>
      </c>
      <c r="G1009" s="5" t="s">
        <v>3986</v>
      </c>
      <c r="H1009" s="5" t="s">
        <v>3987</v>
      </c>
      <c r="I1009" s="5" t="s">
        <v>519</v>
      </c>
      <c r="J1009" s="5">
        <v>27.76</v>
      </c>
      <c r="K1009" s="5" t="s">
        <v>21</v>
      </c>
      <c r="L1009" s="5" t="s">
        <v>4094</v>
      </c>
      <c r="M1009" s="5" t="s">
        <v>3989</v>
      </c>
      <c r="N1009" s="7" t="str">
        <f>HYPERLINK("C:\Users\alexa\YandexDisk\Книги\Встроенные системы\Arduino\Основы Arduino + code.zip","Основы Arduino + code.zip")</f>
        <v>Основы Arduino + code.zip</v>
      </c>
      <c r="O1009" s="5" t="s">
        <v>4095</v>
      </c>
    </row>
    <row r="1010" spans="1:15" ht="138" x14ac:dyDescent="0.3">
      <c r="A1010" s="2">
        <v>1009</v>
      </c>
      <c r="B1010" s="3" t="s">
        <v>4096</v>
      </c>
      <c r="C1010" s="3" t="s">
        <v>4097</v>
      </c>
      <c r="D1010" s="3"/>
      <c r="E1010" s="3"/>
      <c r="F1010" s="3" t="s">
        <v>3985</v>
      </c>
      <c r="G1010" s="3" t="s">
        <v>3986</v>
      </c>
      <c r="H1010" s="3" t="s">
        <v>3987</v>
      </c>
      <c r="I1010" s="3" t="s">
        <v>721</v>
      </c>
      <c r="J1010" s="3">
        <v>55.6</v>
      </c>
      <c r="K1010" s="3" t="s">
        <v>21</v>
      </c>
      <c r="L1010" s="3" t="s">
        <v>4098</v>
      </c>
      <c r="M1010" s="3" t="s">
        <v>3989</v>
      </c>
      <c r="N1010" s="6" t="str">
        <f>HYPERLINK("C:\Users\alexa\YandexDisk\Книги\Встроенные системы\Arduino\От Arduino до Omega@CryptoMakson.djvu","От Arduino до Omega@CryptoMakson.djvu")</f>
        <v>От Arduino до Omega@CryptoMakson.djvu</v>
      </c>
      <c r="O1010" s="3" t="s">
        <v>4099</v>
      </c>
    </row>
    <row r="1011" spans="1:15" ht="193.2" x14ac:dyDescent="0.3">
      <c r="A1011" s="4">
        <v>1010</v>
      </c>
      <c r="B1011" s="5" t="s">
        <v>4100</v>
      </c>
      <c r="C1011" s="5" t="s">
        <v>4101</v>
      </c>
      <c r="D1011" s="5" t="s">
        <v>27</v>
      </c>
      <c r="E1011" s="5" t="s">
        <v>402</v>
      </c>
      <c r="F1011" s="5" t="s">
        <v>3985</v>
      </c>
      <c r="G1011" s="5" t="s">
        <v>3986</v>
      </c>
      <c r="H1011" s="5" t="s">
        <v>3987</v>
      </c>
      <c r="I1011" s="5" t="s">
        <v>20</v>
      </c>
      <c r="J1011" s="5">
        <v>15.47</v>
      </c>
      <c r="K1011" s="5" t="s">
        <v>21</v>
      </c>
      <c r="L1011" s="5" t="s">
        <v>4102</v>
      </c>
      <c r="M1011" s="5" t="s">
        <v>3989</v>
      </c>
      <c r="N1011" s="7" t="str">
        <f>HYPERLINK("C:\Users\alexa\YandexDisk\Книги\Встроенные системы\Arduino\Первые шаги с Arduino.pdf","Первые шаги с Arduino.pdf")</f>
        <v>Первые шаги с Arduino.pdf</v>
      </c>
      <c r="O1011" s="5" t="s">
        <v>4103</v>
      </c>
    </row>
    <row r="1012" spans="1:15" ht="179.4" x14ac:dyDescent="0.3">
      <c r="A1012" s="2">
        <v>1011</v>
      </c>
      <c r="B1012" s="3" t="s">
        <v>4104</v>
      </c>
      <c r="C1012" s="3" t="s">
        <v>4105</v>
      </c>
      <c r="D1012" s="3" t="s">
        <v>65</v>
      </c>
      <c r="E1012" s="3" t="s">
        <v>402</v>
      </c>
      <c r="F1012" s="3" t="s">
        <v>3985</v>
      </c>
      <c r="G1012" s="3" t="s">
        <v>3986</v>
      </c>
      <c r="H1012" s="3" t="s">
        <v>3987</v>
      </c>
      <c r="I1012" s="3" t="s">
        <v>20</v>
      </c>
      <c r="J1012" s="3">
        <v>34.51</v>
      </c>
      <c r="K1012" s="3" t="s">
        <v>21</v>
      </c>
      <c r="L1012" s="3" t="s">
        <v>4106</v>
      </c>
      <c r="M1012" s="3" t="s">
        <v>3989</v>
      </c>
      <c r="N1012" s="6" t="str">
        <f>HYPERLINK("C:\Users\alexa\YandexDisk\Книги\Встроенные системы\Arduino\Программирование плат ARDUINO.pdf","Программирование плат ARDUINO.pdf")</f>
        <v>Программирование плат ARDUINO.pdf</v>
      </c>
      <c r="O1012" s="3" t="s">
        <v>4107</v>
      </c>
    </row>
    <row r="1013" spans="1:15" ht="193.2" x14ac:dyDescent="0.3">
      <c r="A1013" s="4">
        <v>1012</v>
      </c>
      <c r="B1013" s="5" t="s">
        <v>4108</v>
      </c>
      <c r="C1013" s="5" t="s">
        <v>4050</v>
      </c>
      <c r="D1013" s="5" t="s">
        <v>77</v>
      </c>
      <c r="E1013" s="5" t="s">
        <v>442</v>
      </c>
      <c r="F1013" s="5" t="s">
        <v>3985</v>
      </c>
      <c r="G1013" s="5" t="s">
        <v>3986</v>
      </c>
      <c r="H1013" s="5" t="s">
        <v>3987</v>
      </c>
      <c r="I1013" s="5" t="s">
        <v>20</v>
      </c>
      <c r="J1013" s="5">
        <v>68.069999999999993</v>
      </c>
      <c r="K1013" s="5" t="s">
        <v>21</v>
      </c>
      <c r="L1013" s="5" t="s">
        <v>4109</v>
      </c>
      <c r="M1013" s="5" t="s">
        <v>3989</v>
      </c>
      <c r="N1013" s="7" t="str">
        <f>HYPERLINK("C:\Users\alexa\YandexDisk\Книги\Встроенные системы\Arduino\Саймон_Монк_Электроника_Сборник_рецептов_готовые_решения 2019.pdf","Саймон_Монк_Электроника_Сборник_рецептов_готовые_решения 2019.pdf")</f>
        <v>Саймон_Монк_Электроника_Сборник_рецептов_готовые_решения 2019.pdf</v>
      </c>
      <c r="O1013" s="5" t="s">
        <v>4110</v>
      </c>
    </row>
    <row r="1014" spans="1:15" ht="138" x14ac:dyDescent="0.3">
      <c r="A1014" s="2">
        <v>1013</v>
      </c>
      <c r="B1014" s="3" t="s">
        <v>4111</v>
      </c>
      <c r="C1014" s="3" t="s">
        <v>4112</v>
      </c>
      <c r="D1014" s="3"/>
      <c r="E1014" s="3"/>
      <c r="F1014" s="3" t="s">
        <v>3985</v>
      </c>
      <c r="G1014" s="3" t="s">
        <v>3986</v>
      </c>
      <c r="H1014" s="3" t="s">
        <v>3987</v>
      </c>
      <c r="I1014" s="3" t="s">
        <v>20</v>
      </c>
      <c r="J1014" s="3">
        <v>14.92</v>
      </c>
      <c r="K1014" s="3" t="s">
        <v>21</v>
      </c>
      <c r="L1014" s="3" t="s">
        <v>4113</v>
      </c>
      <c r="M1014" s="3" t="s">
        <v>3989</v>
      </c>
      <c r="N1014" s="6" t="str">
        <f>HYPERLINK("C:\Users\alexa\YandexDisk\Книги\Встроенные системы\Arduino\Танака_Кенъити_Занимательная_электроника.pdf","Танака_Кенъити_Занимательная_электроника.pdf")</f>
        <v>Танака_Кенъити_Занимательная_электроника.pdf</v>
      </c>
      <c r="O1014" s="3" t="s">
        <v>4114</v>
      </c>
    </row>
    <row r="1015" spans="1:15" ht="193.2" x14ac:dyDescent="0.3">
      <c r="A1015" s="4">
        <v>1014</v>
      </c>
      <c r="B1015" s="5" t="s">
        <v>4115</v>
      </c>
      <c r="C1015" s="5" t="s">
        <v>4116</v>
      </c>
      <c r="D1015" s="5" t="s">
        <v>77</v>
      </c>
      <c r="E1015" s="5" t="s">
        <v>4117</v>
      </c>
      <c r="F1015" s="5" t="s">
        <v>3985</v>
      </c>
      <c r="G1015" s="5" t="s">
        <v>3986</v>
      </c>
      <c r="H1015" s="5" t="s">
        <v>3987</v>
      </c>
      <c r="I1015" s="5" t="s">
        <v>20</v>
      </c>
      <c r="J1015" s="5">
        <v>22.76</v>
      </c>
      <c r="K1015" s="5" t="s">
        <v>21</v>
      </c>
      <c r="L1015" s="5" t="s">
        <v>4118</v>
      </c>
      <c r="M1015" s="5" t="s">
        <v>3989</v>
      </c>
      <c r="N1015" s="7" t="str">
        <f>HYPERLINK("C:\Users\alexa\YandexDisk\Книги\Встроенные системы\Arduino\Шеффер,_Флориан_Электроника_для_детей_ДМК_издатељство_2019.pdf","Шеффер,_Флориан_Электроника_для_детей_ДМК_издатељство_2019.pdf")</f>
        <v>Шеффер,_Флориан_Электроника_для_детей_ДМК_издатељство_2019.pdf</v>
      </c>
      <c r="O1015" s="5" t="s">
        <v>4119</v>
      </c>
    </row>
    <row r="1016" spans="1:15" ht="193.2" x14ac:dyDescent="0.3">
      <c r="A1016" s="2">
        <v>1015</v>
      </c>
      <c r="B1016" s="3" t="s">
        <v>4120</v>
      </c>
      <c r="C1016" s="3" t="s">
        <v>4121</v>
      </c>
      <c r="D1016" s="3" t="s">
        <v>17</v>
      </c>
      <c r="E1016" s="3" t="s">
        <v>205</v>
      </c>
      <c r="F1016" s="3" t="s">
        <v>4122</v>
      </c>
      <c r="G1016" s="3" t="s">
        <v>3986</v>
      </c>
      <c r="H1016" s="3" t="s">
        <v>4123</v>
      </c>
      <c r="I1016" s="3" t="s">
        <v>20</v>
      </c>
      <c r="J1016" s="3">
        <v>11.79</v>
      </c>
      <c r="K1016" s="3" t="s">
        <v>21</v>
      </c>
      <c r="L1016" s="3" t="s">
        <v>4124</v>
      </c>
      <c r="M1016" s="3" t="s">
        <v>4125</v>
      </c>
      <c r="N1016" s="6" t="str">
        <f>HYPERLINK("C:\Users\alexa\YandexDisk\Книги\Встроенные системы\FPGA\FPGA Programming for Beginners (Frank Bruno).pdf","FPGA Programming for Beginners (Frank Bruno).pdf")</f>
        <v>FPGA Programming for Beginners (Frank Bruno).pdf</v>
      </c>
      <c r="O1016" s="3" t="s">
        <v>4126</v>
      </c>
    </row>
    <row r="1017" spans="1:15" ht="220.8" x14ac:dyDescent="0.3">
      <c r="A1017" s="4">
        <v>1016</v>
      </c>
      <c r="B1017" s="5" t="s">
        <v>4127</v>
      </c>
      <c r="C1017" s="5" t="s">
        <v>4128</v>
      </c>
      <c r="D1017" s="5" t="s">
        <v>71</v>
      </c>
      <c r="E1017" s="5" t="s">
        <v>4129</v>
      </c>
      <c r="F1017" s="5" t="s">
        <v>4122</v>
      </c>
      <c r="G1017" s="5" t="s">
        <v>3986</v>
      </c>
      <c r="H1017" s="5" t="s">
        <v>4123</v>
      </c>
      <c r="I1017" s="5" t="s">
        <v>20</v>
      </c>
      <c r="J1017" s="5">
        <v>16.399999999999999</v>
      </c>
      <c r="K1017" s="5" t="s">
        <v>21</v>
      </c>
      <c r="L1017" s="5" t="s">
        <v>4130</v>
      </c>
      <c r="M1017" s="5" t="s">
        <v>4125</v>
      </c>
      <c r="N1017" s="7" t="str">
        <f>HYPERLINK("C:\Users\alexa\YandexDisk\Книги\Встроенные системы\FPGA\Программируемые_логические_автоматы.pdf","Программируемые_логические_автоматы.pdf")</f>
        <v>Программируемые_логические_автоматы.pdf</v>
      </c>
      <c r="O1017" s="5" t="s">
        <v>4131</v>
      </c>
    </row>
    <row r="1018" spans="1:15" ht="179.4" x14ac:dyDescent="0.3">
      <c r="A1018" s="2">
        <v>1017</v>
      </c>
      <c r="B1018" s="3" t="s">
        <v>4132</v>
      </c>
      <c r="C1018" s="3" t="s">
        <v>4133</v>
      </c>
      <c r="D1018" s="3" t="s">
        <v>59</v>
      </c>
      <c r="E1018" s="3" t="s">
        <v>102</v>
      </c>
      <c r="F1018" s="3" t="s">
        <v>4122</v>
      </c>
      <c r="G1018" s="3" t="s">
        <v>3986</v>
      </c>
      <c r="H1018" s="3" t="s">
        <v>4123</v>
      </c>
      <c r="I1018" s="3" t="s">
        <v>20</v>
      </c>
      <c r="J1018" s="3">
        <v>37.549999999999997</v>
      </c>
      <c r="K1018" s="3" t="s">
        <v>21</v>
      </c>
      <c r="L1018" s="3" t="s">
        <v>4134</v>
      </c>
      <c r="M1018" s="3" t="s">
        <v>4125</v>
      </c>
      <c r="N1018" s="6" t="str">
        <f>HYPERLINK("C:\Users\alexa\YandexDisk\Книги\Встроенные системы\FPGA\Цифровой синтез.pdf","Цифровой синтез.pdf")</f>
        <v>Цифровой синтез.pdf</v>
      </c>
      <c r="O1018" s="3" t="s">
        <v>4135</v>
      </c>
    </row>
    <row r="1019" spans="1:15" ht="138" x14ac:dyDescent="0.3">
      <c r="A1019" s="4">
        <v>1018</v>
      </c>
      <c r="B1019" s="5" t="s">
        <v>4136</v>
      </c>
      <c r="C1019" s="5" t="s">
        <v>4137</v>
      </c>
      <c r="D1019" s="5" t="s">
        <v>59</v>
      </c>
      <c r="E1019" s="5"/>
      <c r="F1019" s="5" t="s">
        <v>4138</v>
      </c>
      <c r="G1019" s="5" t="s">
        <v>3986</v>
      </c>
      <c r="H1019" s="5" t="s">
        <v>4139</v>
      </c>
      <c r="I1019" s="5" t="s">
        <v>20</v>
      </c>
      <c r="J1019" s="5">
        <v>24.16</v>
      </c>
      <c r="K1019" s="5" t="s">
        <v>21</v>
      </c>
      <c r="L1019" s="5" t="s">
        <v>4140</v>
      </c>
      <c r="M1019" s="5" t="s">
        <v>4141</v>
      </c>
      <c r="N1019" s="7" t="str">
        <f>HYPERLINK("C:\Users\alexa\YandexDisk\Книги\Встроенные системы\IoT\!Мунистер_Компьютерные_сети_IoT_и_межмашинное_взаимодействие.pdf","!Мунистер_Компьютерные_сети_IoT_и_межмашинное_взаимодействие.pdf")</f>
        <v>!Мунистер_Компьютерные_сети_IoT_и_межмашинное_взаимодействие.pdf</v>
      </c>
      <c r="O1019" s="5" t="s">
        <v>4142</v>
      </c>
    </row>
    <row r="1020" spans="1:15" ht="234.6" x14ac:dyDescent="0.3">
      <c r="A1020" s="2">
        <v>1019</v>
      </c>
      <c r="B1020" s="3" t="s">
        <v>4143</v>
      </c>
      <c r="C1020" s="3" t="s">
        <v>4144</v>
      </c>
      <c r="D1020" s="3"/>
      <c r="E1020" s="3"/>
      <c r="F1020" s="3" t="s">
        <v>4084</v>
      </c>
      <c r="G1020" s="3" t="s">
        <v>3986</v>
      </c>
      <c r="H1020" s="3" t="s">
        <v>4085</v>
      </c>
      <c r="I1020" s="3" t="s">
        <v>20</v>
      </c>
      <c r="J1020" s="3">
        <v>23.81</v>
      </c>
      <c r="K1020" s="3" t="s">
        <v>21</v>
      </c>
      <c r="L1020" s="3" t="s">
        <v>4145</v>
      </c>
      <c r="M1020" s="3" t="s">
        <v>4141</v>
      </c>
      <c r="N1020" s="6" t="str">
        <f>HYPERLINK("C:\Users\alexa\YandexDisk\Книги\Встроенные системы\IoT\A Concise Introduction to Robot Programming with ROS 2_2Ed.pdf","A Concise Introduction to Robot Programming with ROS 2_2Ed.pdf")</f>
        <v>A Concise Introduction to Robot Programming with ROS 2_2Ed.pdf</v>
      </c>
      <c r="O1020" s="3" t="s">
        <v>4146</v>
      </c>
    </row>
    <row r="1021" spans="1:15" ht="179.4" x14ac:dyDescent="0.3">
      <c r="A1021" s="4">
        <v>1020</v>
      </c>
      <c r="B1021" s="5" t="s">
        <v>4147</v>
      </c>
      <c r="C1021" s="5" t="s">
        <v>4148</v>
      </c>
      <c r="D1021" s="5" t="s">
        <v>27</v>
      </c>
      <c r="E1021" s="5" t="s">
        <v>4149</v>
      </c>
      <c r="F1021" s="5" t="s">
        <v>4138</v>
      </c>
      <c r="G1021" s="5" t="s">
        <v>3986</v>
      </c>
      <c r="H1021" s="5" t="s">
        <v>4139</v>
      </c>
      <c r="I1021" s="5" t="s">
        <v>20</v>
      </c>
      <c r="J1021" s="5">
        <v>18.649999999999999</v>
      </c>
      <c r="K1021" s="5" t="s">
        <v>21</v>
      </c>
      <c r="L1021" s="5" t="s">
        <v>4150</v>
      </c>
      <c r="M1021" s="5" t="s">
        <v>4141</v>
      </c>
      <c r="N1021" s="7" t="str">
        <f>HYPERLINK("C:\Users\alexa\YandexDisk\Книги\Встроенные системы\IoT\Aerial Robotic Workers_ Design.pdf","Aerial Robotic Workers_ Design.pdf")</f>
        <v>Aerial Robotic Workers_ Design.pdf</v>
      </c>
      <c r="O1021" s="5" t="s">
        <v>4151</v>
      </c>
    </row>
    <row r="1022" spans="1:15" ht="179.4" x14ac:dyDescent="0.3">
      <c r="A1022" s="2">
        <v>1021</v>
      </c>
      <c r="B1022" s="3" t="s">
        <v>4152</v>
      </c>
      <c r="C1022" s="3" t="s">
        <v>4153</v>
      </c>
      <c r="D1022" s="3"/>
      <c r="E1022" s="3" t="s">
        <v>2359</v>
      </c>
      <c r="F1022" s="3" t="s">
        <v>4138</v>
      </c>
      <c r="G1022" s="3" t="s">
        <v>3986</v>
      </c>
      <c r="H1022" s="3" t="s">
        <v>4139</v>
      </c>
      <c r="I1022" s="3" t="s">
        <v>20</v>
      </c>
      <c r="J1022" s="3">
        <v>22.59</v>
      </c>
      <c r="K1022" s="3" t="s">
        <v>21</v>
      </c>
      <c r="L1022" s="3" t="s">
        <v>4154</v>
      </c>
      <c r="M1022" s="3" t="s">
        <v>4141</v>
      </c>
      <c r="N1022" s="6" t="str">
        <f>HYPERLINK("C:\Users\alexa\YandexDisk\Книги\Встроенные системы\IoT\Ambient_Intelligence_and_Internet_of_Things.pdf","Ambient_Intelligence_and_Internet_of_Things.pdf")</f>
        <v>Ambient_Intelligence_and_Internet_of_Things.pdf</v>
      </c>
      <c r="O1022" s="3" t="s">
        <v>4155</v>
      </c>
    </row>
    <row r="1023" spans="1:15" ht="193.2" x14ac:dyDescent="0.3">
      <c r="A1023" s="4">
        <v>1022</v>
      </c>
      <c r="B1023" s="5" t="s">
        <v>4156</v>
      </c>
      <c r="C1023" s="5" t="s">
        <v>4157</v>
      </c>
      <c r="D1023" s="5" t="s">
        <v>114</v>
      </c>
      <c r="E1023" s="5" t="s">
        <v>402</v>
      </c>
      <c r="F1023" s="5" t="s">
        <v>4138</v>
      </c>
      <c r="G1023" s="5" t="s">
        <v>3986</v>
      </c>
      <c r="H1023" s="5" t="s">
        <v>4139</v>
      </c>
      <c r="I1023" s="5" t="s">
        <v>519</v>
      </c>
      <c r="J1023" s="5">
        <v>92.1</v>
      </c>
      <c r="K1023" s="5" t="s">
        <v>21</v>
      </c>
      <c r="L1023" s="5" t="s">
        <v>4158</v>
      </c>
      <c r="M1023" s="5" t="s">
        <v>4141</v>
      </c>
      <c r="N1023" s="7" t="str">
        <f>HYPERLINK("C:\Users\alexa\YandexDisk\Книги\Встроенные системы\IoT\Arduino и Raspberry Pi в проектах Internet of Тhings.zip","Arduino и Raspberry Pi в проектах Internet of Тhings.zip")</f>
        <v>Arduino и Raspberry Pi в проектах Internet of Тhings.zip</v>
      </c>
      <c r="O1023" s="5" t="s">
        <v>4159</v>
      </c>
    </row>
    <row r="1024" spans="1:15" ht="165.6" x14ac:dyDescent="0.3">
      <c r="A1024" s="2">
        <v>1023</v>
      </c>
      <c r="B1024" s="3" t="s">
        <v>4160</v>
      </c>
      <c r="C1024" s="3" t="s">
        <v>4161</v>
      </c>
      <c r="D1024" s="3" t="s">
        <v>32</v>
      </c>
      <c r="E1024" s="3" t="s">
        <v>102</v>
      </c>
      <c r="F1024" s="3" t="s">
        <v>4138</v>
      </c>
      <c r="G1024" s="3" t="s">
        <v>3986</v>
      </c>
      <c r="H1024" s="3" t="s">
        <v>4139</v>
      </c>
      <c r="I1024" s="3" t="s">
        <v>20</v>
      </c>
      <c r="J1024" s="3">
        <v>28.77</v>
      </c>
      <c r="K1024" s="3" t="s">
        <v>21</v>
      </c>
      <c r="L1024" s="3" t="s">
        <v>4162</v>
      </c>
      <c r="M1024" s="3" t="s">
        <v>4141</v>
      </c>
      <c r="N1024" s="6" t="str">
        <f>HYPERLINK("C:\Users\alexa\YandexDisk\Книги\Встроенные системы\IoT\Arduino_Uno_и_Raspberry_Pi_3_от_схемотехники_к_IoT.pdf","Arduino_Uno_и_Raspberry_Pi_3_от_схемотехники_к_IoT.pdf")</f>
        <v>Arduino_Uno_и_Raspberry_Pi_3_от_схемотехники_к_IoT.pdf</v>
      </c>
      <c r="O1024" s="3" t="s">
        <v>4163</v>
      </c>
    </row>
    <row r="1025" spans="1:15" ht="207" x14ac:dyDescent="0.3">
      <c r="A1025" s="4">
        <v>1024</v>
      </c>
      <c r="B1025" s="5" t="s">
        <v>4164</v>
      </c>
      <c r="C1025" s="5" t="s">
        <v>4165</v>
      </c>
      <c r="D1025" s="5"/>
      <c r="E1025" s="5"/>
      <c r="F1025" s="5" t="s">
        <v>4138</v>
      </c>
      <c r="G1025" s="5" t="s">
        <v>3986</v>
      </c>
      <c r="H1025" s="5" t="s">
        <v>4139</v>
      </c>
      <c r="I1025" s="5" t="s">
        <v>20</v>
      </c>
      <c r="J1025" s="5">
        <v>5.0199999999999996</v>
      </c>
      <c r="K1025" s="5" t="s">
        <v>21</v>
      </c>
      <c r="L1025" s="5" t="s">
        <v>4166</v>
      </c>
      <c r="M1025" s="5" t="s">
        <v>4141</v>
      </c>
      <c r="N1025" s="7" t="str">
        <f>HYPERLINK("C:\Users\alexa\YandexDisk\Книги\Встроенные системы\IoT\Closing_the_Care_Gap_with_Wearable_Devices.pdf","Closing_the_Care_Gap_with_Wearable_Devices.pdf")</f>
        <v>Closing_the_Care_Gap_with_Wearable_Devices.pdf</v>
      </c>
      <c r="O1025" s="5" t="s">
        <v>4167</v>
      </c>
    </row>
    <row r="1026" spans="1:15" ht="179.4" x14ac:dyDescent="0.3">
      <c r="A1026" s="2">
        <v>1025</v>
      </c>
      <c r="B1026" s="3" t="s">
        <v>4168</v>
      </c>
      <c r="C1026" s="3" t="s">
        <v>4169</v>
      </c>
      <c r="D1026" s="3" t="s">
        <v>335</v>
      </c>
      <c r="E1026" s="3" t="s">
        <v>308</v>
      </c>
      <c r="F1026" s="3" t="s">
        <v>4138</v>
      </c>
      <c r="G1026" s="3" t="s">
        <v>3986</v>
      </c>
      <c r="H1026" s="3" t="s">
        <v>4139</v>
      </c>
      <c r="I1026" s="3" t="s">
        <v>20</v>
      </c>
      <c r="J1026" s="3">
        <v>7.64</v>
      </c>
      <c r="K1026" s="3" t="s">
        <v>21</v>
      </c>
      <c r="L1026" s="3" t="s">
        <v>4170</v>
      </c>
      <c r="M1026" s="3" t="s">
        <v>4141</v>
      </c>
      <c r="N1026" s="6" t="str">
        <f>HYPERLINK("C:\Users\alexa\YandexDisk\Книги\Встроенные системы\IoT\Edge Computing_Systems.pdf","Edge Computing_Systems.pdf")</f>
        <v>Edge Computing_Systems.pdf</v>
      </c>
      <c r="O1026" s="3" t="s">
        <v>4171</v>
      </c>
    </row>
    <row r="1027" spans="1:15" ht="165.6" x14ac:dyDescent="0.3">
      <c r="A1027" s="4">
        <v>1026</v>
      </c>
      <c r="B1027" s="5" t="s">
        <v>4172</v>
      </c>
      <c r="C1027" s="5" t="s">
        <v>4173</v>
      </c>
      <c r="D1027" s="5" t="s">
        <v>27</v>
      </c>
      <c r="E1027" s="5" t="s">
        <v>4174</v>
      </c>
      <c r="F1027" s="5" t="s">
        <v>4138</v>
      </c>
      <c r="G1027" s="5" t="s">
        <v>3986</v>
      </c>
      <c r="H1027" s="5" t="s">
        <v>4139</v>
      </c>
      <c r="I1027" s="5" t="s">
        <v>20</v>
      </c>
      <c r="J1027" s="5">
        <v>26.66</v>
      </c>
      <c r="K1027" s="5" t="s">
        <v>21</v>
      </c>
      <c r="L1027" s="5" t="s">
        <v>4175</v>
      </c>
      <c r="M1027" s="5" t="s">
        <v>4141</v>
      </c>
      <c r="N1027" s="7" t="str">
        <f>HYPERLINK("C:\Users\alexa\YandexDisk\Книги\Встроенные системы\IoT\Energy IoT Architecture.pdf","Energy IoT Architecture.pdf")</f>
        <v>Energy IoT Architecture.pdf</v>
      </c>
      <c r="O1027" s="5" t="s">
        <v>4176</v>
      </c>
    </row>
    <row r="1028" spans="1:15" ht="165.6" x14ac:dyDescent="0.3">
      <c r="A1028" s="2">
        <v>1027</v>
      </c>
      <c r="B1028" s="3" t="s">
        <v>4177</v>
      </c>
      <c r="C1028" s="3" t="s">
        <v>4178</v>
      </c>
      <c r="D1028" s="3"/>
      <c r="E1028" s="3"/>
      <c r="F1028" s="3" t="s">
        <v>4138</v>
      </c>
      <c r="G1028" s="3" t="s">
        <v>3986</v>
      </c>
      <c r="H1028" s="3" t="s">
        <v>4139</v>
      </c>
      <c r="I1028" s="3" t="s">
        <v>20</v>
      </c>
      <c r="J1028" s="3">
        <v>4.72</v>
      </c>
      <c r="K1028" s="3" t="s">
        <v>21</v>
      </c>
      <c r="L1028" s="3" t="s">
        <v>4179</v>
      </c>
      <c r="M1028" s="3" t="s">
        <v>4141</v>
      </c>
      <c r="N1028" s="6" t="str">
        <f>HYPERLINK("C:\Users\alexa\YandexDisk\Книги\Встроенные системы\IoT\Engineering Secure Devices_True.pdf","Engineering Secure Devices_True.pdf")</f>
        <v>Engineering Secure Devices_True.pdf</v>
      </c>
      <c r="O1028" s="3" t="s">
        <v>4180</v>
      </c>
    </row>
    <row r="1029" spans="1:15" ht="165.6" x14ac:dyDescent="0.3">
      <c r="A1029" s="4">
        <v>1028</v>
      </c>
      <c r="B1029" s="5" t="s">
        <v>4181</v>
      </c>
      <c r="C1029" s="5" t="s">
        <v>4182</v>
      </c>
      <c r="D1029" s="5"/>
      <c r="E1029" s="5"/>
      <c r="F1029" s="5" t="s">
        <v>4138</v>
      </c>
      <c r="G1029" s="5" t="s">
        <v>3986</v>
      </c>
      <c r="H1029" s="5" t="s">
        <v>4139</v>
      </c>
      <c r="I1029" s="5" t="s">
        <v>20</v>
      </c>
      <c r="J1029" s="5">
        <v>16.04</v>
      </c>
      <c r="K1029" s="5" t="s">
        <v>21</v>
      </c>
      <c r="L1029" s="5" t="s">
        <v>4183</v>
      </c>
      <c r="M1029" s="5" t="s">
        <v>4141</v>
      </c>
      <c r="N1029" s="7" t="str">
        <f>HYPERLINK("C:\Users\alexa\YandexDisk\Книги\Встроенные системы\IoT\Future Communication Systems Using AI, IoT.pdf","Future Communication Systems Using AI, IoT.pdf")</f>
        <v>Future Communication Systems Using AI, IoT.pdf</v>
      </c>
      <c r="O1029" s="5" t="s">
        <v>4184</v>
      </c>
    </row>
    <row r="1030" spans="1:15" ht="220.8" x14ac:dyDescent="0.3">
      <c r="A1030" s="2">
        <v>1029</v>
      </c>
      <c r="B1030" s="3" t="s">
        <v>4185</v>
      </c>
      <c r="C1030" s="3" t="s">
        <v>4186</v>
      </c>
      <c r="D1030" s="3" t="s">
        <v>71</v>
      </c>
      <c r="E1030" s="3" t="s">
        <v>4187</v>
      </c>
      <c r="F1030" s="3" t="s">
        <v>4138</v>
      </c>
      <c r="G1030" s="3" t="s">
        <v>3986</v>
      </c>
      <c r="H1030" s="3" t="s">
        <v>4139</v>
      </c>
      <c r="I1030" s="3" t="s">
        <v>20</v>
      </c>
      <c r="J1030" s="3">
        <v>16.82</v>
      </c>
      <c r="K1030" s="3" t="s">
        <v>21</v>
      </c>
      <c r="L1030" s="3" t="s">
        <v>4188</v>
      </c>
      <c r="M1030" s="3" t="s">
        <v>4141</v>
      </c>
      <c r="N1030" s="6" t="str">
        <f>HYPERLINK("C:\Users\alexa\YandexDisk\Книги\Встроенные системы\IoT\Internet of Things Frameworks 2022.pdf","Internet of Things Frameworks 2022.pdf")</f>
        <v>Internet of Things Frameworks 2022.pdf</v>
      </c>
      <c r="O1030" s="3" t="s">
        <v>4189</v>
      </c>
    </row>
    <row r="1031" spans="1:15" ht="207" x14ac:dyDescent="0.3">
      <c r="A1031" s="4">
        <v>1030</v>
      </c>
      <c r="B1031" s="5" t="s">
        <v>4190</v>
      </c>
      <c r="C1031" s="5" t="s">
        <v>4191</v>
      </c>
      <c r="D1031" s="5" t="s">
        <v>32</v>
      </c>
      <c r="E1031" s="5" t="s">
        <v>2183</v>
      </c>
      <c r="F1031" s="5" t="s">
        <v>4138</v>
      </c>
      <c r="G1031" s="5" t="s">
        <v>3986</v>
      </c>
      <c r="H1031" s="5" t="s">
        <v>4139</v>
      </c>
      <c r="I1031" s="5" t="s">
        <v>20</v>
      </c>
      <c r="J1031" s="5">
        <v>13.23</v>
      </c>
      <c r="K1031" s="5" t="s">
        <v>21</v>
      </c>
      <c r="L1031" s="5" t="s">
        <v>4192</v>
      </c>
      <c r="M1031" s="5" t="s">
        <v>4141</v>
      </c>
      <c r="N1031" s="7" t="str">
        <f>HYPERLINK("C:\Users\alexa\YandexDisk\Книги\Встроенные системы\IoT\Internet_of_things_IoT_technologies,_applications,_challenges_and.pdf","Internet_of_things_IoT_technologies,_applications,_challenges_and.pdf")</f>
        <v>Internet_of_things_IoT_technologies,_applications,_challenges_and.pdf</v>
      </c>
      <c r="O1031" s="5" t="s">
        <v>4193</v>
      </c>
    </row>
    <row r="1032" spans="1:15" ht="151.80000000000001" x14ac:dyDescent="0.3">
      <c r="A1032" s="2">
        <v>1031</v>
      </c>
      <c r="B1032" s="3" t="s">
        <v>4194</v>
      </c>
      <c r="C1032" s="3" t="s">
        <v>4195</v>
      </c>
      <c r="D1032" s="3"/>
      <c r="E1032" s="3" t="s">
        <v>4196</v>
      </c>
      <c r="F1032" s="3" t="s">
        <v>4138</v>
      </c>
      <c r="G1032" s="3" t="s">
        <v>3986</v>
      </c>
      <c r="H1032" s="3" t="s">
        <v>4139</v>
      </c>
      <c r="I1032" s="3" t="s">
        <v>20</v>
      </c>
      <c r="J1032" s="3">
        <v>13.42</v>
      </c>
      <c r="K1032" s="3" t="s">
        <v>21</v>
      </c>
      <c r="L1032" s="3" t="s">
        <v>4197</v>
      </c>
      <c r="M1032" s="3" t="s">
        <v>4141</v>
      </c>
      <c r="N1032" s="6" t="str">
        <f>HYPERLINK("C:\Users\alexa\YandexDisk\Книги\Встроенные системы\IoT\IoT for Defense and National Security.pdf","IoT for Defense and National Security.pdf")</f>
        <v>IoT for Defense and National Security.pdf</v>
      </c>
      <c r="O1032" s="3" t="s">
        <v>4198</v>
      </c>
    </row>
    <row r="1033" spans="1:15" ht="165.6" x14ac:dyDescent="0.3">
      <c r="A1033" s="4">
        <v>1032</v>
      </c>
      <c r="B1033" s="5" t="s">
        <v>4199</v>
      </c>
      <c r="C1033" s="5" t="s">
        <v>4200</v>
      </c>
      <c r="D1033" s="5" t="s">
        <v>32</v>
      </c>
      <c r="E1033" s="5" t="s">
        <v>1421</v>
      </c>
      <c r="F1033" s="5" t="s">
        <v>4138</v>
      </c>
      <c r="G1033" s="5" t="s">
        <v>3986</v>
      </c>
      <c r="H1033" s="5" t="s">
        <v>4139</v>
      </c>
      <c r="I1033" s="5" t="s">
        <v>20</v>
      </c>
      <c r="J1033" s="5">
        <v>2.68</v>
      </c>
      <c r="K1033" s="5" t="s">
        <v>21</v>
      </c>
      <c r="L1033" s="5" t="s">
        <v>4201</v>
      </c>
      <c r="M1033" s="5" t="s">
        <v>4141</v>
      </c>
      <c r="N1033" s="7" t="str">
        <f>HYPERLINK("C:\Users\alexa\YandexDisk\Книги\Встроенные системы\IoT\IoT_Введение_в_программирование_на_Arduino.pdf","IoT_Введение_в_программирование_на_Arduino.pdf")</f>
        <v>IoT_Введение_в_программирование_на_Arduino.pdf</v>
      </c>
      <c r="O1033" s="5" t="s">
        <v>4202</v>
      </c>
    </row>
    <row r="1034" spans="1:15" ht="179.4" x14ac:dyDescent="0.3">
      <c r="A1034" s="2">
        <v>1033</v>
      </c>
      <c r="B1034" s="3" t="s">
        <v>4203</v>
      </c>
      <c r="C1034" s="3" t="s">
        <v>4204</v>
      </c>
      <c r="D1034" s="3" t="s">
        <v>77</v>
      </c>
      <c r="E1034" s="3"/>
      <c r="F1034" s="3" t="s">
        <v>4138</v>
      </c>
      <c r="G1034" s="3" t="s">
        <v>3986</v>
      </c>
      <c r="H1034" s="3" t="s">
        <v>4139</v>
      </c>
      <c r="I1034" s="3" t="s">
        <v>20</v>
      </c>
      <c r="J1034" s="3">
        <v>10.07</v>
      </c>
      <c r="K1034" s="3" t="s">
        <v>21</v>
      </c>
      <c r="L1034" s="3" t="s">
        <v>4205</v>
      </c>
      <c r="M1034" s="3" t="s">
        <v>4141</v>
      </c>
      <c r="N1034" s="6" t="str">
        <f>HYPERLINK("C:\Users\alexa\YandexDisk\Книги\Встроенные системы\IoT\IoT_как_ИНТРАНЕТ_вещей_с_Raspberry_Pi_и_MajorDoMo.pdf","IoT_как_ИНТРАНЕТ_вещей_с_Raspberry_Pi_и_MajorDoMo.pdf")</f>
        <v>IoT_как_ИНТРАНЕТ_вещей_с_Raspberry_Pi_и_MajorDoMo.pdf</v>
      </c>
      <c r="O1034" s="3" t="s">
        <v>4206</v>
      </c>
    </row>
    <row r="1035" spans="1:15" ht="207" x14ac:dyDescent="0.3">
      <c r="A1035" s="4">
        <v>1034</v>
      </c>
      <c r="B1035" s="5" t="s">
        <v>4207</v>
      </c>
      <c r="C1035" s="5" t="s">
        <v>4208</v>
      </c>
      <c r="D1035" s="5" t="s">
        <v>59</v>
      </c>
      <c r="E1035" s="5"/>
      <c r="F1035" s="5" t="s">
        <v>4138</v>
      </c>
      <c r="G1035" s="5" t="s">
        <v>3986</v>
      </c>
      <c r="H1035" s="5" t="s">
        <v>4139</v>
      </c>
      <c r="I1035" s="5" t="s">
        <v>20</v>
      </c>
      <c r="J1035" s="5">
        <v>73.709999999999994</v>
      </c>
      <c r="K1035" s="5" t="s">
        <v>21</v>
      </c>
      <c r="L1035" s="5" t="s">
        <v>4209</v>
      </c>
      <c r="M1035" s="5" t="s">
        <v>4141</v>
      </c>
      <c r="N1035" s="7" t="str">
        <f>HYPERLINK("C:\Users\alexa\YandexDisk\Книги\Встроенные системы\IoT\IoT_Межмашинное_взаимодействие_Программирование_в_компьютерных_сетях.pdf","IoT_Межмашинное_взаимодействие_Программирование_в_компьютерных_сетях.pdf")</f>
        <v>IoT_Межмашинное_взаимодействие_Программирование_в_компьютерных_сетях.pdf</v>
      </c>
      <c r="O1035" s="5" t="s">
        <v>4210</v>
      </c>
    </row>
    <row r="1036" spans="1:15" ht="151.80000000000001" x14ac:dyDescent="0.3">
      <c r="A1036" s="2">
        <v>1035</v>
      </c>
      <c r="B1036" s="3" t="s">
        <v>4211</v>
      </c>
      <c r="C1036" s="3" t="s">
        <v>4212</v>
      </c>
      <c r="D1036" s="3" t="s">
        <v>335</v>
      </c>
      <c r="E1036" s="3"/>
      <c r="F1036" s="3" t="s">
        <v>4213</v>
      </c>
      <c r="G1036" s="3" t="s">
        <v>3986</v>
      </c>
      <c r="H1036" s="3" t="s">
        <v>4214</v>
      </c>
      <c r="I1036" s="3" t="s">
        <v>20</v>
      </c>
      <c r="J1036" s="3">
        <v>20.21</v>
      </c>
      <c r="K1036" s="3" t="s">
        <v>21</v>
      </c>
      <c r="L1036" s="3" t="s">
        <v>4215</v>
      </c>
      <c r="M1036" s="3" t="s">
        <v>4141</v>
      </c>
      <c r="N1036" s="6" t="str">
        <f>HYPERLINK("C:\Users\alexa\YandexDisk\Книги\Встроенные системы\IoT\MicroPython для микроконтроллеров и проектов IoT.pdf","MicroPython для микроконтроллеров и проектов IoT.pdf")</f>
        <v>MicroPython для микроконтроллеров и проектов IoT.pdf</v>
      </c>
      <c r="O1036" s="3" t="s">
        <v>4216</v>
      </c>
    </row>
    <row r="1037" spans="1:15" ht="179.4" x14ac:dyDescent="0.3">
      <c r="A1037" s="4">
        <v>1036</v>
      </c>
      <c r="B1037" s="5" t="s">
        <v>4217</v>
      </c>
      <c r="C1037" s="5" t="s">
        <v>4218</v>
      </c>
      <c r="D1037" s="5" t="s">
        <v>27</v>
      </c>
      <c r="E1037" s="5" t="s">
        <v>205</v>
      </c>
      <c r="F1037" s="5" t="s">
        <v>4138</v>
      </c>
      <c r="G1037" s="5" t="s">
        <v>3986</v>
      </c>
      <c r="H1037" s="5" t="s">
        <v>4139</v>
      </c>
      <c r="I1037" s="5" t="s">
        <v>20</v>
      </c>
      <c r="J1037" s="5">
        <v>9.2899999999999991</v>
      </c>
      <c r="K1037" s="5" t="s">
        <v>21</v>
      </c>
      <c r="L1037" s="5" t="s">
        <v>4219</v>
      </c>
      <c r="M1037" s="5" t="s">
        <v>4141</v>
      </c>
      <c r="N1037" s="7" t="str">
        <f>HYPERLINK("C:\Users\alexa\YandexDisk\Книги\Встроенные системы\IoT\Packt.Arduino.Data.Communications.pdf","Packt.Arduino.Data.Communications.pdf")</f>
        <v>Packt.Arduino.Data.Communications.pdf</v>
      </c>
      <c r="O1037" s="5" t="s">
        <v>4220</v>
      </c>
    </row>
    <row r="1038" spans="1:15" ht="207" x14ac:dyDescent="0.3">
      <c r="A1038" s="2">
        <v>1037</v>
      </c>
      <c r="B1038" s="3" t="s">
        <v>4221</v>
      </c>
      <c r="C1038" s="3" t="s">
        <v>4222</v>
      </c>
      <c r="D1038" s="3" t="s">
        <v>71</v>
      </c>
      <c r="E1038" s="3" t="s">
        <v>4223</v>
      </c>
      <c r="F1038" s="3" t="s">
        <v>4138</v>
      </c>
      <c r="G1038" s="3" t="s">
        <v>3986</v>
      </c>
      <c r="H1038" s="3" t="s">
        <v>4139</v>
      </c>
      <c r="I1038" s="3" t="s">
        <v>20</v>
      </c>
      <c r="J1038" s="3">
        <v>2.17</v>
      </c>
      <c r="K1038" s="3" t="s">
        <v>21</v>
      </c>
      <c r="L1038" s="3" t="s">
        <v>4224</v>
      </c>
      <c r="M1038" s="3" t="s">
        <v>4141</v>
      </c>
      <c r="N1038" s="6" t="str">
        <f>HYPERLINK("C:\Users\alexa\YandexDisk\Книги\Встроенные системы\IoT\Portable Python Projects Run Your Home on a Raspberry Pi.pdf","Portable Python Projects Run Your Home on a Raspberry Pi.pdf")</f>
        <v>Portable Python Projects Run Your Home on a Raspberry Pi.pdf</v>
      </c>
      <c r="O1038" s="3" t="s">
        <v>4225</v>
      </c>
    </row>
    <row r="1039" spans="1:15" ht="179.4" x14ac:dyDescent="0.3">
      <c r="A1039" s="4">
        <v>1038</v>
      </c>
      <c r="B1039" s="5" t="s">
        <v>4226</v>
      </c>
      <c r="C1039" s="5" t="s">
        <v>4227</v>
      </c>
      <c r="D1039" s="5"/>
      <c r="E1039" s="5" t="s">
        <v>3965</v>
      </c>
      <c r="F1039" s="5" t="s">
        <v>4138</v>
      </c>
      <c r="G1039" s="5" t="s">
        <v>3986</v>
      </c>
      <c r="H1039" s="5" t="s">
        <v>4139</v>
      </c>
      <c r="I1039" s="5" t="s">
        <v>280</v>
      </c>
      <c r="J1039" s="5">
        <v>26.09</v>
      </c>
      <c r="K1039" s="5" t="s">
        <v>21</v>
      </c>
      <c r="L1039" s="5" t="s">
        <v>4228</v>
      </c>
      <c r="M1039" s="5" t="s">
        <v>4141</v>
      </c>
      <c r="N1039" s="7" t="str">
        <f>HYPERLINK("C:\Users\alexa\YandexDisk\Книги\Встроенные системы\IoT\Practical Python Programming for IoT.epub","Practical Python Programming for IoT.epub")</f>
        <v>Practical Python Programming for IoT.epub</v>
      </c>
      <c r="O1039" s="5" t="s">
        <v>4229</v>
      </c>
    </row>
    <row r="1040" spans="1:15" ht="138" x14ac:dyDescent="0.3">
      <c r="A1040" s="2">
        <v>1039</v>
      </c>
      <c r="B1040" s="3" t="s">
        <v>4230</v>
      </c>
      <c r="C1040" s="3" t="s">
        <v>4231</v>
      </c>
      <c r="D1040" s="3" t="s">
        <v>1022</v>
      </c>
      <c r="E1040" s="3" t="s">
        <v>205</v>
      </c>
      <c r="F1040" s="3" t="s">
        <v>4138</v>
      </c>
      <c r="G1040" s="3" t="s">
        <v>3986</v>
      </c>
      <c r="H1040" s="3" t="s">
        <v>4139</v>
      </c>
      <c r="I1040" s="3" t="s">
        <v>20</v>
      </c>
      <c r="J1040" s="3">
        <v>2.73</v>
      </c>
      <c r="K1040" s="3" t="s">
        <v>21</v>
      </c>
      <c r="L1040" s="3" t="s">
        <v>4232</v>
      </c>
      <c r="M1040" s="3" t="s">
        <v>4141</v>
      </c>
      <c r="N1040" s="6" t="str">
        <f>HYPERLINK("C:\Users\alexa\YandexDisk\Книги\Встроенные системы\IoT\Raspberry Pi Home Automation with Arduino - Second Edition.pdf","Raspberry Pi Home Automation with Arduino - Second Edition.pdf")</f>
        <v>Raspberry Pi Home Automation with Arduino - Second Edition.pdf</v>
      </c>
      <c r="O1040" s="3" t="s">
        <v>4233</v>
      </c>
    </row>
    <row r="1041" spans="1:15" ht="248.4" x14ac:dyDescent="0.3">
      <c r="A1041" s="4">
        <v>1040</v>
      </c>
      <c r="B1041" s="5" t="s">
        <v>4234</v>
      </c>
      <c r="C1041" s="5" t="s">
        <v>4235</v>
      </c>
      <c r="D1041" s="5" t="s">
        <v>71</v>
      </c>
      <c r="E1041" s="5" t="s">
        <v>4236</v>
      </c>
      <c r="F1041" s="5" t="s">
        <v>4138</v>
      </c>
      <c r="G1041" s="5" t="s">
        <v>3986</v>
      </c>
      <c r="H1041" s="5" t="s">
        <v>4139</v>
      </c>
      <c r="I1041" s="5" t="s">
        <v>20</v>
      </c>
      <c r="J1041" s="5">
        <v>11.35</v>
      </c>
      <c r="K1041" s="5" t="s">
        <v>21</v>
      </c>
      <c r="L1041" s="5" t="s">
        <v>4237</v>
      </c>
      <c r="M1041" s="5" t="s">
        <v>4141</v>
      </c>
      <c r="N1041" s="7" t="str">
        <f>HYPERLINK("C:\Users\alexa\YandexDisk\Книги\Встроенные системы\IoT\Recent_Advances_in_IoT_and_Blockchain_Techn.pdf","Recent_Advances_in_IoT_and_Blockchain_Techn.pdf")</f>
        <v>Recent_Advances_in_IoT_and_Blockchain_Techn.pdf</v>
      </c>
      <c r="O1041" s="5" t="s">
        <v>4238</v>
      </c>
    </row>
    <row r="1042" spans="1:15" ht="193.2" x14ac:dyDescent="0.3">
      <c r="A1042" s="2">
        <v>1041</v>
      </c>
      <c r="B1042" s="3" t="s">
        <v>4239</v>
      </c>
      <c r="C1042" s="3" t="s">
        <v>4240</v>
      </c>
      <c r="D1042" s="3" t="s">
        <v>71</v>
      </c>
      <c r="E1042" s="3" t="s">
        <v>536</v>
      </c>
      <c r="F1042" s="3" t="s">
        <v>4084</v>
      </c>
      <c r="G1042" s="3" t="s">
        <v>3986</v>
      </c>
      <c r="H1042" s="3" t="s">
        <v>4085</v>
      </c>
      <c r="I1042" s="3" t="s">
        <v>20</v>
      </c>
      <c r="J1042" s="3">
        <v>12.19</v>
      </c>
      <c r="K1042" s="3" t="s">
        <v>21</v>
      </c>
      <c r="L1042" s="3" t="s">
        <v>4241</v>
      </c>
      <c r="M1042" s="3" t="s">
        <v>4141</v>
      </c>
      <c r="N1042" s="6" t="str">
        <f>HYPERLINK("C:\Users\alexa\YandexDisk\Книги\Встроенные системы\IoT\Robotics for Programmers V4.pdf","Robotics for Programmers V4.pdf")</f>
        <v>Robotics for Programmers V4.pdf</v>
      </c>
      <c r="O1042" s="3" t="s">
        <v>4242</v>
      </c>
    </row>
    <row r="1043" spans="1:15" ht="165.6" x14ac:dyDescent="0.3">
      <c r="A1043" s="4">
        <v>1042</v>
      </c>
      <c r="B1043" s="5" t="s">
        <v>4243</v>
      </c>
      <c r="C1043" s="5" t="s">
        <v>4070</v>
      </c>
      <c r="D1043" s="5"/>
      <c r="E1043" s="5" t="s">
        <v>4244</v>
      </c>
      <c r="F1043" s="5" t="s">
        <v>4138</v>
      </c>
      <c r="G1043" s="5" t="s">
        <v>3986</v>
      </c>
      <c r="H1043" s="5" t="s">
        <v>4139</v>
      </c>
      <c r="I1043" s="5" t="s">
        <v>20</v>
      </c>
      <c r="J1043" s="5">
        <v>12.11</v>
      </c>
      <c r="K1043" s="5" t="s">
        <v>21</v>
      </c>
      <c r="L1043" s="5" t="s">
        <v>4245</v>
      </c>
      <c r="M1043" s="5" t="s">
        <v>4141</v>
      </c>
      <c r="N1043" s="7" t="str">
        <f>HYPERLINK("C:\Users\alexa\YandexDisk\Книги\Встроенные системы\IoT\Sensor_Projects_Elektor.pdf","Sensor_Projects_Elektor.pdf")</f>
        <v>Sensor_Projects_Elektor.pdf</v>
      </c>
      <c r="O1043" s="5" t="s">
        <v>4246</v>
      </c>
    </row>
    <row r="1044" spans="1:15" ht="207" x14ac:dyDescent="0.3">
      <c r="A1044" s="2">
        <v>1043</v>
      </c>
      <c r="B1044" s="3" t="s">
        <v>4247</v>
      </c>
      <c r="C1044" s="3" t="s">
        <v>4248</v>
      </c>
      <c r="D1044" s="3" t="s">
        <v>27</v>
      </c>
      <c r="E1044" s="3" t="s">
        <v>4249</v>
      </c>
      <c r="F1044" s="3" t="s">
        <v>4138</v>
      </c>
      <c r="G1044" s="3" t="s">
        <v>3986</v>
      </c>
      <c r="H1044" s="3" t="s">
        <v>4139</v>
      </c>
      <c r="I1044" s="3" t="s">
        <v>20</v>
      </c>
      <c r="J1044" s="3">
        <v>15.55</v>
      </c>
      <c r="K1044" s="3" t="s">
        <v>21</v>
      </c>
      <c r="L1044" s="3" t="s">
        <v>4250</v>
      </c>
      <c r="M1044" s="3" t="s">
        <v>4141</v>
      </c>
      <c r="N1044" s="6" t="str">
        <f>HYPERLINK("C:\Users\alexa\YandexDisk\Книги\Встроенные системы\IoT\TinyML. Книга рецептов.pdf","TinyML. Книга рецептов.pdf")</f>
        <v>TinyML. Книга рецептов.pdf</v>
      </c>
      <c r="O1044" s="3" t="s">
        <v>4251</v>
      </c>
    </row>
    <row r="1045" spans="1:15" ht="151.80000000000001" x14ac:dyDescent="0.3">
      <c r="A1045" s="4">
        <v>1044</v>
      </c>
      <c r="B1045" s="5" t="s">
        <v>4252</v>
      </c>
      <c r="C1045" s="5" t="s">
        <v>4253</v>
      </c>
      <c r="D1045" s="5" t="s">
        <v>77</v>
      </c>
      <c r="E1045" s="5" t="s">
        <v>102</v>
      </c>
      <c r="F1045" s="5" t="s">
        <v>4138</v>
      </c>
      <c r="G1045" s="5" t="s">
        <v>3986</v>
      </c>
      <c r="H1045" s="5" t="s">
        <v>4139</v>
      </c>
      <c r="I1045" s="5" t="s">
        <v>20</v>
      </c>
      <c r="J1045" s="5">
        <v>8.3800000000000008</v>
      </c>
      <c r="K1045" s="5" t="s">
        <v>21</v>
      </c>
      <c r="L1045" s="5" t="s">
        <v>4254</v>
      </c>
      <c r="M1045" s="5" t="s">
        <v>4141</v>
      </c>
      <c r="N1045" s="7" t="str">
        <f>HYPERLINK("C:\Users\alexa\YandexDisk\Книги\Встроенные системы\IoT\Антти_Суомалайнен Интернет_вещей_видео_аудио_коммутация 2019.pdf","Антти_Суомалайнен Интернет_вещей_видео_аудио_коммутация 2019.pdf")</f>
        <v>Антти_Суомалайнен Интернет_вещей_видео_аудио_коммутация 2019.pdf</v>
      </c>
      <c r="O1045" s="5" t="s">
        <v>4255</v>
      </c>
    </row>
    <row r="1046" spans="1:15" ht="220.8" x14ac:dyDescent="0.3">
      <c r="A1046" s="2">
        <v>1045</v>
      </c>
      <c r="B1046" s="3" t="s">
        <v>4256</v>
      </c>
      <c r="C1046" s="3" t="s">
        <v>4257</v>
      </c>
      <c r="D1046" s="3"/>
      <c r="E1046" s="3" t="s">
        <v>102</v>
      </c>
      <c r="F1046" s="3" t="s">
        <v>4138</v>
      </c>
      <c r="G1046" s="3" t="s">
        <v>3986</v>
      </c>
      <c r="H1046" s="3" t="s">
        <v>4139</v>
      </c>
      <c r="I1046" s="3" t="s">
        <v>20</v>
      </c>
      <c r="J1046" s="3">
        <v>15.2</v>
      </c>
      <c r="K1046" s="3" t="s">
        <v>21</v>
      </c>
      <c r="L1046" s="3" t="s">
        <v>4258</v>
      </c>
      <c r="M1046" s="3" t="s">
        <v>4141</v>
      </c>
      <c r="N1046" s="6" t="str">
        <f>HYPERLINK("C:\Users\alexa\YandexDisk\Книги\Встроенные системы\IoT\Архитектура интернета вещей.pdf","Архитектура интернета вещей.pdf")</f>
        <v>Архитектура интернета вещей.pdf</v>
      </c>
      <c r="O1046" s="3" t="s">
        <v>4259</v>
      </c>
    </row>
    <row r="1047" spans="1:15" ht="165.6" x14ac:dyDescent="0.3">
      <c r="A1047" s="4">
        <v>1046</v>
      </c>
      <c r="B1047" s="5" t="s">
        <v>4260</v>
      </c>
      <c r="C1047" s="5" t="s">
        <v>4261</v>
      </c>
      <c r="D1047" s="5"/>
      <c r="E1047" s="5" t="s">
        <v>3965</v>
      </c>
      <c r="F1047" s="5" t="s">
        <v>4138</v>
      </c>
      <c r="G1047" s="5" t="s">
        <v>3986</v>
      </c>
      <c r="H1047" s="5" t="s">
        <v>4139</v>
      </c>
      <c r="I1047" s="5" t="s">
        <v>519</v>
      </c>
      <c r="J1047" s="5">
        <v>14.71</v>
      </c>
      <c r="K1047" s="5" t="s">
        <v>21</v>
      </c>
      <c r="L1047" s="5" t="s">
        <v>4262</v>
      </c>
      <c r="M1047" s="5" t="s">
        <v>4141</v>
      </c>
      <c r="N1047" s="7" t="str">
        <f>HYPERLINK("C:\Users\alexa\YandexDisk\Книги\Встроенные системы\IoT\Беспроводные проекты на Raspberry Pi Zero W.zip","Беспроводные проекты на Raspberry Pi Zero W.zip")</f>
        <v>Беспроводные проекты на Raspberry Pi Zero W.zip</v>
      </c>
      <c r="O1047" s="5" t="s">
        <v>4263</v>
      </c>
    </row>
    <row r="1048" spans="1:15" ht="138" x14ac:dyDescent="0.3">
      <c r="A1048" s="2">
        <v>1047</v>
      </c>
      <c r="B1048" s="3" t="s">
        <v>4264</v>
      </c>
      <c r="C1048" s="3"/>
      <c r="D1048" s="3"/>
      <c r="E1048" s="3"/>
      <c r="F1048" s="3" t="s">
        <v>4138</v>
      </c>
      <c r="G1048" s="3" t="s">
        <v>3986</v>
      </c>
      <c r="H1048" s="3" t="s">
        <v>4139</v>
      </c>
      <c r="I1048" s="3" t="s">
        <v>20</v>
      </c>
      <c r="J1048" s="3">
        <v>65.62</v>
      </c>
      <c r="K1048" s="3" t="s">
        <v>21</v>
      </c>
      <c r="L1048" s="3" t="s">
        <v>4265</v>
      </c>
      <c r="M1048" s="3" t="s">
        <v>4141</v>
      </c>
      <c r="N1048" s="6" t="str">
        <f>HYPERLINK("C:\Users\alexa\YandexDisk\Книги\Встроенные системы\IoT\Встраиваемые системы на сонове Linux.pdf","Встраиваемые системы на сонове Linux.pdf")</f>
        <v>Встраиваемые системы на сонове Linux.pdf</v>
      </c>
      <c r="O1048" s="3" t="s">
        <v>4266</v>
      </c>
    </row>
    <row r="1049" spans="1:15" ht="151.80000000000001" x14ac:dyDescent="0.3">
      <c r="A1049" s="4">
        <v>1048</v>
      </c>
      <c r="B1049" s="5" t="s">
        <v>4252</v>
      </c>
      <c r="C1049" s="5" t="s">
        <v>4253</v>
      </c>
      <c r="D1049" s="5" t="s">
        <v>77</v>
      </c>
      <c r="E1049" s="5" t="s">
        <v>102</v>
      </c>
      <c r="F1049" s="5" t="s">
        <v>4138</v>
      </c>
      <c r="G1049" s="5" t="s">
        <v>3986</v>
      </c>
      <c r="H1049" s="5" t="s">
        <v>4139</v>
      </c>
      <c r="I1049" s="5" t="s">
        <v>20</v>
      </c>
      <c r="J1049" s="5">
        <v>8.56</v>
      </c>
      <c r="K1049" s="5" t="s">
        <v>21</v>
      </c>
      <c r="L1049" s="5" t="s">
        <v>4267</v>
      </c>
      <c r="M1049" s="5" t="s">
        <v>4141</v>
      </c>
      <c r="N1049" s="7" t="str">
        <f>HYPERLINK("C:\Users\alexa\YandexDisk\Книги\Встроенные системы\IoT\Интернет вещей.pdf","Интернет вещей.pdf")</f>
        <v>Интернет вещей.pdf</v>
      </c>
      <c r="O1049" s="5" t="s">
        <v>4268</v>
      </c>
    </row>
    <row r="1050" spans="1:15" ht="138" x14ac:dyDescent="0.3">
      <c r="A1050" s="2">
        <v>1049</v>
      </c>
      <c r="B1050" s="3" t="s">
        <v>4269</v>
      </c>
      <c r="C1050" s="3"/>
      <c r="D1050" s="3"/>
      <c r="E1050" s="3"/>
      <c r="F1050" s="3" t="s">
        <v>4138</v>
      </c>
      <c r="G1050" s="3" t="s">
        <v>3986</v>
      </c>
      <c r="H1050" s="3" t="s">
        <v>4139</v>
      </c>
      <c r="I1050" s="3" t="s">
        <v>20</v>
      </c>
      <c r="J1050" s="3">
        <v>54.32</v>
      </c>
      <c r="K1050" s="3" t="s">
        <v>21</v>
      </c>
      <c r="L1050" s="3" t="s">
        <v>4270</v>
      </c>
      <c r="M1050" s="3" t="s">
        <v>4141</v>
      </c>
      <c r="N1050" s="6" t="str">
        <f>HYPERLINK("C:\Users\alexa\YandexDisk\Книги\Встроенные системы\IoT\Интернет_вещей_JKPqYH.pdf","Интернет_вещей_JKPqYH.pdf")</f>
        <v>Интернет_вещей_JKPqYH.pdf</v>
      </c>
      <c r="O1050" s="3" t="s">
        <v>4271</v>
      </c>
    </row>
    <row r="1051" spans="1:15" ht="179.4" x14ac:dyDescent="0.3">
      <c r="A1051" s="4">
        <v>1050</v>
      </c>
      <c r="B1051" s="5" t="s">
        <v>4272</v>
      </c>
      <c r="C1051" s="5" t="s">
        <v>4273</v>
      </c>
      <c r="D1051" s="5" t="s">
        <v>335</v>
      </c>
      <c r="E1051" s="5" t="s">
        <v>515</v>
      </c>
      <c r="F1051" s="5" t="s">
        <v>4138</v>
      </c>
      <c r="G1051" s="5" t="s">
        <v>3986</v>
      </c>
      <c r="H1051" s="5" t="s">
        <v>4139</v>
      </c>
      <c r="I1051" s="5" t="s">
        <v>20</v>
      </c>
      <c r="J1051" s="5">
        <v>69.459999999999994</v>
      </c>
      <c r="K1051" s="5" t="s">
        <v>21</v>
      </c>
      <c r="L1051" s="5" t="s">
        <v>4274</v>
      </c>
      <c r="M1051" s="5" t="s">
        <v>4141</v>
      </c>
      <c r="N1051" s="7" t="str">
        <f>HYPERLINK("C:\Users\alexa\YandexDisk\Книги\Встроенные системы\IoT\Искусственный интеллект для периферийных устройств.pdf","Искусственный интеллект для периферийных устройств.pdf")</f>
        <v>Искусственный интеллект для периферийных устройств.pdf</v>
      </c>
      <c r="O1051" s="5" t="s">
        <v>4275</v>
      </c>
    </row>
    <row r="1052" spans="1:15" ht="151.80000000000001" x14ac:dyDescent="0.3">
      <c r="A1052" s="2">
        <v>1051</v>
      </c>
      <c r="B1052" s="3" t="s">
        <v>4276</v>
      </c>
      <c r="C1052" s="3" t="s">
        <v>4070</v>
      </c>
      <c r="D1052" s="3" t="s">
        <v>17</v>
      </c>
      <c r="E1052" s="3"/>
      <c r="F1052" s="3" t="s">
        <v>4138</v>
      </c>
      <c r="G1052" s="3" t="s">
        <v>3986</v>
      </c>
      <c r="H1052" s="3" t="s">
        <v>4139</v>
      </c>
      <c r="I1052" s="3" t="s">
        <v>519</v>
      </c>
      <c r="J1052" s="3">
        <v>22.01</v>
      </c>
      <c r="K1052" s="3" t="s">
        <v>21</v>
      </c>
      <c r="L1052" s="3" t="s">
        <v>4277</v>
      </c>
      <c r="M1052" s="3" t="s">
        <v>4141</v>
      </c>
      <c r="N1052" s="6" t="str">
        <f>HYPERLINK("C:\Users\alexa\YandexDisk\Книги\Встроенные системы\IoT\Использование_дисплеев_в_проектах_Raspberry_Pi.zip","Использование_дисплеев_в_проектах_Raspberry_Pi.zip")</f>
        <v>Использование_дисплеев_в_проектах_Raspberry_Pi.zip</v>
      </c>
      <c r="O1052" s="3" t="s">
        <v>4278</v>
      </c>
    </row>
    <row r="1053" spans="1:15" ht="165.6" x14ac:dyDescent="0.3">
      <c r="A1053" s="4">
        <v>1052</v>
      </c>
      <c r="B1053" s="5" t="s">
        <v>4136</v>
      </c>
      <c r="C1053" s="5"/>
      <c r="D1053" s="5" t="s">
        <v>59</v>
      </c>
      <c r="E1053" s="5"/>
      <c r="F1053" s="5" t="s">
        <v>4138</v>
      </c>
      <c r="G1053" s="5" t="s">
        <v>3986</v>
      </c>
      <c r="H1053" s="5" t="s">
        <v>4139</v>
      </c>
      <c r="I1053" s="5" t="s">
        <v>20</v>
      </c>
      <c r="J1053" s="5">
        <v>24.16</v>
      </c>
      <c r="K1053" s="5" t="s">
        <v>21</v>
      </c>
      <c r="L1053" s="5" t="s">
        <v>4279</v>
      </c>
      <c r="M1053" s="5" t="s">
        <v>4141</v>
      </c>
      <c r="N1053" s="7" t="str">
        <f>HYPERLINK("C:\Users\alexa\YandexDisk\Книги\Встроенные системы\IoT\Компьютерные_сети_IoT_и_межмашинное_взаимодействие.pdf","Компьютерные_сети_IoT_и_межмашинное_взаимодействие.pdf")</f>
        <v>Компьютерные_сети_IoT_и_межмашинное_взаимодействие.pdf</v>
      </c>
      <c r="O1053" s="5" t="s">
        <v>4280</v>
      </c>
    </row>
    <row r="1054" spans="1:15" ht="179.4" x14ac:dyDescent="0.3">
      <c r="A1054" s="2">
        <v>1053</v>
      </c>
      <c r="B1054" s="3" t="s">
        <v>4160</v>
      </c>
      <c r="C1054" s="3" t="s">
        <v>4281</v>
      </c>
      <c r="D1054" s="3" t="s">
        <v>32</v>
      </c>
      <c r="E1054" s="3" t="s">
        <v>102</v>
      </c>
      <c r="F1054" s="3" t="s">
        <v>4138</v>
      </c>
      <c r="G1054" s="3" t="s">
        <v>3986</v>
      </c>
      <c r="H1054" s="3" t="s">
        <v>4139</v>
      </c>
      <c r="I1054" s="3" t="s">
        <v>20</v>
      </c>
      <c r="J1054" s="3">
        <v>28.77</v>
      </c>
      <c r="K1054" s="3" t="s">
        <v>21</v>
      </c>
      <c r="L1054" s="3" t="s">
        <v>4282</v>
      </c>
      <c r="M1054" s="3" t="s">
        <v>4141</v>
      </c>
      <c r="N1054" s="6" t="str">
        <f>HYPERLINK("C:\Users\alexa\YandexDisk\Книги\Встроенные системы\IoT\Макаров_С_Л_Arduino_Uno_и_Raspberry_Pi_3_от_схемотехники_к_интернету.pdf","Макаров_С_Л_Arduino_Uno_и_Raspberry_Pi_3_от_схемотехники_к_интернету.pdf")</f>
        <v>Макаров_С_Л_Arduino_Uno_и_Raspberry_Pi_3_от_схемотехники_к_интернету.pdf</v>
      </c>
      <c r="O1054" s="3" t="s">
        <v>4283</v>
      </c>
    </row>
    <row r="1055" spans="1:15" ht="179.4" x14ac:dyDescent="0.3">
      <c r="A1055" s="4">
        <v>1054</v>
      </c>
      <c r="B1055" s="5" t="s">
        <v>4284</v>
      </c>
      <c r="C1055" s="5" t="s">
        <v>4157</v>
      </c>
      <c r="D1055" s="5" t="s">
        <v>71</v>
      </c>
      <c r="E1055" s="5" t="s">
        <v>402</v>
      </c>
      <c r="F1055" s="5" t="s">
        <v>4138</v>
      </c>
      <c r="G1055" s="5" t="s">
        <v>3986</v>
      </c>
      <c r="H1055" s="5" t="s">
        <v>4139</v>
      </c>
      <c r="I1055" s="5" t="s">
        <v>20</v>
      </c>
      <c r="J1055" s="5">
        <v>53.76</v>
      </c>
      <c r="K1055" s="5" t="s">
        <v>21</v>
      </c>
      <c r="L1055" s="5" t="s">
        <v>4285</v>
      </c>
      <c r="M1055" s="5" t="s">
        <v>4141</v>
      </c>
      <c r="N1055" s="7" t="str">
        <f>HYPERLINK("C:\Users\alexa\YandexDisk\Книги\Встроенные системы\IoT\Новые возможности Arduino 2022.pdf","Новые возможности Arduino 2022.pdf")</f>
        <v>Новые возможности Arduino 2022.pdf</v>
      </c>
      <c r="O1055" s="5" t="s">
        <v>4286</v>
      </c>
    </row>
    <row r="1056" spans="1:15" ht="124.2" x14ac:dyDescent="0.3">
      <c r="A1056" s="2">
        <v>1055</v>
      </c>
      <c r="B1056" s="3" t="s">
        <v>4287</v>
      </c>
      <c r="C1056" s="3" t="s">
        <v>4288</v>
      </c>
      <c r="D1056" s="3" t="s">
        <v>71</v>
      </c>
      <c r="E1056" s="3" t="s">
        <v>4289</v>
      </c>
      <c r="F1056" s="3" t="s">
        <v>4138</v>
      </c>
      <c r="G1056" s="3" t="s">
        <v>3986</v>
      </c>
      <c r="H1056" s="3" t="s">
        <v>4139</v>
      </c>
      <c r="I1056" s="3" t="s">
        <v>20</v>
      </c>
      <c r="J1056" s="3">
        <v>10.67</v>
      </c>
      <c r="K1056" s="3" t="s">
        <v>21</v>
      </c>
      <c r="L1056" s="3" t="s">
        <v>4290</v>
      </c>
      <c r="M1056" s="3" t="s">
        <v>4141</v>
      </c>
      <c r="N1056" s="6" t="str">
        <f>HYPERLINK("C:\Users\alexa\YandexDisk\Книги\Встроенные системы\IoT\Основы интернета вещей.pdf","Основы интернета вещей.pdf")</f>
        <v>Основы интернета вещей.pdf</v>
      </c>
      <c r="O1056" s="3" t="s">
        <v>4291</v>
      </c>
    </row>
    <row r="1057" spans="1:15" ht="165.6" x14ac:dyDescent="0.3">
      <c r="A1057" s="4">
        <v>1056</v>
      </c>
      <c r="B1057" s="5" t="s">
        <v>4292</v>
      </c>
      <c r="C1057" s="5"/>
      <c r="D1057" s="5" t="s">
        <v>59</v>
      </c>
      <c r="E1057" s="5"/>
      <c r="F1057" s="5" t="s">
        <v>4138</v>
      </c>
      <c r="G1057" s="5" t="s">
        <v>3986</v>
      </c>
      <c r="H1057" s="5" t="s">
        <v>4139</v>
      </c>
      <c r="I1057" s="5" t="s">
        <v>20</v>
      </c>
      <c r="J1057" s="5">
        <v>16</v>
      </c>
      <c r="K1057" s="5" t="s">
        <v>21</v>
      </c>
      <c r="L1057" s="5" t="s">
        <v>4293</v>
      </c>
      <c r="M1057" s="5" t="s">
        <v>4141</v>
      </c>
      <c r="N1057" s="7" t="str">
        <f>HYPERLINK("C:\Users\alexa\YandexDisk\Книги\Встроенные системы\IoT\Промышленный интернет вещей.pdf","Промышленный интернет вещей.pdf")</f>
        <v>Промышленный интернет вещей.pdf</v>
      </c>
      <c r="O1057" s="5" t="s">
        <v>4294</v>
      </c>
    </row>
    <row r="1058" spans="1:15" ht="179.4" x14ac:dyDescent="0.3">
      <c r="A1058" s="2">
        <v>1057</v>
      </c>
      <c r="B1058" s="3" t="s">
        <v>4295</v>
      </c>
      <c r="C1058" s="3" t="s">
        <v>4296</v>
      </c>
      <c r="D1058" s="3" t="s">
        <v>71</v>
      </c>
      <c r="E1058" s="3" t="s">
        <v>102</v>
      </c>
      <c r="F1058" s="3" t="s">
        <v>4138</v>
      </c>
      <c r="G1058" s="3" t="s">
        <v>3986</v>
      </c>
      <c r="H1058" s="3" t="s">
        <v>4139</v>
      </c>
      <c r="I1058" s="3" t="s">
        <v>20</v>
      </c>
      <c r="J1058" s="3">
        <v>109.48</v>
      </c>
      <c r="K1058" s="3" t="s">
        <v>21</v>
      </c>
      <c r="L1058" s="3" t="s">
        <v>4297</v>
      </c>
      <c r="M1058" s="3" t="s">
        <v>4141</v>
      </c>
      <c r="N1058" s="6" t="str">
        <f>HYPERLINK("C:\Users\alexa\YandexDisk\Книги\Встроенные системы\IoT\Разработка_беспилотных_транспортных_средств_2022_Шаошань_Лю.pdf","Разработка_беспилотных_транспортных_средств_2022_Шаошань_Лю.pdf")</f>
        <v>Разработка_беспилотных_транспортных_средств_2022_Шаошань_Лю.pdf</v>
      </c>
      <c r="O1058" s="3" t="s">
        <v>4298</v>
      </c>
    </row>
    <row r="1059" spans="1:15" ht="179.4" x14ac:dyDescent="0.3">
      <c r="A1059" s="4">
        <v>1058</v>
      </c>
      <c r="B1059" s="5" t="s">
        <v>4299</v>
      </c>
      <c r="C1059" s="5" t="s">
        <v>4300</v>
      </c>
      <c r="D1059" s="5" t="s">
        <v>17</v>
      </c>
      <c r="E1059" s="5" t="s">
        <v>148</v>
      </c>
      <c r="F1059" s="5" t="s">
        <v>4138</v>
      </c>
      <c r="G1059" s="5" t="s">
        <v>3986</v>
      </c>
      <c r="H1059" s="5" t="s">
        <v>4139</v>
      </c>
      <c r="I1059" s="5" t="s">
        <v>20</v>
      </c>
      <c r="J1059" s="5">
        <v>2.23</v>
      </c>
      <c r="K1059" s="5" t="s">
        <v>21</v>
      </c>
      <c r="L1059" s="5" t="s">
        <v>4301</v>
      </c>
      <c r="M1059" s="5" t="s">
        <v>4141</v>
      </c>
      <c r="N1059" s="7" t="str">
        <f>HYPERLINK("C:\Users\alexa\YandexDisk\Книги\Встроенные системы\IoT\Технологии IoT.pdf","Технологии IoT.pdf")</f>
        <v>Технологии IoT.pdf</v>
      </c>
      <c r="O1059" s="5" t="s">
        <v>4302</v>
      </c>
    </row>
    <row r="1060" spans="1:15" ht="193.2" x14ac:dyDescent="0.3">
      <c r="A1060" s="2">
        <v>1059</v>
      </c>
      <c r="B1060" s="3" t="s">
        <v>4299</v>
      </c>
      <c r="C1060" s="3" t="s">
        <v>4300</v>
      </c>
      <c r="D1060" s="3" t="s">
        <v>17</v>
      </c>
      <c r="E1060" s="3" t="s">
        <v>148</v>
      </c>
      <c r="F1060" s="3" t="s">
        <v>4138</v>
      </c>
      <c r="G1060" s="3" t="s">
        <v>3986</v>
      </c>
      <c r="H1060" s="3" t="s">
        <v>4139</v>
      </c>
      <c r="I1060" s="3" t="s">
        <v>20</v>
      </c>
      <c r="J1060" s="3">
        <v>2.23</v>
      </c>
      <c r="K1060" s="3" t="s">
        <v>21</v>
      </c>
      <c r="L1060" s="3" t="s">
        <v>4303</v>
      </c>
      <c r="M1060" s="3" t="s">
        <v>4141</v>
      </c>
      <c r="N1060" s="6" t="str">
        <f>HYPERLINK("C:\Users\alexa\YandexDisk\Книги\Встроенные системы\IoT\Технологии_создания_интеллектуальных_устройств,_подключенных_к_интернет.pdf","Технологии_создания_интеллектуальных_устройств,_подключенных_к_интернет.pdf")</f>
        <v>Технологии_создания_интеллектуальных_устройств,_подключенных_к_интернет.pdf</v>
      </c>
      <c r="O1060" s="3" t="s">
        <v>4304</v>
      </c>
    </row>
    <row r="1061" spans="1:15" ht="165.6" x14ac:dyDescent="0.3">
      <c r="A1061" s="4">
        <v>1060</v>
      </c>
      <c r="B1061" s="5" t="s">
        <v>4305</v>
      </c>
      <c r="C1061" s="5" t="s">
        <v>4306</v>
      </c>
      <c r="D1061" s="5" t="s">
        <v>71</v>
      </c>
      <c r="E1061" s="5" t="s">
        <v>102</v>
      </c>
      <c r="F1061" s="5" t="s">
        <v>4138</v>
      </c>
      <c r="G1061" s="5" t="s">
        <v>3986</v>
      </c>
      <c r="H1061" s="5" t="s">
        <v>4139</v>
      </c>
      <c r="I1061" s="5" t="s">
        <v>20</v>
      </c>
      <c r="J1061" s="5">
        <v>59.06</v>
      </c>
      <c r="K1061" s="5" t="s">
        <v>21</v>
      </c>
      <c r="L1061" s="5" t="s">
        <v>4307</v>
      </c>
      <c r="M1061" s="5" t="s">
        <v>4141</v>
      </c>
      <c r="N1061" s="7" t="str">
        <f>HYPERLINK("C:\Users\alexa\YandexDisk\Книги\Встроенные системы\IoT\Устройство_и_программирование_автономных_роботов 2022.pdf","Устройство_и_программирование_автономных_роботов 2022.pdf")</f>
        <v>Устройство_и_программирование_автономных_роботов 2022.pdf</v>
      </c>
      <c r="O1061" s="5" t="s">
        <v>4308</v>
      </c>
    </row>
    <row r="1062" spans="1:15" ht="207" x14ac:dyDescent="0.3">
      <c r="A1062" s="2">
        <v>1061</v>
      </c>
      <c r="B1062" s="3" t="s">
        <v>4309</v>
      </c>
      <c r="C1062" s="3" t="s">
        <v>4310</v>
      </c>
      <c r="D1062" s="3"/>
      <c r="E1062" s="3"/>
      <c r="F1062" s="3" t="s">
        <v>4213</v>
      </c>
      <c r="G1062" s="3" t="s">
        <v>3986</v>
      </c>
      <c r="H1062" s="3" t="s">
        <v>4214</v>
      </c>
      <c r="I1062" s="3" t="s">
        <v>519</v>
      </c>
      <c r="J1062" s="3">
        <v>9.91</v>
      </c>
      <c r="K1062" s="3" t="s">
        <v>21</v>
      </c>
      <c r="L1062" s="3" t="s">
        <v>4311</v>
      </c>
      <c r="M1062" s="3" t="s">
        <v>4312</v>
      </c>
      <c r="N1062" s="6" t="str">
        <f>HYPERLINK("C:\Users\alexa\YandexDisk\Книги\Встроенные системы\MicroPython\MicroPython для микроконтроллеров.zip","MicroPython для микроконтроллеров.zip")</f>
        <v>MicroPython для микроконтроллеров.zip</v>
      </c>
      <c r="O1062" s="3" t="s">
        <v>4313</v>
      </c>
    </row>
    <row r="1063" spans="1:15" ht="138" x14ac:dyDescent="0.3">
      <c r="A1063" s="4">
        <v>1062</v>
      </c>
      <c r="B1063" s="5" t="s">
        <v>4314</v>
      </c>
      <c r="C1063" s="5" t="s">
        <v>4315</v>
      </c>
      <c r="D1063" s="5" t="s">
        <v>59</v>
      </c>
      <c r="E1063" s="5" t="s">
        <v>726</v>
      </c>
      <c r="F1063" s="5" t="s">
        <v>4316</v>
      </c>
      <c r="G1063" s="5" t="s">
        <v>3986</v>
      </c>
      <c r="H1063" s="5" t="s">
        <v>4317</v>
      </c>
      <c r="I1063" s="5" t="s">
        <v>20</v>
      </c>
      <c r="J1063" s="5">
        <v>15.6</v>
      </c>
      <c r="K1063" s="5" t="s">
        <v>21</v>
      </c>
      <c r="L1063" s="5" t="s">
        <v>4318</v>
      </c>
      <c r="M1063" s="5" t="s">
        <v>4319</v>
      </c>
      <c r="N1063" s="7" t="str">
        <f>HYPERLINK("C:\Users\alexa\YandexDisk\Книги\Встроенные системы\Raspberry Pi\20_простых_проектов_на_Raspberry_Pi_Игрушки,_инструменты,_гаджеты.pdf","20_простых_проектов_на_Raspberry_Pi_Игрушки,_инструменты,_гаджеты.pdf")</f>
        <v>20_простых_проектов_на_Raspberry_Pi_Игрушки,_инструменты,_гаджеты.pdf</v>
      </c>
      <c r="O1063" s="5" t="s">
        <v>4320</v>
      </c>
    </row>
    <row r="1064" spans="1:15" ht="138" x14ac:dyDescent="0.3">
      <c r="A1064" s="2">
        <v>1063</v>
      </c>
      <c r="B1064" s="3" t="s">
        <v>4321</v>
      </c>
      <c r="C1064" s="3" t="s">
        <v>4322</v>
      </c>
      <c r="D1064" s="3"/>
      <c r="E1064" s="3"/>
      <c r="F1064" s="3" t="s">
        <v>4316</v>
      </c>
      <c r="G1064" s="3" t="s">
        <v>3986</v>
      </c>
      <c r="H1064" s="3" t="s">
        <v>4317</v>
      </c>
      <c r="I1064" s="3" t="s">
        <v>20</v>
      </c>
      <c r="J1064" s="3">
        <v>12.2</v>
      </c>
      <c r="K1064" s="3" t="s">
        <v>21</v>
      </c>
      <c r="L1064" s="3" t="s">
        <v>4323</v>
      </c>
      <c r="M1064" s="3" t="s">
        <v>4319</v>
      </c>
      <c r="N1064" s="6" t="str">
        <f>HYPERLINK("C:\Users\alexa\YandexDisk\Книги\Встроенные системы\Raspberry Pi\Raspberry Pi для секретных агентов.pdf","Raspberry Pi для секретных агентов.pdf")</f>
        <v>Raspberry Pi для секретных агентов.pdf</v>
      </c>
      <c r="O1064" s="3" t="s">
        <v>4324</v>
      </c>
    </row>
    <row r="1065" spans="1:15" ht="165.6" x14ac:dyDescent="0.3">
      <c r="A1065" s="4">
        <v>1064</v>
      </c>
      <c r="B1065" s="5" t="s">
        <v>4325</v>
      </c>
      <c r="C1065" s="5" t="s">
        <v>4050</v>
      </c>
      <c r="D1065" s="5" t="s">
        <v>27</v>
      </c>
      <c r="E1065" s="5" t="s">
        <v>442</v>
      </c>
      <c r="F1065" s="5" t="s">
        <v>4316</v>
      </c>
      <c r="G1065" s="5" t="s">
        <v>3986</v>
      </c>
      <c r="H1065" s="5" t="s">
        <v>4317</v>
      </c>
      <c r="I1065" s="5" t="s">
        <v>20</v>
      </c>
      <c r="J1065" s="5">
        <v>93.82</v>
      </c>
      <c r="K1065" s="5" t="s">
        <v>21</v>
      </c>
      <c r="L1065" s="5" t="s">
        <v>4326</v>
      </c>
      <c r="M1065" s="5" t="s">
        <v>4319</v>
      </c>
      <c r="N1065" s="7" t="str">
        <f>HYPERLINK("C:\Users\alexa\YandexDisk\Книги\Встроенные системы\Raspberry Pi\Raspberry Pi.pdf","Raspberry Pi.pdf")</f>
        <v>Raspberry Pi.pdf</v>
      </c>
      <c r="O1065" s="5" t="s">
        <v>4327</v>
      </c>
    </row>
    <row r="1066" spans="1:15" ht="179.4" x14ac:dyDescent="0.3">
      <c r="A1066" s="2">
        <v>1065</v>
      </c>
      <c r="B1066" s="3" t="s">
        <v>4328</v>
      </c>
      <c r="C1066" s="3" t="s">
        <v>4329</v>
      </c>
      <c r="D1066" s="3"/>
      <c r="E1066" s="3" t="s">
        <v>102</v>
      </c>
      <c r="F1066" s="3" t="s">
        <v>4316</v>
      </c>
      <c r="G1066" s="3" t="s">
        <v>3986</v>
      </c>
      <c r="H1066" s="3" t="s">
        <v>4317</v>
      </c>
      <c r="I1066" s="3" t="s">
        <v>20</v>
      </c>
      <c r="J1066" s="3">
        <v>60.88</v>
      </c>
      <c r="K1066" s="3" t="s">
        <v>21</v>
      </c>
      <c r="L1066" s="3" t="s">
        <v>4330</v>
      </c>
      <c r="M1066" s="3" t="s">
        <v>4319</v>
      </c>
      <c r="N1066" s="6" t="str">
        <f>HYPERLINK("C:\Users\alexa\YandexDisk\Книги\Встроенные системы\Raspberry Pi\Raspberry для начинающих.pdf","Raspberry для начинающих.pdf")</f>
        <v>Raspberry для начинающих.pdf</v>
      </c>
      <c r="O1066" s="3" t="s">
        <v>4331</v>
      </c>
    </row>
    <row r="1067" spans="1:15" ht="151.80000000000001" x14ac:dyDescent="0.3">
      <c r="A1067" s="4">
        <v>1066</v>
      </c>
      <c r="B1067" s="5" t="s">
        <v>4332</v>
      </c>
      <c r="C1067" s="5" t="s">
        <v>4050</v>
      </c>
      <c r="D1067" s="5" t="s">
        <v>114</v>
      </c>
      <c r="E1067" s="5" t="s">
        <v>442</v>
      </c>
      <c r="F1067" s="5" t="s">
        <v>4316</v>
      </c>
      <c r="G1067" s="5" t="s">
        <v>3986</v>
      </c>
      <c r="H1067" s="5" t="s">
        <v>4317</v>
      </c>
      <c r="I1067" s="5" t="s">
        <v>20</v>
      </c>
      <c r="J1067" s="5">
        <v>122.81</v>
      </c>
      <c r="K1067" s="5" t="s">
        <v>21</v>
      </c>
      <c r="L1067" s="5" t="s">
        <v>4333</v>
      </c>
      <c r="M1067" s="5" t="s">
        <v>4319</v>
      </c>
      <c r="N1067" s="7" t="str">
        <f>HYPERLINK("C:\Users\alexa\YandexDisk\Книги\Встроенные системы\Raspberry Pi\Simon Monk - Raspberry Pi Cookbook S - 2016.pdf","Simon Monk - Raspberry Pi Cookbook S - 2016.pdf")</f>
        <v>Simon Monk - Raspberry Pi Cookbook S - 2016.pdf</v>
      </c>
      <c r="O1067" s="5" t="s">
        <v>4334</v>
      </c>
    </row>
    <row r="1068" spans="1:15" ht="151.80000000000001" x14ac:dyDescent="0.3">
      <c r="A1068" s="2">
        <v>1067</v>
      </c>
      <c r="B1068" s="3" t="s">
        <v>4332</v>
      </c>
      <c r="C1068" s="3" t="s">
        <v>4050</v>
      </c>
      <c r="D1068" s="3" t="s">
        <v>186</v>
      </c>
      <c r="E1068" s="3" t="s">
        <v>260</v>
      </c>
      <c r="F1068" s="3" t="s">
        <v>4316</v>
      </c>
      <c r="G1068" s="3" t="s">
        <v>3986</v>
      </c>
      <c r="H1068" s="3" t="s">
        <v>4317</v>
      </c>
      <c r="I1068" s="3" t="s">
        <v>20</v>
      </c>
      <c r="J1068" s="3">
        <v>13.01</v>
      </c>
      <c r="K1068" s="3" t="s">
        <v>21</v>
      </c>
      <c r="L1068" s="3" t="s">
        <v>4335</v>
      </c>
      <c r="M1068" s="3" t="s">
        <v>4319</v>
      </c>
      <c r="N1068" s="6" t="str">
        <f>HYPERLINK("C:\Users\alexa\YandexDisk\Книги\Встроенные системы\Raspberry Pi\Simon Monk - Raspberry Pi Cookbook-2014.pdf","Simon Monk - Raspberry Pi Cookbook-2014.pdf")</f>
        <v>Simon Monk - Raspberry Pi Cookbook-2014.pdf</v>
      </c>
      <c r="O1068" s="3" t="s">
        <v>4336</v>
      </c>
    </row>
    <row r="1069" spans="1:15" ht="193.2" x14ac:dyDescent="0.3">
      <c r="A1069" s="4">
        <v>1068</v>
      </c>
      <c r="B1069" s="5" t="s">
        <v>4337</v>
      </c>
      <c r="C1069" s="5" t="s">
        <v>4338</v>
      </c>
      <c r="D1069" s="5" t="s">
        <v>114</v>
      </c>
      <c r="E1069" s="5"/>
      <c r="F1069" s="5" t="s">
        <v>4316</v>
      </c>
      <c r="G1069" s="5" t="s">
        <v>3986</v>
      </c>
      <c r="H1069" s="5" t="s">
        <v>4317</v>
      </c>
      <c r="I1069" s="5" t="s">
        <v>20</v>
      </c>
      <c r="J1069" s="5">
        <v>3.84</v>
      </c>
      <c r="K1069" s="5" t="s">
        <v>21</v>
      </c>
      <c r="L1069" s="5" t="s">
        <v>4339</v>
      </c>
      <c r="M1069" s="5" t="s">
        <v>4319</v>
      </c>
      <c r="N1069" s="7" t="str">
        <f>HYPERLINK("C:\Users\alexa\YandexDisk\Книги\Встроенные системы\Raspberry Pi\Upravlenie_elektronnymi_ustroystvami_na_C__Ya_Katupitia_2016M.pdf","Upravlenie_elektronnymi_ustroystvami_na_C__Ya_Katupitia_2016M.pdf")</f>
        <v>Upravlenie_elektronnymi_ustroystvami_na_C__Ya_Katupitia_2016M.pdf</v>
      </c>
      <c r="O1069" s="5" t="s">
        <v>4340</v>
      </c>
    </row>
    <row r="1070" spans="1:15" ht="151.80000000000001" x14ac:dyDescent="0.3">
      <c r="A1070" s="2">
        <v>1069</v>
      </c>
      <c r="B1070" s="3" t="s">
        <v>4341</v>
      </c>
      <c r="C1070" s="3" t="s">
        <v>4342</v>
      </c>
      <c r="D1070" s="3" t="s">
        <v>71</v>
      </c>
      <c r="E1070" s="3" t="s">
        <v>402</v>
      </c>
      <c r="F1070" s="3" t="s">
        <v>4316</v>
      </c>
      <c r="G1070" s="3" t="s">
        <v>3986</v>
      </c>
      <c r="H1070" s="3" t="s">
        <v>4317</v>
      </c>
      <c r="I1070" s="3" t="s">
        <v>20</v>
      </c>
      <c r="J1070" s="3">
        <v>20.309999999999999</v>
      </c>
      <c r="K1070" s="3" t="s">
        <v>21</v>
      </c>
      <c r="L1070" s="3" t="s">
        <v>4343</v>
      </c>
      <c r="M1070" s="3" t="s">
        <v>4319</v>
      </c>
      <c r="N1070" s="6" t="str">
        <f>HYPERLINK("C:\Users\alexa\YandexDisk\Книги\Встроенные системы\Raspberry Pi\Ассемблер для Raspberry Pi.pdf","Ассемблер для Raspberry Pi.pdf")</f>
        <v>Ассемблер для Raspberry Pi.pdf</v>
      </c>
      <c r="O1070" s="3" t="s">
        <v>4344</v>
      </c>
    </row>
    <row r="1071" spans="1:15" ht="179.4" x14ac:dyDescent="0.3">
      <c r="A1071" s="4">
        <v>1070</v>
      </c>
      <c r="B1071" s="5" t="s">
        <v>4345</v>
      </c>
      <c r="C1071" s="5" t="s">
        <v>4346</v>
      </c>
      <c r="D1071" s="5" t="s">
        <v>59</v>
      </c>
      <c r="E1071" s="5" t="s">
        <v>402</v>
      </c>
      <c r="F1071" s="5" t="s">
        <v>4316</v>
      </c>
      <c r="G1071" s="5" t="s">
        <v>3986</v>
      </c>
      <c r="H1071" s="5" t="s">
        <v>4317</v>
      </c>
      <c r="I1071" s="5" t="s">
        <v>20</v>
      </c>
      <c r="J1071" s="5">
        <v>4.08</v>
      </c>
      <c r="K1071" s="5" t="s">
        <v>21</v>
      </c>
      <c r="L1071" s="5" t="s">
        <v>4347</v>
      </c>
      <c r="M1071" s="5" t="s">
        <v>4319</v>
      </c>
      <c r="N1071" s="7" t="str">
        <f>HYPERLINK("C:\Users\alexa\YandexDisk\Книги\Встроенные системы\Raspberry Pi\Робототехника на Raspberry.pdf","Робототехника на Raspberry.pdf")</f>
        <v>Робототехника на Raspberry.pdf</v>
      </c>
      <c r="O1071" s="5" t="s">
        <v>4348</v>
      </c>
    </row>
    <row r="1072" spans="1:15" ht="165.6" x14ac:dyDescent="0.3">
      <c r="A1072" s="2">
        <v>1071</v>
      </c>
      <c r="B1072" s="3" t="s">
        <v>4349</v>
      </c>
      <c r="C1072" s="3"/>
      <c r="D1072" s="3"/>
      <c r="E1072" s="3" t="s">
        <v>102</v>
      </c>
      <c r="F1072" s="3" t="s">
        <v>4350</v>
      </c>
      <c r="G1072" s="3" t="s">
        <v>3986</v>
      </c>
      <c r="H1072" s="3" t="s">
        <v>4351</v>
      </c>
      <c r="I1072" s="3" t="s">
        <v>20</v>
      </c>
      <c r="J1072" s="3">
        <v>10.78</v>
      </c>
      <c r="K1072" s="3" t="s">
        <v>21</v>
      </c>
      <c r="L1072" s="3" t="s">
        <v>4352</v>
      </c>
      <c r="M1072" s="3" t="s">
        <v>4353</v>
      </c>
      <c r="N1072" s="6" t="str">
        <f>HYPERLINK("C:\Users\alexa\YandexDisk\Книги\Встроенные системы\Микроконтроллеры\!Программирование_встроенных_систем_на_C++17.pdf","!Программирование_встроенных_систем_на_C++17.pdf")</f>
        <v>!Программирование_встроенных_систем_на_C++17.pdf</v>
      </c>
      <c r="O1072" s="3" t="s">
        <v>4354</v>
      </c>
    </row>
    <row r="1073" spans="1:15" ht="262.2" x14ac:dyDescent="0.3">
      <c r="A1073" s="4">
        <v>1072</v>
      </c>
      <c r="B1073" s="5" t="s">
        <v>4355</v>
      </c>
      <c r="C1073" s="5" t="s">
        <v>4356</v>
      </c>
      <c r="D1073" s="5" t="s">
        <v>17</v>
      </c>
      <c r="E1073" s="5"/>
      <c r="F1073" s="5" t="s">
        <v>4350</v>
      </c>
      <c r="G1073" s="5" t="s">
        <v>3986</v>
      </c>
      <c r="H1073" s="5" t="s">
        <v>4351</v>
      </c>
      <c r="I1073" s="5" t="s">
        <v>20</v>
      </c>
      <c r="J1073" s="5">
        <v>65.16</v>
      </c>
      <c r="K1073" s="5" t="s">
        <v>21</v>
      </c>
      <c r="L1073" s="5" t="s">
        <v>4357</v>
      </c>
      <c r="M1073" s="5" t="s">
        <v>4353</v>
      </c>
      <c r="N1073" s="7" t="str">
        <f>HYPERLINK("C:\Users\alexa\YandexDisk\Книги\Встроенные системы\Микроконтроллеры\Control_Systems_Engineering_Design_and_Implementation_using_Arm.pdf","Control_Systems_Engineering_Design_and_Implementation_using_Arm.pdf")</f>
        <v>Control_Systems_Engineering_Design_and_Implementation_using_Arm.pdf</v>
      </c>
      <c r="O1073" s="5" t="s">
        <v>4358</v>
      </c>
    </row>
    <row r="1074" spans="1:15" ht="193.2" x14ac:dyDescent="0.3">
      <c r="A1074" s="2">
        <v>1073</v>
      </c>
      <c r="B1074" s="3" t="s">
        <v>4359</v>
      </c>
      <c r="C1074" s="3" t="s">
        <v>4360</v>
      </c>
      <c r="D1074" s="3" t="s">
        <v>17</v>
      </c>
      <c r="E1074" s="3" t="s">
        <v>296</v>
      </c>
      <c r="F1074" s="3" t="s">
        <v>4350</v>
      </c>
      <c r="G1074" s="3" t="s">
        <v>3986</v>
      </c>
      <c r="H1074" s="3" t="s">
        <v>4351</v>
      </c>
      <c r="I1074" s="3" t="s">
        <v>519</v>
      </c>
      <c r="J1074" s="3">
        <v>35.19</v>
      </c>
      <c r="K1074" s="3" t="s">
        <v>21</v>
      </c>
      <c r="L1074" s="3" t="s">
        <v>4361</v>
      </c>
      <c r="M1074" s="3" t="s">
        <v>4353</v>
      </c>
      <c r="N1074" s="6" t="str">
        <f>HYPERLINK("C:\Users\alexa\YandexDisk\Книги\Встроенные системы\Микроконтроллеры\Embedded Software Design.zip","Embedded Software Design.zip")</f>
        <v>Embedded Software Design.zip</v>
      </c>
      <c r="O1074" s="3" t="s">
        <v>4362</v>
      </c>
    </row>
    <row r="1075" spans="1:15" ht="165.6" x14ac:dyDescent="0.3">
      <c r="A1075" s="4">
        <v>1074</v>
      </c>
      <c r="B1075" s="5" t="s">
        <v>4363</v>
      </c>
      <c r="C1075" s="5" t="s">
        <v>4364</v>
      </c>
      <c r="D1075" s="5" t="s">
        <v>114</v>
      </c>
      <c r="E1075" s="5" t="s">
        <v>485</v>
      </c>
      <c r="F1075" s="5" t="s">
        <v>4350</v>
      </c>
      <c r="G1075" s="5" t="s">
        <v>3986</v>
      </c>
      <c r="H1075" s="5" t="s">
        <v>4351</v>
      </c>
      <c r="I1075" s="5" t="s">
        <v>20</v>
      </c>
      <c r="J1075" s="5">
        <v>37.71</v>
      </c>
      <c r="K1075" s="5" t="s">
        <v>21</v>
      </c>
      <c r="L1075" s="5" t="s">
        <v>4365</v>
      </c>
      <c r="M1075" s="5" t="s">
        <v>4353</v>
      </c>
      <c r="N1075" s="7" t="str">
        <f>HYPERLINK("C:\Users\alexa\YandexDisk\Книги\Встроенные системы\Микроконтроллеры\mikrokontrolleryi-avr.pdf","mikrokontrolleryi-avr.pdf")</f>
        <v>mikrokontrolleryi-avr.pdf</v>
      </c>
      <c r="O1075" s="5" t="s">
        <v>4366</v>
      </c>
    </row>
    <row r="1076" spans="1:15" ht="234.6" x14ac:dyDescent="0.3">
      <c r="A1076" s="2">
        <v>1075</v>
      </c>
      <c r="B1076" s="3" t="s">
        <v>4367</v>
      </c>
      <c r="C1076" s="3" t="s">
        <v>4368</v>
      </c>
      <c r="D1076" s="3"/>
      <c r="E1076" s="3" t="s">
        <v>933</v>
      </c>
      <c r="F1076" s="3" t="s">
        <v>4350</v>
      </c>
      <c r="G1076" s="3" t="s">
        <v>3986</v>
      </c>
      <c r="H1076" s="3" t="s">
        <v>4351</v>
      </c>
      <c r="I1076" s="3" t="s">
        <v>20</v>
      </c>
      <c r="J1076" s="3">
        <v>43.51</v>
      </c>
      <c r="K1076" s="3" t="s">
        <v>21</v>
      </c>
      <c r="L1076" s="3" t="s">
        <v>4369</v>
      </c>
      <c r="M1076" s="3" t="s">
        <v>4353</v>
      </c>
      <c r="N1076" s="6" t="str">
        <f>HYPERLINK("C:\Users\alexa\YandexDisk\Книги\Встроенные системы\Микроконтроллеры\Nanoelectronics_for_Next-Gen_Integrated_Circuits.pdf","Nanoelectronics_for_Next-Gen_Integrated_Circuits.pdf")</f>
        <v>Nanoelectronics_for_Next-Gen_Integrated_Circuits.pdf</v>
      </c>
      <c r="O1076" s="3" t="s">
        <v>4370</v>
      </c>
    </row>
    <row r="1077" spans="1:15" ht="179.4" x14ac:dyDescent="0.3">
      <c r="A1077" s="4">
        <v>1076</v>
      </c>
      <c r="B1077" s="5" t="s">
        <v>4371</v>
      </c>
      <c r="C1077" s="5" t="s">
        <v>4372</v>
      </c>
      <c r="D1077" s="5" t="s">
        <v>114</v>
      </c>
      <c r="E1077" s="5" t="s">
        <v>4289</v>
      </c>
      <c r="F1077" s="5" t="s">
        <v>4350</v>
      </c>
      <c r="G1077" s="5" t="s">
        <v>3986</v>
      </c>
      <c r="H1077" s="5" t="s">
        <v>4351</v>
      </c>
      <c r="I1077" s="5" t="s">
        <v>20</v>
      </c>
      <c r="J1077" s="5">
        <v>3.99</v>
      </c>
      <c r="K1077" s="5" t="s">
        <v>21</v>
      </c>
      <c r="L1077" s="5" t="s">
        <v>4373</v>
      </c>
      <c r="M1077" s="5" t="s">
        <v>4353</v>
      </c>
      <c r="N1077" s="7" t="str">
        <f>HYPERLINK("C:\Users\alexa\YandexDisk\Книги\Встроенные системы\Микроконтроллеры\Parallelnye_vychislenia_na_graficheskikh_protsessorakh.pdf","Parallelnye_vychislenia_na_graficheskikh_protsessorakh.pdf")</f>
        <v>Parallelnye_vychislenia_na_graficheskikh_protsessorakh.pdf</v>
      </c>
      <c r="O1077" s="5" t="s">
        <v>4374</v>
      </c>
    </row>
    <row r="1078" spans="1:15" ht="193.2" x14ac:dyDescent="0.3">
      <c r="A1078" s="2">
        <v>1077</v>
      </c>
      <c r="B1078" s="3" t="s">
        <v>4375</v>
      </c>
      <c r="C1078" s="3" t="s">
        <v>4376</v>
      </c>
      <c r="D1078" s="3"/>
      <c r="E1078" s="3"/>
      <c r="F1078" s="3" t="s">
        <v>4350</v>
      </c>
      <c r="G1078" s="3" t="s">
        <v>3986</v>
      </c>
      <c r="H1078" s="3" t="s">
        <v>4351</v>
      </c>
      <c r="I1078" s="3" t="s">
        <v>20</v>
      </c>
      <c r="J1078" s="3">
        <v>19.18</v>
      </c>
      <c r="K1078" s="3" t="s">
        <v>21</v>
      </c>
      <c r="L1078" s="3" t="s">
        <v>4377</v>
      </c>
      <c r="M1078" s="3" t="s">
        <v>4353</v>
      </c>
      <c r="N1078" s="6" t="str">
        <f>HYPERLINK("C:\Users\alexa\YandexDisk\Книги\Встроенные системы\Микроконтроллеры\Think_DSP_Цифровая_обработка_сигналов_на_Python_by_Аллен_Б.pdf","Think_DSP_Цифровая_обработка_сигналов_на_Python_by_Аллен_Б.pdf")</f>
        <v>Think_DSP_Цифровая_обработка_сигналов_на_Python_by_Аллен_Б.pdf</v>
      </c>
      <c r="O1078" s="3" t="s">
        <v>4378</v>
      </c>
    </row>
    <row r="1079" spans="1:15" ht="179.4" x14ac:dyDescent="0.3">
      <c r="A1079" s="4">
        <v>1078</v>
      </c>
      <c r="B1079" s="5" t="s">
        <v>4379</v>
      </c>
      <c r="C1079" s="5" t="s">
        <v>4380</v>
      </c>
      <c r="D1079" s="5" t="s">
        <v>27</v>
      </c>
      <c r="E1079" s="5" t="s">
        <v>102</v>
      </c>
      <c r="F1079" s="5" t="s">
        <v>4350</v>
      </c>
      <c r="G1079" s="5" t="s">
        <v>3986</v>
      </c>
      <c r="H1079" s="5" t="s">
        <v>4351</v>
      </c>
      <c r="I1079" s="5" t="s">
        <v>20</v>
      </c>
      <c r="J1079" s="5">
        <v>16.100000000000001</v>
      </c>
      <c r="K1079" s="5" t="s">
        <v>21</v>
      </c>
      <c r="L1079" s="5" t="s">
        <v>4381</v>
      </c>
      <c r="M1079" s="5" t="s">
        <v>4353</v>
      </c>
      <c r="N1079" s="7" t="str">
        <f>HYPERLINK("C:\Users\alexa\YandexDisk\Книги\Встроенные системы\Микроконтроллеры\Архитектура встраиваемых систем.pdf","Архитектура встраиваемых систем.pdf")</f>
        <v>Архитектура встраиваемых систем.pdf</v>
      </c>
      <c r="O1079" s="5" t="s">
        <v>4382</v>
      </c>
    </row>
    <row r="1080" spans="1:15" ht="193.2" x14ac:dyDescent="0.3">
      <c r="A1080" s="2">
        <v>1079</v>
      </c>
      <c r="B1080" s="3" t="s">
        <v>4383</v>
      </c>
      <c r="C1080" s="3" t="s">
        <v>4384</v>
      </c>
      <c r="D1080" s="3" t="s">
        <v>32</v>
      </c>
      <c r="E1080" s="3"/>
      <c r="F1080" s="3" t="s">
        <v>4350</v>
      </c>
      <c r="G1080" s="3" t="s">
        <v>3986</v>
      </c>
      <c r="H1080" s="3" t="s">
        <v>4351</v>
      </c>
      <c r="I1080" s="3" t="s">
        <v>721</v>
      </c>
      <c r="J1080" s="3">
        <v>20.93</v>
      </c>
      <c r="K1080" s="3" t="s">
        <v>21</v>
      </c>
      <c r="L1080" s="3" t="s">
        <v>4385</v>
      </c>
      <c r="M1080" s="3" t="s">
        <v>4353</v>
      </c>
      <c r="N1080" s="6" t="str">
        <f>HYPERLINK("C:\Users\alexa\YandexDisk\Книги\Встроенные системы\Микроконтроллеры\Гололобов_В_Н_Электроника_для_любознательных_2018.djvu","Гололобов_В_Н_Электроника_для_любознательных_2018.djvu")</f>
        <v>Гололобов_В_Н_Электроника_для_любознательных_2018.djvu</v>
      </c>
      <c r="O1080" s="3" t="s">
        <v>4386</v>
      </c>
    </row>
    <row r="1081" spans="1:15" ht="179.4" x14ac:dyDescent="0.3">
      <c r="A1081" s="4">
        <v>1080</v>
      </c>
      <c r="B1081" s="5" t="s">
        <v>4387</v>
      </c>
      <c r="C1081" s="5" t="s">
        <v>4388</v>
      </c>
      <c r="D1081" s="5"/>
      <c r="E1081" s="5" t="s">
        <v>102</v>
      </c>
      <c r="F1081" s="5" t="s">
        <v>4084</v>
      </c>
      <c r="G1081" s="5" t="s">
        <v>3986</v>
      </c>
      <c r="H1081" s="5" t="s">
        <v>4085</v>
      </c>
      <c r="I1081" s="5" t="s">
        <v>20</v>
      </c>
      <c r="J1081" s="5">
        <v>25.15</v>
      </c>
      <c r="K1081" s="5" t="s">
        <v>21</v>
      </c>
      <c r="L1081" s="5" t="s">
        <v>4389</v>
      </c>
      <c r="M1081" s="5" t="s">
        <v>4353</v>
      </c>
      <c r="N1081" s="7" t="str">
        <f>HYPERLINK("C:\Users\alexa\YandexDisk\Книги\Встроенные системы\Микроконтроллеры\Изучение_робототехники_с_помощью_Python.pdf","Изучение_робототехники_с_помощью_Python.pdf")</f>
        <v>Изучение_робототехники_с_помощью_Python.pdf</v>
      </c>
      <c r="O1081" s="5" t="s">
        <v>4390</v>
      </c>
    </row>
    <row r="1082" spans="1:15" ht="165.6" x14ac:dyDescent="0.3">
      <c r="A1082" s="2">
        <v>1081</v>
      </c>
      <c r="B1082" s="3" t="s">
        <v>4391</v>
      </c>
      <c r="C1082" s="3" t="s">
        <v>4392</v>
      </c>
      <c r="D1082" s="3" t="s">
        <v>32</v>
      </c>
      <c r="E1082" s="3" t="s">
        <v>1431</v>
      </c>
      <c r="F1082" s="3" t="s">
        <v>4350</v>
      </c>
      <c r="G1082" s="3" t="s">
        <v>3986</v>
      </c>
      <c r="H1082" s="3" t="s">
        <v>4351</v>
      </c>
      <c r="I1082" s="3" t="s">
        <v>20</v>
      </c>
      <c r="J1082" s="3">
        <v>68.81</v>
      </c>
      <c r="K1082" s="3" t="s">
        <v>21</v>
      </c>
      <c r="L1082" s="3" t="s">
        <v>4393</v>
      </c>
      <c r="M1082" s="3" t="s">
        <v>4353</v>
      </c>
      <c r="N1082" s="6" t="str">
        <f>HYPERLINK("C:\Users\alexa\YandexDisk\Книги\Встроенные системы\Микроконтроллеры\Кэтлин_Шамие_Основы_электроники_для_чайников 2018.pdf","Кэтлин_Шамие_Основы_электроники_для_чайников 2018.pdf")</f>
        <v>Кэтлин_Шамие_Основы_электроники_для_чайников 2018.pdf</v>
      </c>
      <c r="O1082" s="3" t="s">
        <v>4394</v>
      </c>
    </row>
    <row r="1083" spans="1:15" ht="138" x14ac:dyDescent="0.3">
      <c r="A1083" s="4">
        <v>1082</v>
      </c>
      <c r="B1083" s="5" t="s">
        <v>4395</v>
      </c>
      <c r="C1083" s="5" t="s">
        <v>4396</v>
      </c>
      <c r="D1083" s="5" t="s">
        <v>1022</v>
      </c>
      <c r="E1083" s="5" t="s">
        <v>4397</v>
      </c>
      <c r="F1083" s="5" t="s">
        <v>4350</v>
      </c>
      <c r="G1083" s="5" t="s">
        <v>3986</v>
      </c>
      <c r="H1083" s="5" t="s">
        <v>4351</v>
      </c>
      <c r="I1083" s="5" t="s">
        <v>20</v>
      </c>
      <c r="J1083" s="5">
        <v>89.05</v>
      </c>
      <c r="K1083" s="5" t="s">
        <v>21</v>
      </c>
      <c r="L1083" s="5" t="s">
        <v>4398</v>
      </c>
      <c r="M1083" s="5" t="s">
        <v>4353</v>
      </c>
      <c r="N1083" s="7" t="str">
        <f>HYPERLINK("C:\Users\alexa\YandexDisk\Книги\Встроенные системы\Микроконтроллеры\Мак_Комб_Г_,_Бойсен_Э_Радиоэлектроника_для_чайников_Вильямс_2015.pdf","Мак_Комб_Г_,_Бойсен_Э_Радиоэлектроника_для_чайников_Вильямс_2015.pdf")</f>
        <v>Мак_Комб_Г_,_Бойсен_Э_Радиоэлектроника_для_чайников_Вильямс_2015.pdf</v>
      </c>
      <c r="O1083" s="5" t="s">
        <v>4399</v>
      </c>
    </row>
    <row r="1084" spans="1:15" ht="193.2" x14ac:dyDescent="0.3">
      <c r="A1084" s="2">
        <v>1083</v>
      </c>
      <c r="B1084" s="3" t="s">
        <v>4400</v>
      </c>
      <c r="C1084" s="3" t="s">
        <v>4401</v>
      </c>
      <c r="D1084" s="3" t="s">
        <v>476</v>
      </c>
      <c r="E1084" s="3" t="s">
        <v>18</v>
      </c>
      <c r="F1084" s="3" t="s">
        <v>4350</v>
      </c>
      <c r="G1084" s="3" t="s">
        <v>3986</v>
      </c>
      <c r="H1084" s="3" t="s">
        <v>4351</v>
      </c>
      <c r="I1084" s="3" t="s">
        <v>20</v>
      </c>
      <c r="J1084" s="3">
        <v>6.17</v>
      </c>
      <c r="K1084" s="3" t="s">
        <v>21</v>
      </c>
      <c r="L1084" s="3" t="s">
        <v>4402</v>
      </c>
      <c r="M1084" s="3" t="s">
        <v>4353</v>
      </c>
      <c r="N1084" s="6" t="str">
        <f>HYPERLINK("C:\Users\alexa\YandexDisk\Книги\Встроенные системы\Микроконтроллеры\Микропроцессоры_и_вычислительные_комплексы_Эльбрус.pdf","Микропроцессоры_и_вычислительные_комплексы_Эльбрус.pdf")</f>
        <v>Микропроцессоры_и_вычислительные_комплексы_Эльбрус.pdf</v>
      </c>
      <c r="O1084" s="3" t="s">
        <v>4403</v>
      </c>
    </row>
    <row r="1085" spans="1:15" ht="165.6" x14ac:dyDescent="0.3">
      <c r="A1085" s="4">
        <v>1084</v>
      </c>
      <c r="B1085" s="5" t="s">
        <v>4404</v>
      </c>
      <c r="C1085" s="5" t="s">
        <v>4405</v>
      </c>
      <c r="D1085" s="5" t="s">
        <v>77</v>
      </c>
      <c r="E1085" s="5" t="s">
        <v>4406</v>
      </c>
      <c r="F1085" s="5" t="s">
        <v>4350</v>
      </c>
      <c r="G1085" s="5" t="s">
        <v>3986</v>
      </c>
      <c r="H1085" s="5" t="s">
        <v>4351</v>
      </c>
      <c r="I1085" s="5" t="s">
        <v>20</v>
      </c>
      <c r="J1085" s="5">
        <v>6.75</v>
      </c>
      <c r="K1085" s="5" t="s">
        <v>21</v>
      </c>
      <c r="L1085" s="5" t="s">
        <v>4407</v>
      </c>
      <c r="M1085" s="5" t="s">
        <v>4353</v>
      </c>
      <c r="N1085" s="7" t="str">
        <f>HYPERLINK("C:\Users\alexa\YandexDisk\Книги\Встроенные системы\Микроконтроллеры\Основы_автоматики_и_микропроцессорной_техники.pdf","Основы_автоматики_и_микропроцессорной_техники.pdf")</f>
        <v>Основы_автоматики_и_микропроцессорной_техники.pdf</v>
      </c>
      <c r="O1085" s="5" t="s">
        <v>4408</v>
      </c>
    </row>
    <row r="1086" spans="1:15" ht="55.2" x14ac:dyDescent="0.3">
      <c r="A1086" s="2">
        <v>1085</v>
      </c>
      <c r="B1086" s="3" t="s">
        <v>4409</v>
      </c>
      <c r="C1086" s="3"/>
      <c r="D1086" s="3"/>
      <c r="E1086" s="3"/>
      <c r="F1086" s="3" t="s">
        <v>4350</v>
      </c>
      <c r="G1086" s="3" t="s">
        <v>3986</v>
      </c>
      <c r="H1086" s="3" t="s">
        <v>4351</v>
      </c>
      <c r="I1086" s="3" t="s">
        <v>519</v>
      </c>
      <c r="J1086" s="3">
        <v>128.21</v>
      </c>
      <c r="K1086" s="3" t="s">
        <v>21</v>
      </c>
      <c r="L1086" s="3" t="s">
        <v>4410</v>
      </c>
      <c r="M1086" s="3" t="s">
        <v>4353</v>
      </c>
      <c r="N1086" s="6" t="str">
        <f>HYPERLINK("C:\Users\alexa\YandexDisk\Книги\Встроенные системы\Микроконтроллеры\Программирование AVR.zip","Программирование AVR.zip")</f>
        <v>Программирование AVR.zip</v>
      </c>
      <c r="O1086" s="3" t="s">
        <v>4411</v>
      </c>
    </row>
    <row r="1087" spans="1:15" ht="179.4" x14ac:dyDescent="0.3">
      <c r="A1087" s="4">
        <v>1086</v>
      </c>
      <c r="B1087" s="5" t="s">
        <v>4412</v>
      </c>
      <c r="C1087" s="5" t="s">
        <v>4413</v>
      </c>
      <c r="D1087" s="5" t="s">
        <v>335</v>
      </c>
      <c r="E1087" s="5" t="s">
        <v>148</v>
      </c>
      <c r="F1087" s="5" t="s">
        <v>4350</v>
      </c>
      <c r="G1087" s="5" t="s">
        <v>3986</v>
      </c>
      <c r="H1087" s="5" t="s">
        <v>4351</v>
      </c>
      <c r="I1087" s="5" t="s">
        <v>20</v>
      </c>
      <c r="J1087" s="5">
        <v>1.92</v>
      </c>
      <c r="K1087" s="5" t="s">
        <v>21</v>
      </c>
      <c r="L1087" s="5" t="s">
        <v>4414</v>
      </c>
      <c r="M1087" s="5" t="s">
        <v>4353</v>
      </c>
      <c r="N1087" s="7" t="str">
        <f>HYPERLINK("C:\Users\alexa\YandexDisk\Книги\Встроенные системы\Микроконтроллеры\Программирование логических контроллеров.pdf","Программирование логических контроллеров.pdf")</f>
        <v>Программирование логических контроллеров.pdf</v>
      </c>
      <c r="O1087" s="5" t="s">
        <v>4415</v>
      </c>
    </row>
    <row r="1088" spans="1:15" ht="124.2" x14ac:dyDescent="0.3">
      <c r="A1088" s="2">
        <v>1087</v>
      </c>
      <c r="B1088" s="3" t="s">
        <v>4416</v>
      </c>
      <c r="C1088" s="3"/>
      <c r="D1088" s="3"/>
      <c r="E1088" s="3"/>
      <c r="F1088" s="3" t="s">
        <v>4350</v>
      </c>
      <c r="G1088" s="3" t="s">
        <v>3986</v>
      </c>
      <c r="H1088" s="3" t="s">
        <v>4351</v>
      </c>
      <c r="I1088" s="3" t="s">
        <v>519</v>
      </c>
      <c r="J1088" s="3">
        <v>39.909999999999997</v>
      </c>
      <c r="K1088" s="3" t="s">
        <v>21</v>
      </c>
      <c r="L1088" s="3" t="s">
        <v>4417</v>
      </c>
      <c r="M1088" s="3" t="s">
        <v>4353</v>
      </c>
      <c r="N1088" s="6" t="str">
        <f>HYPERLINK("C:\Users\alexa\YandexDisk\Книги\Встроенные системы\Микроконтроллеры\Программирование микроконтроллеров AVR.zip","Программирование микроконтроллеров AVR.zip")</f>
        <v>Программирование микроконтроллеров AVR.zip</v>
      </c>
      <c r="O1088" s="3" t="s">
        <v>4418</v>
      </c>
    </row>
    <row r="1089" spans="1:15" ht="151.80000000000001" x14ac:dyDescent="0.3">
      <c r="A1089" s="4">
        <v>1088</v>
      </c>
      <c r="B1089" s="5" t="s">
        <v>4419</v>
      </c>
      <c r="C1089" s="5"/>
      <c r="D1089" s="5" t="s">
        <v>65</v>
      </c>
      <c r="E1089" s="5"/>
      <c r="F1089" s="5" t="s">
        <v>4350</v>
      </c>
      <c r="G1089" s="5" t="s">
        <v>3986</v>
      </c>
      <c r="H1089" s="5" t="s">
        <v>4351</v>
      </c>
      <c r="I1089" s="5" t="s">
        <v>721</v>
      </c>
      <c r="J1089" s="5">
        <v>72.94</v>
      </c>
      <c r="K1089" s="5" t="s">
        <v>21</v>
      </c>
      <c r="L1089" s="5" t="s">
        <v>4420</v>
      </c>
      <c r="M1089" s="5" t="s">
        <v>4353</v>
      </c>
      <c r="N1089" s="7" t="str">
        <f>HYPERLINK("C:\Users\alexa\YandexDisk\Книги\Встроенные системы\Микроконтроллеры\Программирование на С для микроконтролеров ATMEL-2012.djvu","Программирование на С для микроконтролеров ATMEL-2012.djvu")</f>
        <v>Программирование на С для микроконтролеров ATMEL-2012.djvu</v>
      </c>
      <c r="O1089" s="5" t="s">
        <v>4421</v>
      </c>
    </row>
    <row r="1090" spans="1:15" ht="138" x14ac:dyDescent="0.3">
      <c r="A1090" s="2">
        <v>1089</v>
      </c>
      <c r="B1090" s="3" t="s">
        <v>4349</v>
      </c>
      <c r="C1090" s="3"/>
      <c r="D1090" s="3"/>
      <c r="E1090" s="3" t="s">
        <v>102</v>
      </c>
      <c r="F1090" s="3" t="s">
        <v>4350</v>
      </c>
      <c r="G1090" s="3" t="s">
        <v>3986</v>
      </c>
      <c r="H1090" s="3" t="s">
        <v>4351</v>
      </c>
      <c r="I1090" s="3" t="s">
        <v>20</v>
      </c>
      <c r="J1090" s="3">
        <v>10.98</v>
      </c>
      <c r="K1090" s="3" t="s">
        <v>21</v>
      </c>
      <c r="L1090" s="3" t="s">
        <v>4422</v>
      </c>
      <c r="M1090" s="3" t="s">
        <v>4353</v>
      </c>
      <c r="N1090" s="6" t="str">
        <f>HYPERLINK("C:\Users\alexa\YandexDisk\Книги\Встроенные системы\Микроконтроллеры\Программирование_встроенных_систем_на_C++17.pdf","Программирование_встроенных_систем_на_C++17.pdf")</f>
        <v>Программирование_встроенных_систем_на_C++17.pdf</v>
      </c>
      <c r="O1090" s="3" t="s">
        <v>4423</v>
      </c>
    </row>
    <row r="1091" spans="1:15" ht="138" x14ac:dyDescent="0.3">
      <c r="A1091" s="4">
        <v>1090</v>
      </c>
      <c r="B1091" s="5" t="s">
        <v>4424</v>
      </c>
      <c r="C1091" s="5"/>
      <c r="D1091" s="5" t="s">
        <v>172</v>
      </c>
      <c r="E1091" s="5"/>
      <c r="F1091" s="5" t="s">
        <v>4350</v>
      </c>
      <c r="G1091" s="5" t="s">
        <v>3986</v>
      </c>
      <c r="H1091" s="5" t="s">
        <v>4351</v>
      </c>
      <c r="I1091" s="5" t="s">
        <v>20</v>
      </c>
      <c r="J1091" s="5">
        <v>26.76</v>
      </c>
      <c r="K1091" s="5" t="s">
        <v>21</v>
      </c>
      <c r="L1091" s="5" t="s">
        <v>4425</v>
      </c>
      <c r="M1091" s="5" t="s">
        <v>4353</v>
      </c>
      <c r="N1091" s="7" t="str">
        <f>HYPERLINK("C:\Users\alexa\YandexDisk\Книги\Встроенные системы\Микроконтроллеры\Программирование_на_языке_C_для_микроконтроллеров-2006.pdf","Программирование_на_языке_C_для_микроконтроллеров-2006.pdf")</f>
        <v>Программирование_на_языке_C_для_микроконтроллеров-2006.pdf</v>
      </c>
      <c r="O1091" s="5" t="s">
        <v>4426</v>
      </c>
    </row>
    <row r="1092" spans="1:15" ht="165.6" x14ac:dyDescent="0.3">
      <c r="A1092" s="2">
        <v>1091</v>
      </c>
      <c r="B1092" s="3" t="s">
        <v>4427</v>
      </c>
      <c r="C1092" s="3" t="s">
        <v>4428</v>
      </c>
      <c r="D1092" s="3"/>
      <c r="E1092" s="3"/>
      <c r="F1092" s="3" t="s">
        <v>4350</v>
      </c>
      <c r="G1092" s="3" t="s">
        <v>3986</v>
      </c>
      <c r="H1092" s="3" t="s">
        <v>4351</v>
      </c>
      <c r="I1092" s="3" t="s">
        <v>20</v>
      </c>
      <c r="J1092" s="3">
        <v>63.76</v>
      </c>
      <c r="K1092" s="3" t="s">
        <v>21</v>
      </c>
      <c r="L1092" s="3" t="s">
        <v>4429</v>
      </c>
      <c r="M1092" s="3" t="s">
        <v>4353</v>
      </c>
      <c r="N1092" s="6" t="str">
        <f>HYPERLINK("C:\Users\alexa\YandexDisk\Книги\Встроенные системы\Микроконтроллеры\Программируемые контроллеры в системах промышленной автоматизации.pdf","Программируемые контроллеры в системах промышленной автоматизации.pdf")</f>
        <v>Программируемые контроллеры в системах промышленной автоматизации.pdf</v>
      </c>
      <c r="O1092" s="3" t="s">
        <v>4430</v>
      </c>
    </row>
    <row r="1093" spans="1:15" ht="289.8" x14ac:dyDescent="0.3">
      <c r="A1093" s="4">
        <v>1092</v>
      </c>
      <c r="B1093" s="5" t="s">
        <v>4431</v>
      </c>
      <c r="C1093" s="5" t="s">
        <v>4432</v>
      </c>
      <c r="D1093" s="5" t="s">
        <v>77</v>
      </c>
      <c r="E1093" s="5" t="s">
        <v>4433</v>
      </c>
      <c r="F1093" s="5" t="s">
        <v>4350</v>
      </c>
      <c r="G1093" s="5" t="s">
        <v>3986</v>
      </c>
      <c r="H1093" s="5" t="s">
        <v>4351</v>
      </c>
      <c r="I1093" s="5" t="s">
        <v>20</v>
      </c>
      <c r="J1093" s="5">
        <v>9.67</v>
      </c>
      <c r="K1093" s="5" t="s">
        <v>21</v>
      </c>
      <c r="L1093" s="5" t="s">
        <v>4434</v>
      </c>
      <c r="M1093" s="5" t="s">
        <v>4353</v>
      </c>
      <c r="N1093" s="7" t="str">
        <f>HYPERLINK("C:\Users\alexa\YandexDisk\Книги\Встроенные системы\Микроконтроллеры\Программируемые_контроллеры_и_микроконтроллеры_в_системах_ав.pdf","Программируемые_контроллеры_и_микроконтроллеры_в_системах_ав.pdf")</f>
        <v>Программируемые_контроллеры_и_микроконтроллеры_в_системах_ав.pdf</v>
      </c>
      <c r="O1093" s="5" t="s">
        <v>4435</v>
      </c>
    </row>
    <row r="1094" spans="1:15" ht="276" x14ac:dyDescent="0.3">
      <c r="A1094" s="2">
        <v>1093</v>
      </c>
      <c r="B1094" s="3" t="s">
        <v>4127</v>
      </c>
      <c r="C1094" s="3" t="s">
        <v>4128</v>
      </c>
      <c r="D1094" s="3" t="s">
        <v>71</v>
      </c>
      <c r="E1094" s="3" t="s">
        <v>4129</v>
      </c>
      <c r="F1094" s="3" t="s">
        <v>4350</v>
      </c>
      <c r="G1094" s="3" t="s">
        <v>3986</v>
      </c>
      <c r="H1094" s="3" t="s">
        <v>4351</v>
      </c>
      <c r="I1094" s="3" t="s">
        <v>20</v>
      </c>
      <c r="J1094" s="3">
        <v>16.399999999999999</v>
      </c>
      <c r="K1094" s="3" t="s">
        <v>21</v>
      </c>
      <c r="L1094" s="3" t="s">
        <v>4130</v>
      </c>
      <c r="M1094" s="3" t="s">
        <v>4353</v>
      </c>
      <c r="N1094" s="6" t="str">
        <f>HYPERLINK("C:\Users\alexa\YandexDisk\Книги\Встроенные системы\Микроконтроллеры\Программируемые_логические_автоматы.pdf","Программируемые_логические_автоматы.pdf")</f>
        <v>Программируемые_логические_автоматы.pdf</v>
      </c>
      <c r="O1094" s="3" t="s">
        <v>4436</v>
      </c>
    </row>
    <row r="1095" spans="1:15" ht="179.4" x14ac:dyDescent="0.3">
      <c r="A1095" s="4">
        <v>1094</v>
      </c>
      <c r="B1095" s="5" t="s">
        <v>4437</v>
      </c>
      <c r="C1095" s="5" t="s">
        <v>4438</v>
      </c>
      <c r="D1095" s="5" t="s">
        <v>77</v>
      </c>
      <c r="E1095" s="5" t="s">
        <v>296</v>
      </c>
      <c r="F1095" s="5" t="s">
        <v>4350</v>
      </c>
      <c r="G1095" s="5" t="s">
        <v>3986</v>
      </c>
      <c r="H1095" s="5" t="s">
        <v>4351</v>
      </c>
      <c r="I1095" s="5" t="s">
        <v>20</v>
      </c>
      <c r="J1095" s="5">
        <v>6.12</v>
      </c>
      <c r="K1095" s="5" t="s">
        <v>21</v>
      </c>
      <c r="L1095" s="5" t="s">
        <v>4439</v>
      </c>
      <c r="M1095" s="5" t="s">
        <v>4353</v>
      </c>
      <c r="N1095" s="7" t="str">
        <f>HYPERLINK("C:\Users\alexa\YandexDisk\Книги\Встроенные системы\Микроконтроллеры\Си для встраиваемых систем-2019.pdf","Си для встраиваемых систем-2019.pdf")</f>
        <v>Си для встраиваемых систем-2019.pdf</v>
      </c>
      <c r="O1095" s="5" t="s">
        <v>4440</v>
      </c>
    </row>
    <row r="1096" spans="1:15" ht="165.6" x14ac:dyDescent="0.3">
      <c r="A1096" s="2">
        <v>1095</v>
      </c>
      <c r="B1096" s="3" t="s">
        <v>4441</v>
      </c>
      <c r="C1096" s="3" t="s">
        <v>4442</v>
      </c>
      <c r="D1096" s="3" t="s">
        <v>59</v>
      </c>
      <c r="E1096" s="3" t="s">
        <v>485</v>
      </c>
      <c r="F1096" s="3" t="s">
        <v>4350</v>
      </c>
      <c r="G1096" s="3" t="s">
        <v>3986</v>
      </c>
      <c r="H1096" s="3" t="s">
        <v>4351</v>
      </c>
      <c r="I1096" s="3" t="s">
        <v>20</v>
      </c>
      <c r="J1096" s="3">
        <v>13.72</v>
      </c>
      <c r="K1096" s="3" t="s">
        <v>21</v>
      </c>
      <c r="L1096" s="3" t="s">
        <v>4443</v>
      </c>
      <c r="M1096" s="3" t="s">
        <v>4353</v>
      </c>
      <c r="N1096" s="6" t="str">
        <f>HYPERLINK("C:\Users\alexa\YandexDisk\Книги\Встроенные системы\Микроконтроллеры\Схемотехника.pdf","Схемотехника.pdf")</f>
        <v>Схемотехника.pdf</v>
      </c>
      <c r="O1096" s="3" t="s">
        <v>4444</v>
      </c>
    </row>
    <row r="1097" spans="1:15" ht="151.80000000000001" x14ac:dyDescent="0.3">
      <c r="A1097" s="4">
        <v>1096</v>
      </c>
      <c r="B1097" s="5" t="s">
        <v>4445</v>
      </c>
      <c r="C1097" s="5" t="s">
        <v>4446</v>
      </c>
      <c r="D1097" s="5" t="s">
        <v>114</v>
      </c>
      <c r="E1097" s="5" t="s">
        <v>102</v>
      </c>
      <c r="F1097" s="5" t="s">
        <v>4350</v>
      </c>
      <c r="G1097" s="5" t="s">
        <v>3986</v>
      </c>
      <c r="H1097" s="5" t="s">
        <v>4351</v>
      </c>
      <c r="I1097" s="5" t="s">
        <v>20</v>
      </c>
      <c r="J1097" s="5">
        <v>3.3</v>
      </c>
      <c r="K1097" s="5" t="s">
        <v>21</v>
      </c>
      <c r="L1097" s="5" t="s">
        <v>4447</v>
      </c>
      <c r="M1097" s="5" t="s">
        <v>4353</v>
      </c>
      <c r="N1097" s="7" t="str">
        <f>HYPERLINK("C:\Users\alexa\YandexDisk\Книги\Встроенные системы\Микроконтроллеры\Управление_электронными_устройствами_на_C++.pdf","Управление_электронными_устройствами_на_C++.pdf")</f>
        <v>Управление_электронными_устройствами_на_C++.pdf</v>
      </c>
      <c r="O1097" s="5" t="s">
        <v>4448</v>
      </c>
    </row>
    <row r="1098" spans="1:15" ht="138" x14ac:dyDescent="0.3">
      <c r="A1098" s="2">
        <v>1097</v>
      </c>
      <c r="B1098" s="3" t="s">
        <v>4449</v>
      </c>
      <c r="C1098" s="3"/>
      <c r="D1098" s="3"/>
      <c r="E1098" s="3"/>
      <c r="F1098" s="3" t="s">
        <v>4350</v>
      </c>
      <c r="G1098" s="3" t="s">
        <v>3986</v>
      </c>
      <c r="H1098" s="3" t="s">
        <v>4351</v>
      </c>
      <c r="I1098" s="3" t="s">
        <v>20</v>
      </c>
      <c r="J1098" s="3">
        <v>59.76</v>
      </c>
      <c r="K1098" s="3" t="s">
        <v>21</v>
      </c>
      <c r="L1098" s="3" t="s">
        <v>4450</v>
      </c>
      <c r="M1098" s="3" t="s">
        <v>4353</v>
      </c>
      <c r="N1098" s="6" t="str">
        <f>HYPERLINK("C:\Users\alexa\YandexDisk\Книги\Встроенные системы\Микроконтроллеры\Цифровая_электроника_для_начинающих_.pdf","Цифровая_электроника_для_начинающих_.pdf")</f>
        <v>Цифровая_электроника_для_начинающих_.pdf</v>
      </c>
      <c r="O1098" s="3" t="s">
        <v>4451</v>
      </c>
    </row>
    <row r="1099" spans="1:15" ht="165.6" x14ac:dyDescent="0.3">
      <c r="A1099" s="4">
        <v>1098</v>
      </c>
      <c r="B1099" s="5" t="s">
        <v>4452</v>
      </c>
      <c r="C1099" s="5" t="s">
        <v>4453</v>
      </c>
      <c r="D1099" s="5" t="s">
        <v>59</v>
      </c>
      <c r="E1099" s="5" t="s">
        <v>102</v>
      </c>
      <c r="F1099" s="5" t="s">
        <v>4350</v>
      </c>
      <c r="G1099" s="5" t="s">
        <v>3986</v>
      </c>
      <c r="H1099" s="5" t="s">
        <v>4351</v>
      </c>
      <c r="I1099" s="5" t="s">
        <v>20</v>
      </c>
      <c r="J1099" s="5">
        <v>20.39</v>
      </c>
      <c r="K1099" s="5" t="s">
        <v>21</v>
      </c>
      <c r="L1099" s="5" t="s">
        <v>4454</v>
      </c>
      <c r="M1099" s="5" t="s">
        <v>4353</v>
      </c>
      <c r="N1099" s="7" t="str">
        <f>HYPERLINK("C:\Users\alexa\YandexDisk\Книги\Встроенные системы\Микроконтроллеры\Электроника шаг за шагом.pdf","Электроника шаг за шагом.pdf")</f>
        <v>Электроника шаг за шагом.pdf</v>
      </c>
      <c r="O1099" s="5" t="s">
        <v>4455</v>
      </c>
    </row>
    <row r="1100" spans="1:15" ht="220.8" x14ac:dyDescent="0.3">
      <c r="A1100" s="2">
        <v>1099</v>
      </c>
      <c r="B1100" s="3" t="s">
        <v>4456</v>
      </c>
      <c r="C1100" s="3" t="s">
        <v>4457</v>
      </c>
      <c r="D1100" s="3"/>
      <c r="E1100" s="3"/>
      <c r="F1100" s="3" t="s">
        <v>4084</v>
      </c>
      <c r="G1100" s="3" t="s">
        <v>3986</v>
      </c>
      <c r="H1100" s="3" t="s">
        <v>4085</v>
      </c>
      <c r="I1100" s="3" t="s">
        <v>20</v>
      </c>
      <c r="J1100" s="3">
        <v>24.43</v>
      </c>
      <c r="K1100" s="3" t="s">
        <v>21</v>
      </c>
      <c r="L1100" s="3" t="s">
        <v>4458</v>
      </c>
      <c r="M1100" s="3" t="s">
        <v>4459</v>
      </c>
      <c r="N1100" s="6" t="str">
        <f>HYPERLINK("C:\Users\alexa\YandexDisk\Книги\Встроенные системы\Робототехника\Experimental Methodology for Human Robot Interaction.pdf","Experimental Methodology for Human Robot Interaction.pdf")</f>
        <v>Experimental Methodology for Human Robot Interaction.pdf</v>
      </c>
      <c r="O1100" s="3" t="s">
        <v>4460</v>
      </c>
    </row>
    <row r="1101" spans="1:15" ht="193.2" x14ac:dyDescent="0.3">
      <c r="A1101" s="4">
        <v>1100</v>
      </c>
      <c r="B1101" s="5" t="s">
        <v>4461</v>
      </c>
      <c r="C1101" s="5" t="s">
        <v>4462</v>
      </c>
      <c r="D1101" s="5" t="s">
        <v>71</v>
      </c>
      <c r="E1101" s="5" t="s">
        <v>678</v>
      </c>
      <c r="F1101" s="5" t="s">
        <v>4084</v>
      </c>
      <c r="G1101" s="5" t="s">
        <v>3986</v>
      </c>
      <c r="H1101" s="5" t="s">
        <v>4085</v>
      </c>
      <c r="I1101" s="5" t="s">
        <v>20</v>
      </c>
      <c r="J1101" s="5">
        <v>23.69</v>
      </c>
      <c r="K1101" s="5" t="s">
        <v>21</v>
      </c>
      <c r="L1101" s="5" t="s">
        <v>4463</v>
      </c>
      <c r="M1101" s="5" t="s">
        <v>4459</v>
      </c>
      <c r="N1101" s="7" t="str">
        <f>HYPERLINK("C:\Users\alexa\YandexDisk\Книги\Встроенные системы\Робототехника\Foundations of Robotics.pdf","Foundations of Robotics.pdf")</f>
        <v>Foundations of Robotics.pdf</v>
      </c>
      <c r="O1101" s="5" t="s">
        <v>4464</v>
      </c>
    </row>
    <row r="1102" spans="1:15" ht="165.6" x14ac:dyDescent="0.3">
      <c r="A1102" s="2">
        <v>1101</v>
      </c>
      <c r="B1102" s="3" t="s">
        <v>4465</v>
      </c>
      <c r="C1102" s="3" t="s">
        <v>4466</v>
      </c>
      <c r="D1102" s="3" t="s">
        <v>600</v>
      </c>
      <c r="E1102" s="3" t="s">
        <v>102</v>
      </c>
      <c r="F1102" s="3" t="s">
        <v>4084</v>
      </c>
      <c r="G1102" s="3" t="s">
        <v>3986</v>
      </c>
      <c r="H1102" s="3" t="s">
        <v>4085</v>
      </c>
      <c r="I1102" s="3" t="s">
        <v>20</v>
      </c>
      <c r="J1102" s="3">
        <v>8.75</v>
      </c>
      <c r="K1102" s="3" t="s">
        <v>21</v>
      </c>
      <c r="L1102" s="3" t="s">
        <v>4467</v>
      </c>
      <c r="M1102" s="3" t="s">
        <v>4459</v>
      </c>
      <c r="N1102" s="6" t="str">
        <f>HYPERLINK("C:\Users\alexa\YandexDisk\Книги\Встроенные системы\Робототехника\Сервисные антропоморфные роботы.pdf","Сервисные антропоморфные роботы.pdf")</f>
        <v>Сервисные антропоморфные роботы.pdf</v>
      </c>
      <c r="O1102" s="3" t="s">
        <v>4468</v>
      </c>
    </row>
    <row r="1103" spans="1:15" ht="151.80000000000001" x14ac:dyDescent="0.3">
      <c r="A1103" s="4">
        <v>1102</v>
      </c>
      <c r="B1103" s="5" t="s">
        <v>4469</v>
      </c>
      <c r="C1103" s="5"/>
      <c r="D1103" s="5"/>
      <c r="E1103" s="5"/>
      <c r="F1103" s="5" t="s">
        <v>4470</v>
      </c>
      <c r="G1103" s="5" t="s">
        <v>4471</v>
      </c>
      <c r="H1103" s="5" t="s">
        <v>4472</v>
      </c>
      <c r="I1103" s="5" t="s">
        <v>4473</v>
      </c>
      <c r="J1103" s="5">
        <v>0.05</v>
      </c>
      <c r="K1103" s="5" t="s">
        <v>21</v>
      </c>
      <c r="L1103" s="5" t="s">
        <v>4474</v>
      </c>
      <c r="M1103" s="5" t="s">
        <v>4475</v>
      </c>
      <c r="N1103" s="7" t="str">
        <f>HYPERLINK("C:\Users\alexa\YandexDisk\Книги\Здоровье\Зрение\Упражнения на развитие центральной фиксации.doc","Упражнения на развитие центральной фиксации.doc")</f>
        <v>Упражнения на развитие центральной фиксации.doc</v>
      </c>
      <c r="O1103" s="5" t="s">
        <v>4476</v>
      </c>
    </row>
    <row r="1104" spans="1:15" ht="96.6" x14ac:dyDescent="0.3">
      <c r="A1104" s="2">
        <v>1103</v>
      </c>
      <c r="B1104" s="3" t="s">
        <v>4477</v>
      </c>
      <c r="C1104" s="3"/>
      <c r="D1104" s="3"/>
      <c r="E1104" s="3"/>
      <c r="F1104" s="3" t="s">
        <v>4478</v>
      </c>
      <c r="G1104" s="3" t="s">
        <v>4471</v>
      </c>
      <c r="H1104" s="3" t="s">
        <v>4479</v>
      </c>
      <c r="I1104" s="3" t="s">
        <v>4473</v>
      </c>
      <c r="J1104" s="3">
        <v>0.4</v>
      </c>
      <c r="K1104" s="3" t="s">
        <v>21</v>
      </c>
      <c r="L1104" s="3" t="s">
        <v>4477</v>
      </c>
      <c r="M1104" s="3" t="s">
        <v>4480</v>
      </c>
      <c r="N1104" s="6" t="str">
        <f>HYPERLINK("C:\Users\alexa\YandexDisk\Книги\Здоровье\Йога\basas_of_yoga.doc","basas_of_yoga.doc")</f>
        <v>basas_of_yoga.doc</v>
      </c>
      <c r="O1104" s="3" t="s">
        <v>4481</v>
      </c>
    </row>
    <row r="1105" spans="1:15" ht="234.6" x14ac:dyDescent="0.3">
      <c r="A1105" s="4">
        <v>1104</v>
      </c>
      <c r="B1105" s="5" t="s">
        <v>4482</v>
      </c>
      <c r="C1105" s="5" t="s">
        <v>4483</v>
      </c>
      <c r="D1105" s="5" t="s">
        <v>4484</v>
      </c>
      <c r="E1105" s="5" t="s">
        <v>4485</v>
      </c>
      <c r="F1105" s="5" t="s">
        <v>4478</v>
      </c>
      <c r="G1105" s="5" t="s">
        <v>4471</v>
      </c>
      <c r="H1105" s="5" t="s">
        <v>4479</v>
      </c>
      <c r="I1105" s="5" t="s">
        <v>2787</v>
      </c>
      <c r="J1105" s="5">
        <v>0.31</v>
      </c>
      <c r="K1105" s="5" t="s">
        <v>21</v>
      </c>
      <c r="L1105" s="5" t="s">
        <v>4486</v>
      </c>
      <c r="M1105" s="5" t="s">
        <v>4480</v>
      </c>
      <c r="N1105" s="7" t="str">
        <f>HYPERLINK("C:\Users\alexa\YandexDisk\Книги\Здоровье\Йога\basas_of_yoga.fb2","basas_of_yoga.fb2")</f>
        <v>basas_of_yoga.fb2</v>
      </c>
      <c r="O1105" s="5" t="s">
        <v>4487</v>
      </c>
    </row>
    <row r="1106" spans="1:15" ht="151.80000000000001" x14ac:dyDescent="0.3">
      <c r="A1106" s="2">
        <v>1105</v>
      </c>
      <c r="B1106" s="3" t="s">
        <v>4488</v>
      </c>
      <c r="C1106" s="3"/>
      <c r="D1106" s="3"/>
      <c r="E1106" s="3"/>
      <c r="F1106" s="3" t="s">
        <v>4478</v>
      </c>
      <c r="G1106" s="3" t="s">
        <v>4471</v>
      </c>
      <c r="H1106" s="3" t="s">
        <v>4479</v>
      </c>
      <c r="I1106" s="3" t="s">
        <v>4473</v>
      </c>
      <c r="J1106" s="3">
        <v>0.85</v>
      </c>
      <c r="K1106" s="3" t="s">
        <v>21</v>
      </c>
      <c r="L1106" s="3" t="s">
        <v>4489</v>
      </c>
      <c r="M1106" s="3" t="s">
        <v>4480</v>
      </c>
      <c r="N1106" s="6" t="str">
        <f>HYPERLINK("C:\Users\alexa\YandexDisk\Книги\Здоровье\Йога\ten_lessons_on_yoga.doc","ten_lessons_on_yoga.doc")</f>
        <v>ten_lessons_on_yoga.doc</v>
      </c>
      <c r="O1106" s="3" t="s">
        <v>4490</v>
      </c>
    </row>
    <row r="1107" spans="1:15" ht="262.2" x14ac:dyDescent="0.3">
      <c r="A1107" s="4">
        <v>1106</v>
      </c>
      <c r="B1107" s="5" t="s">
        <v>4491</v>
      </c>
      <c r="C1107" s="5" t="s">
        <v>4492</v>
      </c>
      <c r="D1107" s="5"/>
      <c r="E1107" s="5"/>
      <c r="F1107" s="5" t="s">
        <v>4478</v>
      </c>
      <c r="G1107" s="5" t="s">
        <v>4471</v>
      </c>
      <c r="H1107" s="5" t="s">
        <v>4479</v>
      </c>
      <c r="I1107" s="5" t="s">
        <v>2787</v>
      </c>
      <c r="J1107" s="5">
        <v>0.8</v>
      </c>
      <c r="K1107" s="5" t="s">
        <v>21</v>
      </c>
      <c r="L1107" s="5" t="s">
        <v>4493</v>
      </c>
      <c r="M1107" s="5" t="s">
        <v>4480</v>
      </c>
      <c r="N1107" s="7" t="str">
        <f>HYPERLINK("C:\Users\alexa\YandexDisk\Книги\Здоровье\Йога\ten_lessons_on_yoga.fb2","ten_lessons_on_yoga.fb2")</f>
        <v>ten_lessons_on_yoga.fb2</v>
      </c>
      <c r="O1107" s="5" t="s">
        <v>4494</v>
      </c>
    </row>
    <row r="1108" spans="1:15" ht="151.80000000000001" x14ac:dyDescent="0.3">
      <c r="A1108" s="2">
        <v>1107</v>
      </c>
      <c r="B1108" s="3" t="s">
        <v>4495</v>
      </c>
      <c r="C1108" s="3"/>
      <c r="D1108" s="3"/>
      <c r="E1108" s="3"/>
      <c r="F1108" s="3" t="s">
        <v>4478</v>
      </c>
      <c r="G1108" s="3" t="s">
        <v>4471</v>
      </c>
      <c r="H1108" s="3" t="s">
        <v>4479</v>
      </c>
      <c r="I1108" s="3" t="s">
        <v>4473</v>
      </c>
      <c r="J1108" s="3">
        <v>2.7</v>
      </c>
      <c r="K1108" s="3" t="s">
        <v>21</v>
      </c>
      <c r="L1108" s="3" t="s">
        <v>4496</v>
      </c>
      <c r="M1108" s="3" t="s">
        <v>4480</v>
      </c>
      <c r="N1108" s="6" t="str">
        <f>HYPERLINK("C:\Users\alexa\YandexDisk\Книги\Здоровье\Йога\Интегральная йога.doc","Интегральная йога.doc")</f>
        <v>Интегральная йога.doc</v>
      </c>
      <c r="O1108" s="3" t="s">
        <v>4497</v>
      </c>
    </row>
    <row r="1109" spans="1:15" ht="138" x14ac:dyDescent="0.3">
      <c r="A1109" s="4">
        <v>1108</v>
      </c>
      <c r="B1109" s="5" t="s">
        <v>4498</v>
      </c>
      <c r="C1109" s="5"/>
      <c r="D1109" s="5"/>
      <c r="E1109" s="5"/>
      <c r="F1109" s="5" t="s">
        <v>4478</v>
      </c>
      <c r="G1109" s="5" t="s">
        <v>4471</v>
      </c>
      <c r="H1109" s="5" t="s">
        <v>4479</v>
      </c>
      <c r="I1109" s="5" t="s">
        <v>4473</v>
      </c>
      <c r="J1109" s="5">
        <v>2.91</v>
      </c>
      <c r="K1109" s="5" t="s">
        <v>21</v>
      </c>
      <c r="L1109" s="5" t="s">
        <v>4499</v>
      </c>
      <c r="M1109" s="5" t="s">
        <v>4480</v>
      </c>
      <c r="N1109" s="7" t="str">
        <f>HYPERLINK("C:\Users\alexa\YandexDisk\Книги\Здоровье\Йога\Пранаяма -искусство дыхания.doc","Пранаяма -искусство дыхания.doc")</f>
        <v>Пранаяма -искусство дыхания.doc</v>
      </c>
      <c r="O1109" s="5" t="s">
        <v>4500</v>
      </c>
    </row>
    <row r="1110" spans="1:15" ht="220.8" x14ac:dyDescent="0.3">
      <c r="A1110" s="2">
        <v>1109</v>
      </c>
      <c r="B1110" s="3" t="s">
        <v>4501</v>
      </c>
      <c r="C1110" s="3" t="s">
        <v>4502</v>
      </c>
      <c r="D1110" s="3"/>
      <c r="E1110" s="3" t="s">
        <v>4503</v>
      </c>
      <c r="F1110" s="3" t="s">
        <v>4478</v>
      </c>
      <c r="G1110" s="3" t="s">
        <v>4471</v>
      </c>
      <c r="H1110" s="3" t="s">
        <v>4479</v>
      </c>
      <c r="I1110" s="3" t="s">
        <v>2787</v>
      </c>
      <c r="J1110" s="3">
        <v>2.89</v>
      </c>
      <c r="K1110" s="3" t="s">
        <v>21</v>
      </c>
      <c r="L1110" s="3" t="s">
        <v>4504</v>
      </c>
      <c r="M1110" s="3" t="s">
        <v>4480</v>
      </c>
      <c r="N1110" s="6" t="str">
        <f>HYPERLINK("C:\Users\alexa\YandexDisk\Книги\Здоровье\Йога\Пранаяма -искусство дыхания.fb2","Пранаяма -искусство дыхания.fb2")</f>
        <v>Пранаяма -искусство дыхания.fb2</v>
      </c>
      <c r="O1110" s="3" t="s">
        <v>4505</v>
      </c>
    </row>
    <row r="1111" spans="1:15" ht="179.4" x14ac:dyDescent="0.3">
      <c r="A1111" s="4">
        <v>1110</v>
      </c>
      <c r="B1111" s="5" t="s">
        <v>4506</v>
      </c>
      <c r="C1111" s="5" t="s">
        <v>4507</v>
      </c>
      <c r="D1111" s="5"/>
      <c r="E1111" s="5"/>
      <c r="F1111" s="5" t="s">
        <v>4478</v>
      </c>
      <c r="G1111" s="5" t="s">
        <v>4471</v>
      </c>
      <c r="H1111" s="5" t="s">
        <v>4479</v>
      </c>
      <c r="I1111" s="5" t="s">
        <v>2787</v>
      </c>
      <c r="J1111" s="5">
        <v>0.26</v>
      </c>
      <c r="K1111" s="5" t="s">
        <v>21</v>
      </c>
      <c r="L1111" s="5" t="s">
        <v>4508</v>
      </c>
      <c r="M1111" s="5" t="s">
        <v>4480</v>
      </c>
      <c r="N1111" s="7" t="str">
        <f>HYPERLINK("C:\Users\alexa\YandexDisk\Книги\Здоровье\Йога\Энергопрактики йоги и цигуна.fb2","Энергопрактики йоги и цигуна.fb2")</f>
        <v>Энергопрактики йоги и цигуна.fb2</v>
      </c>
      <c r="O1111" s="5" t="s">
        <v>4509</v>
      </c>
    </row>
    <row r="1112" spans="1:15" ht="138" x14ac:dyDescent="0.3">
      <c r="A1112" s="2">
        <v>1111</v>
      </c>
      <c r="B1112" s="3" t="s">
        <v>4510</v>
      </c>
      <c r="C1112" s="3" t="s">
        <v>4511</v>
      </c>
      <c r="D1112" s="3" t="s">
        <v>2849</v>
      </c>
      <c r="E1112" s="3" t="s">
        <v>4512</v>
      </c>
      <c r="F1112" s="3" t="s">
        <v>4513</v>
      </c>
      <c r="G1112" s="3" t="s">
        <v>4471</v>
      </c>
      <c r="H1112" s="3" t="s">
        <v>4514</v>
      </c>
      <c r="I1112" s="3" t="s">
        <v>20</v>
      </c>
      <c r="J1112" s="3">
        <v>1.94</v>
      </c>
      <c r="K1112" s="3" t="s">
        <v>21</v>
      </c>
      <c r="L1112" s="3" t="s">
        <v>4515</v>
      </c>
      <c r="M1112" s="3" t="s">
        <v>4516</v>
      </c>
      <c r="N1112" s="6" t="str">
        <f>HYPERLINK("C:\Users\alexa\YandexDisk\Книги\Здоровье\Медитации\kabat_zinn_dzhon_kuda_by_ty_ni_shel_ty_uzhe_tam.pdf","kabat_zinn_dzhon_kuda_by_ty_ni_shel_ty_uzhe_tam.pdf")</f>
        <v>kabat_zinn_dzhon_kuda_by_ty_ni_shel_ty_uzhe_tam.pdf</v>
      </c>
      <c r="O1112" s="3" t="s">
        <v>4517</v>
      </c>
    </row>
    <row r="1113" spans="1:15" ht="179.4" x14ac:dyDescent="0.3">
      <c r="A1113" s="4">
        <v>1112</v>
      </c>
      <c r="B1113" s="5" t="s">
        <v>4518</v>
      </c>
      <c r="C1113" s="5" t="s">
        <v>4519</v>
      </c>
      <c r="D1113" s="5"/>
      <c r="E1113" s="5"/>
      <c r="F1113" s="5" t="s">
        <v>4513</v>
      </c>
      <c r="G1113" s="5" t="s">
        <v>4471</v>
      </c>
      <c r="H1113" s="5" t="s">
        <v>4514</v>
      </c>
      <c r="I1113" s="5" t="s">
        <v>20</v>
      </c>
      <c r="J1113" s="5">
        <v>40.39</v>
      </c>
      <c r="K1113" s="5" t="s">
        <v>21</v>
      </c>
      <c r="L1113" s="5" t="s">
        <v>4520</v>
      </c>
      <c r="M1113" s="5" t="s">
        <v>4516</v>
      </c>
      <c r="N1113" s="7" t="str">
        <f>HYPERLINK("C:\Users\alexa\YandexDisk\Книги\Здоровье\Медитации\kabat_zinn_dzhon_samouchitel_po_istseleniyu.pdf","kabat_zinn_dzhon_samouchitel_po_istseleniyu.pdf")</f>
        <v>kabat_zinn_dzhon_samouchitel_po_istseleniyu.pdf</v>
      </c>
      <c r="O1113" s="5" t="s">
        <v>4521</v>
      </c>
    </row>
    <row r="1114" spans="1:15" ht="193.2" x14ac:dyDescent="0.3">
      <c r="A1114" s="2">
        <v>1113</v>
      </c>
      <c r="B1114" s="3" t="s">
        <v>4522</v>
      </c>
      <c r="C1114" s="3"/>
      <c r="D1114" s="3"/>
      <c r="E1114" s="3"/>
      <c r="F1114" s="3" t="s">
        <v>4523</v>
      </c>
      <c r="G1114" s="3" t="s">
        <v>4471</v>
      </c>
      <c r="H1114" s="3" t="s">
        <v>4524</v>
      </c>
      <c r="I1114" s="3" t="s">
        <v>20</v>
      </c>
      <c r="J1114" s="3">
        <v>0.08</v>
      </c>
      <c r="K1114" s="3" t="s">
        <v>21</v>
      </c>
      <c r="L1114" s="3" t="s">
        <v>4525</v>
      </c>
      <c r="M1114" s="3" t="s">
        <v>4526</v>
      </c>
      <c r="N1114" s="6" t="str">
        <f>HYPERLINK("C:\Users\alexa\YandexDisk\Книги\Здоровье\Мозг и мышление\gormoni-radosti.pdf","gormoni-radosti.pdf")</f>
        <v>gormoni-radosti.pdf</v>
      </c>
      <c r="O1114" s="3" t="s">
        <v>4527</v>
      </c>
    </row>
    <row r="1115" spans="1:15" ht="220.8" x14ac:dyDescent="0.3">
      <c r="A1115" s="4">
        <v>1114</v>
      </c>
      <c r="B1115" s="5" t="s">
        <v>4528</v>
      </c>
      <c r="C1115" s="5"/>
      <c r="D1115" s="5"/>
      <c r="E1115" s="5"/>
      <c r="F1115" s="5" t="s">
        <v>4529</v>
      </c>
      <c r="G1115" s="5" t="s">
        <v>4471</v>
      </c>
      <c r="H1115" s="5" t="s">
        <v>4530</v>
      </c>
      <c r="I1115" s="5" t="s">
        <v>2787</v>
      </c>
      <c r="J1115" s="5">
        <v>0.25</v>
      </c>
      <c r="K1115" s="5" t="s">
        <v>21</v>
      </c>
      <c r="L1115" s="5" t="s">
        <v>4531</v>
      </c>
      <c r="M1115" s="5" t="s">
        <v>4532</v>
      </c>
      <c r="N1115" s="7" t="str">
        <f>HYPERLINK("C:\Users\alexa\YandexDisk\Книги\Здоровье\Память\126 эффективных упражнений по развитию вашей памяти.fb2","126 эффективных упражнений по развитию вашей памяти.fb2")</f>
        <v>126 эффективных упражнений по развитию вашей памяти.fb2</v>
      </c>
      <c r="O1115" s="5" t="s">
        <v>4533</v>
      </c>
    </row>
    <row r="1116" spans="1:15" ht="234.6" x14ac:dyDescent="0.3">
      <c r="A1116" s="2">
        <v>1115</v>
      </c>
      <c r="B1116" s="3" t="s">
        <v>4534</v>
      </c>
      <c r="C1116" s="3" t="s">
        <v>4535</v>
      </c>
      <c r="D1116" s="3"/>
      <c r="E1116" s="3"/>
      <c r="F1116" s="3" t="s">
        <v>4529</v>
      </c>
      <c r="G1116" s="3" t="s">
        <v>4471</v>
      </c>
      <c r="H1116" s="3" t="s">
        <v>4530</v>
      </c>
      <c r="I1116" s="3" t="s">
        <v>20</v>
      </c>
      <c r="J1116" s="3">
        <v>1.42</v>
      </c>
      <c r="K1116" s="3" t="s">
        <v>21</v>
      </c>
      <c r="L1116" s="3" t="s">
        <v>4536</v>
      </c>
      <c r="M1116" s="3" t="s">
        <v>4532</v>
      </c>
      <c r="N1116" s="6" t="str">
        <f>HYPERLINK("C:\Users\alexa\YandexDisk\Книги\Здоровье\Память\Andreev_O_A_Khromov - Техника тренировки памяти.pdf","Andreev_O_A_Khromov - Техника тренировки памяти.pdf")</f>
        <v>Andreev_O_A_Khromov - Техника тренировки памяти.pdf</v>
      </c>
      <c r="O1116" s="3" t="s">
        <v>4537</v>
      </c>
    </row>
    <row r="1117" spans="1:15" ht="220.8" x14ac:dyDescent="0.3">
      <c r="A1117" s="4">
        <v>1116</v>
      </c>
      <c r="B1117" s="5" t="s">
        <v>4538</v>
      </c>
      <c r="C1117" s="5" t="s">
        <v>4539</v>
      </c>
      <c r="D1117" s="5" t="s">
        <v>2849</v>
      </c>
      <c r="E1117" s="5" t="s">
        <v>4540</v>
      </c>
      <c r="F1117" s="5" t="s">
        <v>4541</v>
      </c>
      <c r="G1117" s="5" t="s">
        <v>4471</v>
      </c>
      <c r="H1117" s="5" t="s">
        <v>4542</v>
      </c>
      <c r="I1117" s="5" t="s">
        <v>20</v>
      </c>
      <c r="J1117" s="5">
        <v>19.66</v>
      </c>
      <c r="K1117" s="5" t="s">
        <v>21</v>
      </c>
      <c r="L1117" s="5" t="s">
        <v>4543</v>
      </c>
      <c r="M1117" s="5" t="s">
        <v>4532</v>
      </c>
      <c r="N1117" s="7" t="str">
        <f>HYPERLINK("C:\Users\alexa\YandexDisk\Книги\Здоровье\Память\Beddeli_Alan_-_Vasha_pamyat.pdf","Beddeli_Alan_-_Vasha_pamyat.pdf")</f>
        <v>Beddeli_Alan_-_Vasha_pamyat.pdf</v>
      </c>
      <c r="O1117" s="5" t="s">
        <v>4544</v>
      </c>
    </row>
    <row r="1118" spans="1:15" ht="138" x14ac:dyDescent="0.3">
      <c r="A1118" s="2">
        <v>1117</v>
      </c>
      <c r="B1118" s="3" t="s">
        <v>4545</v>
      </c>
      <c r="C1118" s="3"/>
      <c r="D1118" s="3"/>
      <c r="E1118" s="3"/>
      <c r="F1118" s="3" t="s">
        <v>4529</v>
      </c>
      <c r="G1118" s="3" t="s">
        <v>4471</v>
      </c>
      <c r="H1118" s="3" t="s">
        <v>4530</v>
      </c>
      <c r="I1118" s="3" t="s">
        <v>4473</v>
      </c>
      <c r="J1118" s="3">
        <v>0.18</v>
      </c>
      <c r="K1118" s="3" t="s">
        <v>21</v>
      </c>
      <c r="L1118" s="3" t="s">
        <v>4546</v>
      </c>
      <c r="M1118" s="3" t="s">
        <v>4532</v>
      </c>
      <c r="N1118" s="6" t="str">
        <f>HYPERLINK("C:\Users\alexa\YandexDisk\Книги\Здоровье\Память\Garibian.doc","Garibian.doc")</f>
        <v>Garibian.doc</v>
      </c>
      <c r="O1118" s="3" t="s">
        <v>4547</v>
      </c>
    </row>
    <row r="1119" spans="1:15" ht="96.6" x14ac:dyDescent="0.3">
      <c r="A1119" s="4">
        <v>1118</v>
      </c>
      <c r="B1119" s="5" t="s">
        <v>4548</v>
      </c>
      <c r="C1119" s="5"/>
      <c r="D1119" s="5"/>
      <c r="E1119" s="5"/>
      <c r="F1119" s="5" t="s">
        <v>4529</v>
      </c>
      <c r="G1119" s="5" t="s">
        <v>4471</v>
      </c>
      <c r="H1119" s="5" t="s">
        <v>4530</v>
      </c>
      <c r="I1119" s="5" t="s">
        <v>721</v>
      </c>
      <c r="J1119" s="5">
        <v>4.63</v>
      </c>
      <c r="K1119" s="5" t="s">
        <v>21</v>
      </c>
      <c r="L1119" s="5" t="s">
        <v>4549</v>
      </c>
      <c r="M1119" s="5" t="s">
        <v>4532</v>
      </c>
      <c r="N1119" s="7" t="str">
        <f>HYPERLINK("C:\Users\alexa\YandexDisk\Книги\Здоровье\Память\lapp.djvu","lapp.djvu")</f>
        <v>lapp.djvu</v>
      </c>
      <c r="O1119" s="5" t="s">
        <v>4550</v>
      </c>
    </row>
    <row r="1120" spans="1:15" ht="138" x14ac:dyDescent="0.3">
      <c r="A1120" s="2">
        <v>1119</v>
      </c>
      <c r="B1120" s="3" t="s">
        <v>4551</v>
      </c>
      <c r="C1120" s="3"/>
      <c r="D1120" s="3"/>
      <c r="E1120" s="3"/>
      <c r="F1120" s="3" t="s">
        <v>4529</v>
      </c>
      <c r="G1120" s="3" t="s">
        <v>4471</v>
      </c>
      <c r="H1120" s="3" t="s">
        <v>4530</v>
      </c>
      <c r="I1120" s="3" t="s">
        <v>20</v>
      </c>
      <c r="J1120" s="3">
        <v>1.43</v>
      </c>
      <c r="K1120" s="3" t="s">
        <v>21</v>
      </c>
      <c r="L1120" s="3" t="s">
        <v>4552</v>
      </c>
      <c r="M1120" s="3" t="s">
        <v>4532</v>
      </c>
      <c r="N1120" s="6" t="str">
        <f>HYPERLINK("C:\Users\alexa\YandexDisk\Книги\Здоровье\Память\Pamayt.pdf","Pamayt.pdf")</f>
        <v>Pamayt.pdf</v>
      </c>
      <c r="O1120" s="3" t="s">
        <v>4553</v>
      </c>
    </row>
    <row r="1121" spans="1:15" ht="220.8" x14ac:dyDescent="0.3">
      <c r="A1121" s="4">
        <v>1120</v>
      </c>
      <c r="B1121" s="5" t="s">
        <v>4554</v>
      </c>
      <c r="C1121" s="5" t="s">
        <v>4555</v>
      </c>
      <c r="D1121" s="5" t="s">
        <v>3158</v>
      </c>
      <c r="E1121" s="5" t="s">
        <v>4556</v>
      </c>
      <c r="F1121" s="5" t="s">
        <v>4541</v>
      </c>
      <c r="G1121" s="5" t="s">
        <v>4471</v>
      </c>
      <c r="H1121" s="5" t="s">
        <v>4542</v>
      </c>
      <c r="I1121" s="5" t="s">
        <v>20</v>
      </c>
      <c r="J1121" s="5">
        <v>1.81</v>
      </c>
      <c r="K1121" s="5" t="s">
        <v>21</v>
      </c>
      <c r="L1121" s="5" t="s">
        <v>4557</v>
      </c>
      <c r="M1121" s="5" t="s">
        <v>4532</v>
      </c>
      <c r="N1121" s="7" t="str">
        <f>HYPERLINK("C:\Users\alexa\YandexDisk\Книги\Здоровье\Память\Yprajnenia_iogi.pdf","Yprajnenia_iogi.pdf")</f>
        <v>Yprajnenia_iogi.pdf</v>
      </c>
      <c r="O1121" s="5" t="s">
        <v>4558</v>
      </c>
    </row>
    <row r="1122" spans="1:15" ht="193.2" x14ac:dyDescent="0.3">
      <c r="A1122" s="2">
        <v>1121</v>
      </c>
      <c r="B1122" s="3" t="s">
        <v>4559</v>
      </c>
      <c r="C1122" s="3" t="s">
        <v>4560</v>
      </c>
      <c r="D1122" s="3" t="s">
        <v>1022</v>
      </c>
      <c r="E1122" s="3" t="s">
        <v>303</v>
      </c>
      <c r="F1122" s="3" t="s">
        <v>4541</v>
      </c>
      <c r="G1122" s="3" t="s">
        <v>4471</v>
      </c>
      <c r="H1122" s="3" t="s">
        <v>4542</v>
      </c>
      <c r="I1122" s="3" t="s">
        <v>20</v>
      </c>
      <c r="J1122" s="3">
        <v>6.2</v>
      </c>
      <c r="K1122" s="3" t="s">
        <v>21</v>
      </c>
      <c r="L1122" s="3" t="s">
        <v>4561</v>
      </c>
      <c r="M1122" s="3" t="s">
        <v>4532</v>
      </c>
      <c r="N1122" s="6" t="str">
        <f>HYPERLINK("C:\Users\alexa\YandexDisk\Книги\Здоровье\Память\Анхельс Наварро Память не изменяет. Задачи и головоломки для развития интеллекта и памяти (2015).pdf","Анхельс Наварро Память не изменяет. Задачи и головоломки для развития интеллекта и памяти (2015).pdf")</f>
        <v>Анхельс Наварро Память не изменяет. Задачи и головоломки для развития интеллекта и памяти (2015).pdf</v>
      </c>
      <c r="O1122" s="3" t="s">
        <v>4562</v>
      </c>
    </row>
    <row r="1123" spans="1:15" ht="151.80000000000001" x14ac:dyDescent="0.3">
      <c r="A1123" s="4">
        <v>1122</v>
      </c>
      <c r="B1123" s="5" t="s">
        <v>4563</v>
      </c>
      <c r="C1123" s="5"/>
      <c r="D1123" s="5"/>
      <c r="E1123" s="5"/>
      <c r="F1123" s="5" t="s">
        <v>4529</v>
      </c>
      <c r="G1123" s="5" t="s">
        <v>4471</v>
      </c>
      <c r="H1123" s="5" t="s">
        <v>4530</v>
      </c>
      <c r="I1123" s="5" t="s">
        <v>20</v>
      </c>
      <c r="J1123" s="5">
        <v>2.76</v>
      </c>
      <c r="K1123" s="5" t="s">
        <v>21</v>
      </c>
      <c r="L1123" s="5" t="s">
        <v>4564</v>
      </c>
      <c r="M1123" s="5" t="s">
        <v>4532</v>
      </c>
      <c r="N1123" s="7" t="str">
        <f>HYPERLINK("C:\Users\alexa\YandexDisk\Книги\Здоровье\Память\Искусство_Концентрации.pdf","Искусство_Концентрации.pdf")</f>
        <v>Искусство_Концентрации.pdf</v>
      </c>
      <c r="O1123" s="5" t="s">
        <v>4565</v>
      </c>
    </row>
    <row r="1124" spans="1:15" ht="124.2" x14ac:dyDescent="0.3">
      <c r="A1124" s="2">
        <v>1123</v>
      </c>
      <c r="B1124" s="3" t="s">
        <v>4566</v>
      </c>
      <c r="C1124" s="3" t="s">
        <v>4567</v>
      </c>
      <c r="D1124" s="3"/>
      <c r="E1124" s="3"/>
      <c r="F1124" s="3" t="s">
        <v>4541</v>
      </c>
      <c r="G1124" s="3" t="s">
        <v>4471</v>
      </c>
      <c r="H1124" s="3" t="s">
        <v>4542</v>
      </c>
      <c r="I1124" s="3" t="s">
        <v>4473</v>
      </c>
      <c r="J1124" s="3">
        <v>2.75</v>
      </c>
      <c r="K1124" s="3" t="s">
        <v>21</v>
      </c>
      <c r="L1124" s="3" t="s">
        <v>4568</v>
      </c>
      <c r="M1124" s="3" t="s">
        <v>4532</v>
      </c>
      <c r="N1124" s="6" t="str">
        <f>HYPERLINK("C:\Users\alexa\YandexDisk\Книги\Здоровье\Память\Картер-Развивайте_интеллект.doc","Картер-Развивайте_интеллект.doc")</f>
        <v>Картер-Развивайте_интеллект.doc</v>
      </c>
      <c r="O1124" s="3" t="s">
        <v>4569</v>
      </c>
    </row>
    <row r="1125" spans="1:15" ht="193.2" x14ac:dyDescent="0.3">
      <c r="A1125" s="4">
        <v>1124</v>
      </c>
      <c r="B1125" s="5" t="s">
        <v>4570</v>
      </c>
      <c r="C1125" s="5" t="s">
        <v>4571</v>
      </c>
      <c r="D1125" s="5"/>
      <c r="E1125" s="5"/>
      <c r="F1125" s="5" t="s">
        <v>4529</v>
      </c>
      <c r="G1125" s="5" t="s">
        <v>4471</v>
      </c>
      <c r="H1125" s="5" t="s">
        <v>4530</v>
      </c>
      <c r="I1125" s="5" t="s">
        <v>4473</v>
      </c>
      <c r="J1125" s="5">
        <v>0.1</v>
      </c>
      <c r="K1125" s="5" t="s">
        <v>21</v>
      </c>
      <c r="L1125" s="5" t="s">
        <v>4572</v>
      </c>
      <c r="M1125" s="5" t="s">
        <v>4532</v>
      </c>
      <c r="N1125" s="7" t="str">
        <f>HYPERLINK("C:\Users\alexa\YandexDisk\Книги\Здоровье\Память\Лурия А.Р. Маленькая книжка о большой памяти.doc","Лурия А.Р. Маленькая книжка о большой памяти.doc")</f>
        <v>Лурия А.Р. Маленькая книжка о большой памяти.doc</v>
      </c>
      <c r="O1125" s="5" t="s">
        <v>4573</v>
      </c>
    </row>
    <row r="1126" spans="1:15" ht="110.4" x14ac:dyDescent="0.3">
      <c r="A1126" s="2">
        <v>1125</v>
      </c>
      <c r="B1126" s="3" t="s">
        <v>4574</v>
      </c>
      <c r="C1126" s="3"/>
      <c r="D1126" s="3"/>
      <c r="E1126" s="3"/>
      <c r="F1126" s="3" t="s">
        <v>4529</v>
      </c>
      <c r="G1126" s="3" t="s">
        <v>4471</v>
      </c>
      <c r="H1126" s="3" t="s">
        <v>4530</v>
      </c>
      <c r="I1126" s="3" t="s">
        <v>721</v>
      </c>
      <c r="J1126" s="3">
        <v>0.62</v>
      </c>
      <c r="K1126" s="3" t="s">
        <v>21</v>
      </c>
      <c r="L1126" s="3" t="s">
        <v>4575</v>
      </c>
      <c r="M1126" s="3" t="s">
        <v>4532</v>
      </c>
      <c r="N1126" s="6" t="str">
        <f>HYPERLINK("C:\Users\alexa\YandexDisk\Книги\Здоровье\Память\Методы развития памяти, образного мышления, воображения.djvu","Методы развития памяти, образного мышления, воображения.djvu")</f>
        <v>Методы развития памяти, образного мышления, воображения.djvu</v>
      </c>
      <c r="O1126" s="3" t="s">
        <v>4576</v>
      </c>
    </row>
    <row r="1127" spans="1:15" ht="27.6" x14ac:dyDescent="0.3">
      <c r="A1127" s="4">
        <v>1126</v>
      </c>
      <c r="B1127" s="5" t="s">
        <v>4577</v>
      </c>
      <c r="C1127" s="5"/>
      <c r="D1127" s="5"/>
      <c r="E1127" s="5"/>
      <c r="F1127" s="5" t="s">
        <v>4529</v>
      </c>
      <c r="G1127" s="5" t="s">
        <v>4471</v>
      </c>
      <c r="H1127" s="5" t="s">
        <v>4530</v>
      </c>
      <c r="I1127" s="5" t="s">
        <v>4473</v>
      </c>
      <c r="J1127" s="5">
        <v>0.36</v>
      </c>
      <c r="K1127" s="5" t="s">
        <v>21</v>
      </c>
      <c r="L1127" s="5" t="s">
        <v>4578</v>
      </c>
      <c r="M1127" s="5" t="s">
        <v>4532</v>
      </c>
      <c r="N1127" s="7" t="str">
        <f>HYPERLINK("C:\Users\alexa\YandexDisk\Книги\Здоровье\Память\Пугач.doc","Пугач.doc")</f>
        <v>Пугач.doc</v>
      </c>
      <c r="O1127" s="5" t="s">
        <v>930</v>
      </c>
    </row>
    <row r="1128" spans="1:15" ht="207" x14ac:dyDescent="0.3">
      <c r="A1128" s="2">
        <v>1127</v>
      </c>
      <c r="B1128" s="3" t="s">
        <v>4579</v>
      </c>
      <c r="C1128" s="3" t="s">
        <v>4580</v>
      </c>
      <c r="D1128" s="3" t="s">
        <v>161</v>
      </c>
      <c r="E1128" s="3"/>
      <c r="F1128" s="3" t="s">
        <v>4529</v>
      </c>
      <c r="G1128" s="3" t="s">
        <v>4471</v>
      </c>
      <c r="H1128" s="3" t="s">
        <v>4530</v>
      </c>
      <c r="I1128" s="3" t="s">
        <v>2787</v>
      </c>
      <c r="J1128" s="3">
        <v>0.25</v>
      </c>
      <c r="K1128" s="3" t="s">
        <v>21</v>
      </c>
      <c r="L1128" s="3" t="s">
        <v>4581</v>
      </c>
      <c r="M1128" s="3" t="s">
        <v>4532</v>
      </c>
      <c r="N1128" s="6" t="str">
        <f>HYPERLINK("C:\Users\alexa\YandexDisk\Книги\Здоровье\Память\Пугач.fb2","Пугач.fb2")</f>
        <v>Пугач.fb2</v>
      </c>
      <c r="O1128" s="3" t="s">
        <v>4582</v>
      </c>
    </row>
    <row r="1129" spans="1:15" ht="124.2" x14ac:dyDescent="0.3">
      <c r="A1129" s="4">
        <v>1128</v>
      </c>
      <c r="B1129" s="5" t="s">
        <v>4583</v>
      </c>
      <c r="C1129" s="5"/>
      <c r="D1129" s="5"/>
      <c r="E1129" s="5"/>
      <c r="F1129" s="5" t="s">
        <v>4529</v>
      </c>
      <c r="G1129" s="5" t="s">
        <v>4471</v>
      </c>
      <c r="H1129" s="5" t="s">
        <v>4530</v>
      </c>
      <c r="I1129" s="5" t="s">
        <v>4473</v>
      </c>
      <c r="J1129" s="5">
        <v>2.04</v>
      </c>
      <c r="K1129" s="5" t="s">
        <v>21</v>
      </c>
      <c r="L1129" s="5" t="s">
        <v>4584</v>
      </c>
      <c r="M1129" s="5" t="s">
        <v>4532</v>
      </c>
      <c r="N1129" s="7" t="str">
        <f>HYPERLINK("C:\Users\alexa\YandexDisk\Книги\Здоровье\Память\Тренировка ума.doc","Тренировка ума.doc")</f>
        <v>Тренировка ума.doc</v>
      </c>
      <c r="O1129" s="5" t="s">
        <v>4585</v>
      </c>
    </row>
    <row r="1130" spans="1:15" ht="165.6" x14ac:dyDescent="0.3">
      <c r="A1130" s="2">
        <v>1129</v>
      </c>
      <c r="B1130" s="3" t="s">
        <v>4586</v>
      </c>
      <c r="C1130" s="3"/>
      <c r="D1130" s="3"/>
      <c r="E1130" s="3"/>
      <c r="F1130" s="3" t="s">
        <v>4529</v>
      </c>
      <c r="G1130" s="3" t="s">
        <v>4471</v>
      </c>
      <c r="H1130" s="3" t="s">
        <v>4530</v>
      </c>
      <c r="I1130" s="3" t="s">
        <v>4473</v>
      </c>
      <c r="J1130" s="3">
        <v>0.98</v>
      </c>
      <c r="K1130" s="3" t="s">
        <v>21</v>
      </c>
      <c r="L1130" s="3" t="s">
        <v>4587</v>
      </c>
      <c r="M1130" s="3" t="s">
        <v>4532</v>
      </c>
      <c r="N1130" s="6" t="str">
        <f>HYPERLINK("C:\Users\alexa\YandexDisk\Книги\Здоровье\Память\Учебник по активному воображению.doc","Учебник по активному воображению.doc")</f>
        <v>Учебник по активному воображению.doc</v>
      </c>
      <c r="O1130" s="3" t="s">
        <v>4588</v>
      </c>
    </row>
    <row r="1131" spans="1:15" ht="248.4" x14ac:dyDescent="0.3">
      <c r="A1131" s="4">
        <v>1130</v>
      </c>
      <c r="B1131" s="5" t="s">
        <v>4589</v>
      </c>
      <c r="C1131" s="5" t="s">
        <v>4590</v>
      </c>
      <c r="D1131" s="5" t="s">
        <v>17</v>
      </c>
      <c r="E1131" s="5" t="s">
        <v>1023</v>
      </c>
      <c r="F1131" s="5" t="s">
        <v>4591</v>
      </c>
      <c r="G1131" s="5" t="s">
        <v>4471</v>
      </c>
      <c r="H1131" s="5" t="s">
        <v>4592</v>
      </c>
      <c r="I1131" s="5" t="s">
        <v>20</v>
      </c>
      <c r="J1131" s="5">
        <v>7.97</v>
      </c>
      <c r="K1131" s="5" t="s">
        <v>21</v>
      </c>
      <c r="L1131" s="5" t="s">
        <v>4593</v>
      </c>
      <c r="M1131" s="5" t="s">
        <v>4594</v>
      </c>
      <c r="N1131" s="7" t="str">
        <f>HYPERLINK("C:\Users\alexa\YandexDisk\Книги\Здоровье\Разное\Bubnovskiyi_S._Doktorbubnovsk._7_Yetajeyi_Zdorovya_Leche.a4.pdf","Bubnovskiyi_S._Doktorbubnovsk._7_Yetajeyi_Zdorovya_Leche.a4.pdf")</f>
        <v>Bubnovskiyi_S._Doktorbubnovsk._7_Yetajeyi_Zdorovya_Leche.a4.pdf</v>
      </c>
      <c r="O1131" s="5" t="s">
        <v>4595</v>
      </c>
    </row>
    <row r="1132" spans="1:15" ht="248.4" x14ac:dyDescent="0.3">
      <c r="A1132" s="2">
        <v>1131</v>
      </c>
      <c r="B1132" s="3" t="s">
        <v>4589</v>
      </c>
      <c r="C1132" s="3" t="s">
        <v>4590</v>
      </c>
      <c r="D1132" s="3" t="s">
        <v>17</v>
      </c>
      <c r="E1132" s="3" t="s">
        <v>1023</v>
      </c>
      <c r="F1132" s="3" t="s">
        <v>4591</v>
      </c>
      <c r="G1132" s="3" t="s">
        <v>4471</v>
      </c>
      <c r="H1132" s="3" t="s">
        <v>4592</v>
      </c>
      <c r="I1132" s="3" t="s">
        <v>280</v>
      </c>
      <c r="J1132" s="3">
        <v>8.42</v>
      </c>
      <c r="K1132" s="3" t="s">
        <v>21</v>
      </c>
      <c r="L1132" s="3" t="s">
        <v>4596</v>
      </c>
      <c r="M1132" s="3" t="s">
        <v>4594</v>
      </c>
      <c r="N1132" s="6" t="str">
        <f>HYPERLINK("C:\Users\alexa\YandexDisk\Книги\Здоровье\Разное\Bubnovskiyi_S._Doktorbubnovsk._7_Yetajeyi_Zdorovya_Leche.epub","Bubnovskiyi_S._Doktorbubnovsk._7_Yetajeyi_Zdorovya_Leche.epub")</f>
        <v>Bubnovskiyi_S._Doktorbubnovsk._7_Yetajeyi_Zdorovya_Leche.epub</v>
      </c>
      <c r="O1132" s="3" t="s">
        <v>4597</v>
      </c>
    </row>
    <row r="1133" spans="1:15" ht="193.2" x14ac:dyDescent="0.3">
      <c r="A1133" s="4">
        <v>1132</v>
      </c>
      <c r="B1133" s="5" t="s">
        <v>4598</v>
      </c>
      <c r="C1133" s="5" t="s">
        <v>4590</v>
      </c>
      <c r="D1133" s="5" t="s">
        <v>27</v>
      </c>
      <c r="E1133" s="5" t="s">
        <v>1023</v>
      </c>
      <c r="F1133" s="5" t="s">
        <v>4591</v>
      </c>
      <c r="G1133" s="5" t="s">
        <v>4471</v>
      </c>
      <c r="H1133" s="5" t="s">
        <v>4592</v>
      </c>
      <c r="I1133" s="5" t="s">
        <v>20</v>
      </c>
      <c r="J1133" s="5">
        <v>11.91</v>
      </c>
      <c r="K1133" s="5" t="s">
        <v>21</v>
      </c>
      <c r="L1133" s="5" t="s">
        <v>4599</v>
      </c>
      <c r="M1133" s="5" t="s">
        <v>4594</v>
      </c>
      <c r="N1133" s="7" t="str">
        <f>HYPERLINK("C:\Users\alexa\YandexDisk\Книги\Здоровье\Разное\Bubnovskiyi_S._Jivempobubnovskomu._Dolgo_Jit_Ne_Zapretish_Gi.a4.pdf","Bubnovskiyi_S._Jivempobubnovskomu._Dolgo_Jit_Ne_Zapretish_Gi.a4.pdf")</f>
        <v>Bubnovskiyi_S._Jivempobubnovskomu._Dolgo_Jit_Ne_Zapretish_Gi.a4.pdf</v>
      </c>
      <c r="O1133" s="5" t="s">
        <v>4600</v>
      </c>
    </row>
    <row r="1134" spans="1:15" ht="220.8" x14ac:dyDescent="0.3">
      <c r="A1134" s="2">
        <v>1133</v>
      </c>
      <c r="B1134" s="3" t="s">
        <v>4598</v>
      </c>
      <c r="C1134" s="3" t="s">
        <v>4590</v>
      </c>
      <c r="D1134" s="3" t="s">
        <v>27</v>
      </c>
      <c r="E1134" s="3" t="s">
        <v>1023</v>
      </c>
      <c r="F1134" s="3" t="s">
        <v>4591</v>
      </c>
      <c r="G1134" s="3" t="s">
        <v>4471</v>
      </c>
      <c r="H1134" s="3" t="s">
        <v>4592</v>
      </c>
      <c r="I1134" s="3" t="s">
        <v>280</v>
      </c>
      <c r="J1134" s="3">
        <v>4.07</v>
      </c>
      <c r="K1134" s="3" t="s">
        <v>21</v>
      </c>
      <c r="L1134" s="3" t="s">
        <v>4601</v>
      </c>
      <c r="M1134" s="3" t="s">
        <v>4594</v>
      </c>
      <c r="N1134" s="6" t="str">
        <f>HYPERLINK("C:\Users\alexa\YandexDisk\Книги\Здоровье\Разное\Bubnovskiyi_S._Jivempobubnovskomu._Dolgo_Jit_Ne_Zapretish_Gi.epub","Bubnovskiyi_S._Jivempobubnovskomu._Dolgo_Jit_Ne_Zapretish_Gi.epub")</f>
        <v>Bubnovskiyi_S._Jivempobubnovskomu._Dolgo_Jit_Ne_Zapretish_Gi.epub</v>
      </c>
      <c r="O1134" s="3" t="s">
        <v>4602</v>
      </c>
    </row>
    <row r="1135" spans="1:15" ht="179.4" x14ac:dyDescent="0.3">
      <c r="A1135" s="4">
        <v>1134</v>
      </c>
      <c r="B1135" s="5" t="s">
        <v>4603</v>
      </c>
      <c r="C1135" s="5" t="s">
        <v>4604</v>
      </c>
      <c r="D1135" s="5" t="s">
        <v>27</v>
      </c>
      <c r="E1135" s="5" t="s">
        <v>1023</v>
      </c>
      <c r="F1135" s="5" t="s">
        <v>4591</v>
      </c>
      <c r="G1135" s="5" t="s">
        <v>4471</v>
      </c>
      <c r="H1135" s="5" t="s">
        <v>4592</v>
      </c>
      <c r="I1135" s="5" t="s">
        <v>20</v>
      </c>
      <c r="J1135" s="5">
        <v>18.760000000000002</v>
      </c>
      <c r="K1135" s="5" t="s">
        <v>21</v>
      </c>
      <c r="L1135" s="5" t="s">
        <v>4605</v>
      </c>
      <c r="M1135" s="5" t="s">
        <v>4594</v>
      </c>
      <c r="N1135" s="7" t="str">
        <f>HYPERLINK("C:\Users\alexa\YandexDisk\Книги\Здоровье\Разное\Bubnovskiy_S._Uprajneniya_dlya_doma_i_zala.pdf","Bubnovskiy_S._Uprajneniya_dlya_doma_i_zala.pdf")</f>
        <v>Bubnovskiy_S._Uprajneniya_dlya_doma_i_zala.pdf</v>
      </c>
      <c r="O1135" s="5" t="s">
        <v>4606</v>
      </c>
    </row>
    <row r="1136" spans="1:15" ht="151.80000000000001" x14ac:dyDescent="0.3">
      <c r="A1136" s="2">
        <v>1135</v>
      </c>
      <c r="B1136" s="3" t="s">
        <v>4607</v>
      </c>
      <c r="C1136" s="3" t="s">
        <v>4608</v>
      </c>
      <c r="D1136" s="3" t="s">
        <v>186</v>
      </c>
      <c r="E1136" s="3" t="s">
        <v>4609</v>
      </c>
      <c r="F1136" s="3" t="s">
        <v>4591</v>
      </c>
      <c r="G1136" s="3" t="s">
        <v>4471</v>
      </c>
      <c r="H1136" s="3" t="s">
        <v>4592</v>
      </c>
      <c r="I1136" s="3" t="s">
        <v>280</v>
      </c>
      <c r="J1136" s="3">
        <v>3.19</v>
      </c>
      <c r="K1136" s="3" t="s">
        <v>21</v>
      </c>
      <c r="L1136" s="3" t="s">
        <v>4610</v>
      </c>
      <c r="M1136" s="3" t="s">
        <v>4594</v>
      </c>
      <c r="N1136" s="6" t="str">
        <f>HYPERLINK("C:\Users\alexa\YandexDisk\Книги\Здоровье\Разное\vozvraschenije-k-zdorovju.epub","vozvraschenije-k-zdorovju.epub")</f>
        <v>vozvraschenije-k-zdorovju.epub</v>
      </c>
      <c r="O1136" s="3" t="s">
        <v>4611</v>
      </c>
    </row>
    <row r="1137" spans="1:15" ht="193.2" x14ac:dyDescent="0.3">
      <c r="A1137" s="4">
        <v>1136</v>
      </c>
      <c r="B1137" s="5" t="s">
        <v>4612</v>
      </c>
      <c r="C1137" s="5"/>
      <c r="D1137" s="5"/>
      <c r="E1137" s="5"/>
      <c r="F1137" s="5" t="s">
        <v>4591</v>
      </c>
      <c r="G1137" s="5" t="s">
        <v>4471</v>
      </c>
      <c r="H1137" s="5" t="s">
        <v>4592</v>
      </c>
      <c r="I1137" s="5" t="s">
        <v>20</v>
      </c>
      <c r="J1137" s="5">
        <v>26.02</v>
      </c>
      <c r="K1137" s="5" t="s">
        <v>21</v>
      </c>
      <c r="L1137" s="5" t="s">
        <v>4613</v>
      </c>
      <c r="M1137" s="5" t="s">
        <v>4594</v>
      </c>
      <c r="N1137" s="7" t="str">
        <f>HYPERLINK("C:\Users\alexa\YandexDisk\Книги\Здоровье\Разное\Анатомические_поезда._Фасциальные_Цепи.pdf","Анатомические_поезда._Фасциальные_Цепи.pdf")</f>
        <v>Анатомические_поезда._Фасциальные_Цепи.pdf</v>
      </c>
      <c r="O1137" s="5" t="s">
        <v>4614</v>
      </c>
    </row>
    <row r="1138" spans="1:15" ht="41.4" x14ac:dyDescent="0.3">
      <c r="A1138" s="2">
        <v>1137</v>
      </c>
      <c r="B1138" s="3" t="s">
        <v>4615</v>
      </c>
      <c r="C1138" s="3"/>
      <c r="D1138" s="3"/>
      <c r="E1138" s="3"/>
      <c r="F1138" s="3" t="s">
        <v>4591</v>
      </c>
      <c r="G1138" s="3" t="s">
        <v>4471</v>
      </c>
      <c r="H1138" s="3" t="s">
        <v>4592</v>
      </c>
      <c r="I1138" s="3" t="s">
        <v>1147</v>
      </c>
      <c r="J1138" s="3">
        <v>24.47</v>
      </c>
      <c r="K1138" s="3" t="s">
        <v>21</v>
      </c>
      <c r="L1138" s="3" t="s">
        <v>4616</v>
      </c>
      <c r="M1138" s="3" t="s">
        <v>4594</v>
      </c>
      <c r="N1138" s="6" t="str">
        <f>HYPERLINK("C:\Users\alexa\YandexDisk\Книги\Здоровье\Разное\Движения печени -1-й день.docx","Движения печени -1-й день.docx")</f>
        <v>Движения печени -1-й день.docx</v>
      </c>
      <c r="O1138" s="3" t="s">
        <v>4617</v>
      </c>
    </row>
    <row r="1139" spans="1:15" ht="248.4" x14ac:dyDescent="0.3">
      <c r="A1139" s="4">
        <v>1138</v>
      </c>
      <c r="B1139" s="5" t="s">
        <v>4618</v>
      </c>
      <c r="C1139" s="5" t="s">
        <v>4619</v>
      </c>
      <c r="D1139" s="5"/>
      <c r="E1139" s="5"/>
      <c r="F1139" s="5" t="s">
        <v>4591</v>
      </c>
      <c r="G1139" s="5" t="s">
        <v>4471</v>
      </c>
      <c r="H1139" s="5" t="s">
        <v>4592</v>
      </c>
      <c r="I1139" s="5" t="s">
        <v>20</v>
      </c>
      <c r="J1139" s="5">
        <v>2.54</v>
      </c>
      <c r="K1139" s="5" t="s">
        <v>21</v>
      </c>
      <c r="L1139" s="5" t="s">
        <v>4620</v>
      </c>
      <c r="M1139" s="5" t="s">
        <v>4594</v>
      </c>
      <c r="N1139" s="7" t="str">
        <f>HYPERLINK("C:\Users\alexa\YandexDisk\Книги\Здоровье\Разное\Инструкция по точечному массажу.pdf","Инструкция по точечному массажу.pdf")</f>
        <v>Инструкция по точечному массажу.pdf</v>
      </c>
      <c r="O1139" s="5" t="s">
        <v>4621</v>
      </c>
    </row>
    <row r="1140" spans="1:15" ht="165.6" x14ac:dyDescent="0.3">
      <c r="A1140" s="2">
        <v>1139</v>
      </c>
      <c r="B1140" s="3" t="s">
        <v>4622</v>
      </c>
      <c r="C1140" s="3" t="s">
        <v>4623</v>
      </c>
      <c r="D1140" s="3"/>
      <c r="E1140" s="3"/>
      <c r="F1140" s="3" t="s">
        <v>4624</v>
      </c>
      <c r="G1140" s="3" t="s">
        <v>4471</v>
      </c>
      <c r="H1140" s="3" t="s">
        <v>4625</v>
      </c>
      <c r="I1140" s="3" t="s">
        <v>519</v>
      </c>
      <c r="J1140" s="3">
        <v>1510.82</v>
      </c>
      <c r="K1140" s="3" t="s">
        <v>21</v>
      </c>
      <c r="L1140" s="3" t="s">
        <v>4626</v>
      </c>
      <c r="M1140" s="3" t="s">
        <v>4627</v>
      </c>
      <c r="N1140" s="6" t="str">
        <f>HYPERLINK("C:\Users\alexa\YandexDisk\Книги\Здоровье\Тайцзы\Тайцзи-Патока.zip","Тайцзи-Патока.zip")</f>
        <v>Тайцзи-Патока.zip</v>
      </c>
      <c r="O1140" s="3" t="s">
        <v>4628</v>
      </c>
    </row>
    <row r="1141" spans="1:15" ht="27.6" x14ac:dyDescent="0.3">
      <c r="A1141" s="4">
        <v>1140</v>
      </c>
      <c r="B1141" s="5" t="s">
        <v>4629</v>
      </c>
      <c r="C1141" s="5"/>
      <c r="D1141" s="5"/>
      <c r="E1141" s="5"/>
      <c r="F1141" s="5" t="s">
        <v>4624</v>
      </c>
      <c r="G1141" s="5" t="s">
        <v>4471</v>
      </c>
      <c r="H1141" s="5" t="s">
        <v>4625</v>
      </c>
      <c r="I1141" s="5" t="s">
        <v>519</v>
      </c>
      <c r="J1141" s="5">
        <v>402.29</v>
      </c>
      <c r="K1141" s="5" t="s">
        <v>21</v>
      </c>
      <c r="L1141" s="5" t="s">
        <v>4630</v>
      </c>
      <c r="M1141" s="5" t="s">
        <v>4627</v>
      </c>
      <c r="N1141" s="7" t="str">
        <f>HYPERLINK("C:\Users\alexa\YandexDisk\Книги\Здоровье\Тайцзы\Тайцзи.zip","Тайцзи.zip")</f>
        <v>Тайцзи.zip</v>
      </c>
      <c r="O1141" s="5" t="s">
        <v>1735</v>
      </c>
    </row>
    <row r="1142" spans="1:15" ht="165.6" x14ac:dyDescent="0.3">
      <c r="A1142" s="2">
        <v>1141</v>
      </c>
      <c r="B1142" s="3" t="s">
        <v>4631</v>
      </c>
      <c r="C1142" s="3"/>
      <c r="D1142" s="3"/>
      <c r="E1142" s="3"/>
      <c r="F1142" s="3" t="s">
        <v>4624</v>
      </c>
      <c r="G1142" s="3" t="s">
        <v>4471</v>
      </c>
      <c r="H1142" s="3" t="s">
        <v>4625</v>
      </c>
      <c r="I1142" s="3" t="s">
        <v>20</v>
      </c>
      <c r="J1142" s="3">
        <v>0.26</v>
      </c>
      <c r="K1142" s="3" t="s">
        <v>21</v>
      </c>
      <c r="L1142" s="3" t="s">
        <v>4632</v>
      </c>
      <c r="M1142" s="3" t="s">
        <v>4627</v>
      </c>
      <c r="N1142" s="6" t="str">
        <f>HYPERLINK("C:\Users\alexa\YandexDisk\Книги\Здоровье\Тайцзы\Тайцзы после 60 - безопасный путь к балансу, дыханию и долголетию.pdf","Тайцзы после 60 - безопасный путь к балансу, дыханию и долголетию.pdf")</f>
        <v>Тайцзы после 60 - безопасный путь к балансу, дыханию и долголетию.pdf</v>
      </c>
      <c r="O1142" s="3" t="s">
        <v>4633</v>
      </c>
    </row>
    <row r="1143" spans="1:15" ht="207" x14ac:dyDescent="0.3">
      <c r="A1143" s="4">
        <v>1142</v>
      </c>
      <c r="B1143" s="5" t="s">
        <v>4634</v>
      </c>
      <c r="C1143" s="5" t="s">
        <v>4635</v>
      </c>
      <c r="D1143" s="5"/>
      <c r="E1143" s="5"/>
      <c r="F1143" s="5" t="s">
        <v>4636</v>
      </c>
      <c r="G1143" s="5" t="s">
        <v>4637</v>
      </c>
      <c r="H1143" s="5" t="s">
        <v>4638</v>
      </c>
      <c r="I1143" s="5" t="s">
        <v>280</v>
      </c>
      <c r="J1143" s="5">
        <v>16.739999999999998</v>
      </c>
      <c r="K1143" s="5" t="s">
        <v>21</v>
      </c>
      <c r="L1143" s="5" t="s">
        <v>4639</v>
      </c>
      <c r="M1143" s="5" t="s">
        <v>4640</v>
      </c>
      <c r="N1143" s="7" t="str">
        <f>HYPERLINK("C:\Users\alexa\YandexDisk\Книги\ИИ\NLP\Blueprints for Text Analytics Using Python.epub","Blueprints for Text Analytics Using Python.epub")</f>
        <v>Blueprints for Text Analytics Using Python.epub</v>
      </c>
      <c r="O1143" s="5" t="s">
        <v>4641</v>
      </c>
    </row>
    <row r="1144" spans="1:15" ht="165.6" x14ac:dyDescent="0.3">
      <c r="A1144" s="2">
        <v>1143</v>
      </c>
      <c r="B1144" s="3" t="s">
        <v>4642</v>
      </c>
      <c r="C1144" s="3" t="s">
        <v>4643</v>
      </c>
      <c r="D1144" s="3"/>
      <c r="E1144" s="3"/>
      <c r="F1144" s="3" t="s">
        <v>4636</v>
      </c>
      <c r="G1144" s="3" t="s">
        <v>4637</v>
      </c>
      <c r="H1144" s="3" t="s">
        <v>4638</v>
      </c>
      <c r="I1144" s="3" t="s">
        <v>20</v>
      </c>
      <c r="J1144" s="3">
        <v>0.08</v>
      </c>
      <c r="K1144" s="3" t="s">
        <v>21</v>
      </c>
      <c r="L1144" s="3" t="s">
        <v>4644</v>
      </c>
      <c r="M1144" s="3" t="s">
        <v>4640</v>
      </c>
      <c r="N1144" s="6" t="str">
        <f>HYPERLINK("C:\Users\alexa\YandexDisk\Книги\ИИ\NLP\Comprehend_.pdf","Comprehend_.pdf")</f>
        <v>Comprehend_.pdf</v>
      </c>
      <c r="O1144" s="3" t="s">
        <v>4645</v>
      </c>
    </row>
    <row r="1145" spans="1:15" ht="165.6" x14ac:dyDescent="0.3">
      <c r="A1145" s="4">
        <v>1144</v>
      </c>
      <c r="B1145" s="5" t="s">
        <v>4646</v>
      </c>
      <c r="C1145" s="5" t="s">
        <v>4647</v>
      </c>
      <c r="D1145" s="5" t="s">
        <v>17</v>
      </c>
      <c r="E1145" s="5" t="s">
        <v>205</v>
      </c>
      <c r="F1145" s="5" t="s">
        <v>4636</v>
      </c>
      <c r="G1145" s="5" t="s">
        <v>4637</v>
      </c>
      <c r="H1145" s="5" t="s">
        <v>4638</v>
      </c>
      <c r="I1145" s="5" t="s">
        <v>20</v>
      </c>
      <c r="J1145" s="5">
        <v>5.52</v>
      </c>
      <c r="K1145" s="5" t="s">
        <v>21</v>
      </c>
      <c r="L1145" s="5" t="s">
        <v>4648</v>
      </c>
      <c r="M1145" s="5" t="s">
        <v>4640</v>
      </c>
      <c r="N1145" s="7" t="str">
        <f>HYPERLINK("C:\Users\alexa\YandexDisk\Книги\ИИ\NLP\Denis Rothman - Transformers for Natural Language Processing.pdf","Denis Rothman - Transformers for Natural Language Processing.pdf")</f>
        <v>Denis Rothman - Transformers for Natural Language Processing.pdf</v>
      </c>
      <c r="O1145" s="5" t="s">
        <v>4649</v>
      </c>
    </row>
    <row r="1146" spans="1:15" ht="179.4" x14ac:dyDescent="0.3">
      <c r="A1146" s="2">
        <v>1145</v>
      </c>
      <c r="B1146" s="3" t="s">
        <v>4650</v>
      </c>
      <c r="C1146" s="3" t="s">
        <v>4651</v>
      </c>
      <c r="D1146" s="3" t="s">
        <v>71</v>
      </c>
      <c r="E1146" s="3" t="s">
        <v>536</v>
      </c>
      <c r="F1146" s="3" t="s">
        <v>4636</v>
      </c>
      <c r="G1146" s="3" t="s">
        <v>4637</v>
      </c>
      <c r="H1146" s="3" t="s">
        <v>4638</v>
      </c>
      <c r="I1146" s="3" t="s">
        <v>20</v>
      </c>
      <c r="J1146" s="3">
        <v>15.41</v>
      </c>
      <c r="K1146" s="3" t="s">
        <v>21</v>
      </c>
      <c r="L1146" s="3" t="s">
        <v>4652</v>
      </c>
      <c r="M1146" s="3" t="s">
        <v>4640</v>
      </c>
      <c r="N1146" s="6" t="str">
        <f>HYPERLINK("C:\Users\alexa\YandexDisk\Книги\ИИ\NLP\Getting Started with Natural Language Processing V10 2022.pdf","Getting Started with Natural Language Processing V10 2022.pdf")</f>
        <v>Getting Started with Natural Language Processing V10 2022.pdf</v>
      </c>
      <c r="O1146" s="3" t="s">
        <v>4653</v>
      </c>
    </row>
    <row r="1147" spans="1:15" ht="179.4" x14ac:dyDescent="0.3">
      <c r="A1147" s="4">
        <v>1146</v>
      </c>
      <c r="B1147" s="5" t="s">
        <v>4654</v>
      </c>
      <c r="C1147" s="5" t="s">
        <v>4655</v>
      </c>
      <c r="D1147" s="5"/>
      <c r="E1147" s="5" t="s">
        <v>557</v>
      </c>
      <c r="F1147" s="5" t="s">
        <v>4636</v>
      </c>
      <c r="G1147" s="5" t="s">
        <v>4637</v>
      </c>
      <c r="H1147" s="5" t="s">
        <v>4638</v>
      </c>
      <c r="I1147" s="5" t="s">
        <v>20</v>
      </c>
      <c r="J1147" s="5">
        <v>18.16</v>
      </c>
      <c r="K1147" s="5" t="s">
        <v>21</v>
      </c>
      <c r="L1147" s="5" t="s">
        <v>4656</v>
      </c>
      <c r="M1147" s="5" t="s">
        <v>4640</v>
      </c>
      <c r="N1147" s="7" t="str">
        <f>HYPERLINK("C:\Users\alexa\YandexDisk\Книги\ИИ\NLP\How Large Language Models Work.pdf","How Large Language Models Work.pdf")</f>
        <v>How Large Language Models Work.pdf</v>
      </c>
      <c r="O1147" s="5" t="s">
        <v>4657</v>
      </c>
    </row>
    <row r="1148" spans="1:15" ht="207" x14ac:dyDescent="0.3">
      <c r="A1148" s="2">
        <v>1147</v>
      </c>
      <c r="B1148" s="3" t="s">
        <v>4658</v>
      </c>
      <c r="C1148" s="3" t="s">
        <v>4659</v>
      </c>
      <c r="D1148" s="3" t="s">
        <v>17</v>
      </c>
      <c r="E1148" s="3" t="s">
        <v>536</v>
      </c>
      <c r="F1148" s="3" t="s">
        <v>4636</v>
      </c>
      <c r="G1148" s="3" t="s">
        <v>4637</v>
      </c>
      <c r="H1148" s="3" t="s">
        <v>4638</v>
      </c>
      <c r="I1148" s="3" t="s">
        <v>20</v>
      </c>
      <c r="J1148" s="3">
        <v>11.46</v>
      </c>
      <c r="K1148" s="3" t="s">
        <v>21</v>
      </c>
      <c r="L1148" s="3" t="s">
        <v>4660</v>
      </c>
      <c r="M1148" s="3" t="s">
        <v>4640</v>
      </c>
      <c r="N1148" s="6" t="str">
        <f>HYPERLINK("C:\Users\alexa\YandexDisk\Книги\ИИ\NLP\Masato_Hagiwara_Real_World_Natural_Language_Processing_Practical.pdf","Masato_Hagiwara_Real_World_Natural_Language_Processing_Practical.pdf")</f>
        <v>Masato_Hagiwara_Real_World_Natural_Language_Processing_Practical.pdf</v>
      </c>
      <c r="O1148" s="3" t="s">
        <v>4661</v>
      </c>
    </row>
    <row r="1149" spans="1:15" ht="165.6" x14ac:dyDescent="0.3">
      <c r="A1149" s="4">
        <v>1148</v>
      </c>
      <c r="B1149" s="5" t="s">
        <v>4662</v>
      </c>
      <c r="C1149" s="5"/>
      <c r="D1149" s="5"/>
      <c r="E1149" s="5"/>
      <c r="F1149" s="5" t="s">
        <v>4636</v>
      </c>
      <c r="G1149" s="5" t="s">
        <v>4637</v>
      </c>
      <c r="H1149" s="5" t="s">
        <v>4638</v>
      </c>
      <c r="I1149" s="5" t="s">
        <v>20</v>
      </c>
      <c r="J1149" s="5">
        <v>19.48</v>
      </c>
      <c r="K1149" s="5" t="s">
        <v>21</v>
      </c>
      <c r="L1149" s="5" t="s">
        <v>4663</v>
      </c>
      <c r="M1149" s="5" t="s">
        <v>4640</v>
      </c>
      <c r="N1149" s="7" t="str">
        <f>HYPERLINK("C:\Users\alexa\YandexDisk\Книги\ИИ\NLP\Natural Language Processing for Beginners.pdf","Natural Language Processing for Beginners.pdf")</f>
        <v>Natural Language Processing for Beginners.pdf</v>
      </c>
      <c r="O1149" s="5" t="s">
        <v>4664</v>
      </c>
    </row>
    <row r="1150" spans="1:15" ht="220.8" x14ac:dyDescent="0.3">
      <c r="A1150" s="2">
        <v>1149</v>
      </c>
      <c r="B1150" s="3" t="s">
        <v>4665</v>
      </c>
      <c r="C1150" s="3" t="s">
        <v>4666</v>
      </c>
      <c r="D1150" s="3"/>
      <c r="E1150" s="3"/>
      <c r="F1150" s="3" t="s">
        <v>4636</v>
      </c>
      <c r="G1150" s="3" t="s">
        <v>4637</v>
      </c>
      <c r="H1150" s="3" t="s">
        <v>4638</v>
      </c>
      <c r="I1150" s="3" t="s">
        <v>20</v>
      </c>
      <c r="J1150" s="3">
        <v>25.62</v>
      </c>
      <c r="K1150" s="3" t="s">
        <v>21</v>
      </c>
      <c r="L1150" s="3" t="s">
        <v>4667</v>
      </c>
      <c r="M1150" s="3" t="s">
        <v>4640</v>
      </c>
      <c r="N1150" s="6" t="str">
        <f>HYPERLINK("C:\Users\alexa\YandexDisk\Книги\ИИ\NLP\Natural Language Processing in the Real World.pdf","Natural Language Processing in the Real World.pdf")</f>
        <v>Natural Language Processing in the Real World.pdf</v>
      </c>
      <c r="O1150" s="3" t="s">
        <v>4668</v>
      </c>
    </row>
    <row r="1151" spans="1:15" ht="207" x14ac:dyDescent="0.3">
      <c r="A1151" s="4">
        <v>1150</v>
      </c>
      <c r="B1151" s="5" t="s">
        <v>4669</v>
      </c>
      <c r="C1151" s="5" t="s">
        <v>4670</v>
      </c>
      <c r="D1151" s="5"/>
      <c r="E1151" s="5"/>
      <c r="F1151" s="5" t="s">
        <v>4636</v>
      </c>
      <c r="G1151" s="5" t="s">
        <v>4637</v>
      </c>
      <c r="H1151" s="5" t="s">
        <v>4638</v>
      </c>
      <c r="I1151" s="5" t="s">
        <v>280</v>
      </c>
      <c r="J1151" s="5">
        <v>10.74</v>
      </c>
      <c r="K1151" s="5" t="s">
        <v>21</v>
      </c>
      <c r="L1151" s="5" t="s">
        <v>4671</v>
      </c>
      <c r="M1151" s="5" t="s">
        <v>4640</v>
      </c>
      <c r="N1151" s="7" t="str">
        <f>HYPERLINK("C:\Users\alexa\YandexDisk\Книги\ИИ\NLP\Natural_Language with transformer.epub","Natural_Language with transformer.epub")</f>
        <v>Natural_Language with transformer.epub</v>
      </c>
      <c r="O1151" s="5" t="s">
        <v>4672</v>
      </c>
    </row>
    <row r="1152" spans="1:15" ht="179.4" x14ac:dyDescent="0.3">
      <c r="A1152" s="2">
        <v>1151</v>
      </c>
      <c r="B1152" s="3" t="s">
        <v>4673</v>
      </c>
      <c r="C1152" s="3" t="s">
        <v>4674</v>
      </c>
      <c r="D1152" s="3"/>
      <c r="E1152" s="3" t="s">
        <v>269</v>
      </c>
      <c r="F1152" s="3" t="s">
        <v>4636</v>
      </c>
      <c r="G1152" s="3" t="s">
        <v>4637</v>
      </c>
      <c r="H1152" s="3" t="s">
        <v>4638</v>
      </c>
      <c r="I1152" s="3" t="s">
        <v>20</v>
      </c>
      <c r="J1152" s="3">
        <v>9.6</v>
      </c>
      <c r="K1152" s="3" t="s">
        <v>21</v>
      </c>
      <c r="L1152" s="3" t="s">
        <v>4675</v>
      </c>
      <c r="M1152" s="3" t="s">
        <v>4640</v>
      </c>
      <c r="N1152" s="6" t="str">
        <f>HYPERLINK("C:\Users\alexa\YandexDisk\Книги\ИИ\NLP\Natural_Language_Processing_in_Action_by_Hobson_Lane,Cole_Howard.pdf","Natural_Language_Processing_in_Action_by_Hobson_Lane,Cole_Howard.pdf")</f>
        <v>Natural_Language_Processing_in_Action_by_Hobson_Lane,Cole_Howard.pdf</v>
      </c>
      <c r="O1152" s="3" t="s">
        <v>4676</v>
      </c>
    </row>
    <row r="1153" spans="1:15" ht="179.4" x14ac:dyDescent="0.3">
      <c r="A1153" s="4">
        <v>1152</v>
      </c>
      <c r="B1153" s="5" t="s">
        <v>4677</v>
      </c>
      <c r="C1153" s="5" t="s">
        <v>4678</v>
      </c>
      <c r="D1153" s="5" t="s">
        <v>274</v>
      </c>
      <c r="E1153" s="5"/>
      <c r="F1153" s="5" t="s">
        <v>4636</v>
      </c>
      <c r="G1153" s="5" t="s">
        <v>4637</v>
      </c>
      <c r="H1153" s="5" t="s">
        <v>4638</v>
      </c>
      <c r="I1153" s="5" t="s">
        <v>20</v>
      </c>
      <c r="J1153" s="5">
        <v>21.64</v>
      </c>
      <c r="K1153" s="5" t="s">
        <v>21</v>
      </c>
      <c r="L1153" s="5" t="s">
        <v>4679</v>
      </c>
      <c r="M1153" s="5" t="s">
        <v>4640</v>
      </c>
      <c r="N1153" s="7" t="str">
        <f>HYPERLINK("C:\Users\alexa\YandexDisk\Книги\ИИ\NLP\The Big Book of NLP ... by Shlomo Vaknin.pdf","The Big Book of NLP ... by Shlomo Vaknin.pdf")</f>
        <v>The Big Book of NLP ... by Shlomo Vaknin.pdf</v>
      </c>
      <c r="O1153" s="5" t="s">
        <v>4680</v>
      </c>
    </row>
    <row r="1154" spans="1:15" ht="234.6" x14ac:dyDescent="0.3">
      <c r="A1154" s="2">
        <v>1153</v>
      </c>
      <c r="B1154" s="3" t="s">
        <v>4681</v>
      </c>
      <c r="C1154" s="3"/>
      <c r="D1154" s="3"/>
      <c r="E1154" s="3" t="s">
        <v>4682</v>
      </c>
      <c r="F1154" s="3" t="s">
        <v>4636</v>
      </c>
      <c r="G1154" s="3" t="s">
        <v>4637</v>
      </c>
      <c r="H1154" s="3" t="s">
        <v>4638</v>
      </c>
      <c r="I1154" s="3" t="s">
        <v>20</v>
      </c>
      <c r="J1154" s="3">
        <v>20.76</v>
      </c>
      <c r="K1154" s="3" t="s">
        <v>21</v>
      </c>
      <c r="L1154" s="3" t="s">
        <v>4683</v>
      </c>
      <c r="M1154" s="3" t="s">
        <v>4640</v>
      </c>
      <c r="N1154" s="6" t="str">
        <f>HYPERLINK("C:\Users\alexa\YandexDisk\Книги\ИИ\NLP\The Oxford Handbook of Computational Linguistics.pdf","The Oxford Handbook of Computational Linguistics.pdf")</f>
        <v>The Oxford Handbook of Computational Linguistics.pdf</v>
      </c>
      <c r="O1154" s="3" t="s">
        <v>4684</v>
      </c>
    </row>
    <row r="1155" spans="1:15" ht="179.4" x14ac:dyDescent="0.3">
      <c r="A1155" s="4">
        <v>1154</v>
      </c>
      <c r="B1155" s="5" t="s">
        <v>4685</v>
      </c>
      <c r="C1155" s="5" t="s">
        <v>4651</v>
      </c>
      <c r="D1155" s="5" t="s">
        <v>59</v>
      </c>
      <c r="E1155" s="5" t="s">
        <v>536</v>
      </c>
      <c r="F1155" s="5" t="s">
        <v>4636</v>
      </c>
      <c r="G1155" s="5" t="s">
        <v>4637</v>
      </c>
      <c r="H1155" s="5" t="s">
        <v>4638</v>
      </c>
      <c r="I1155" s="5" t="s">
        <v>20</v>
      </c>
      <c r="J1155" s="5">
        <v>11.93</v>
      </c>
      <c r="K1155" s="5" t="s">
        <v>21</v>
      </c>
      <c r="L1155" s="5" t="s">
        <v>4686</v>
      </c>
      <c r="M1155" s="5" t="s">
        <v>4640</v>
      </c>
      <c r="N1155" s="7" t="str">
        <f>HYPERLINK("C:\Users\alexa\YandexDisk\Книги\ИИ\NLP\__Natural_Language_Processing_in_Practice.pdf","__Natural_Language_Processing_in_Practice.pdf")</f>
        <v>__Natural_Language_Processing_in_Practice.pdf</v>
      </c>
      <c r="O1155" s="5" t="s">
        <v>4687</v>
      </c>
    </row>
    <row r="1156" spans="1:15" ht="179.4" x14ac:dyDescent="0.3">
      <c r="A1156" s="2">
        <v>1155</v>
      </c>
      <c r="B1156" s="3" t="s">
        <v>4688</v>
      </c>
      <c r="C1156" s="3" t="s">
        <v>4689</v>
      </c>
      <c r="D1156" s="3" t="s">
        <v>59</v>
      </c>
      <c r="E1156" s="3" t="s">
        <v>187</v>
      </c>
      <c r="F1156" s="3" t="s">
        <v>4636</v>
      </c>
      <c r="G1156" s="3" t="s">
        <v>4637</v>
      </c>
      <c r="H1156" s="3" t="s">
        <v>4638</v>
      </c>
      <c r="I1156" s="3" t="s">
        <v>20</v>
      </c>
      <c r="J1156" s="3">
        <v>6.29</v>
      </c>
      <c r="K1156" s="3" t="s">
        <v>21</v>
      </c>
      <c r="L1156" s="3" t="s">
        <v>4690</v>
      </c>
      <c r="M1156" s="3" t="s">
        <v>4640</v>
      </c>
      <c r="N1156" s="6" t="str">
        <f>HYPERLINK("C:\Users\alexa\YandexDisk\Книги\ИИ\NLP\Знакомство с PyTorch.pdf","Знакомство с PyTorch.pdf")</f>
        <v>Знакомство с PyTorch.pdf</v>
      </c>
      <c r="O1156" s="3" t="s">
        <v>4691</v>
      </c>
    </row>
    <row r="1157" spans="1:15" ht="193.2" x14ac:dyDescent="0.3">
      <c r="A1157" s="4">
        <v>1156</v>
      </c>
      <c r="B1157" s="5" t="s">
        <v>4692</v>
      </c>
      <c r="C1157" s="5" t="s">
        <v>4693</v>
      </c>
      <c r="D1157" s="5" t="s">
        <v>77</v>
      </c>
      <c r="E1157" s="5" t="s">
        <v>1500</v>
      </c>
      <c r="F1157" s="5" t="s">
        <v>4636</v>
      </c>
      <c r="G1157" s="5" t="s">
        <v>4637</v>
      </c>
      <c r="H1157" s="5" t="s">
        <v>4638</v>
      </c>
      <c r="I1157" s="5" t="s">
        <v>20</v>
      </c>
      <c r="J1157" s="5">
        <v>4.01</v>
      </c>
      <c r="K1157" s="5" t="s">
        <v>21</v>
      </c>
      <c r="L1157" s="5" t="s">
        <v>4694</v>
      </c>
      <c r="M1157" s="5" t="s">
        <v>4640</v>
      </c>
      <c r="N1157" s="7" t="str">
        <f>HYPERLINK("C:\Users\alexa\YandexDisk\Книги\ИИ\NLP\Нейронное_программирование_диалоговых_систем.pdf","Нейронное_программирование_диалоговых_систем.pdf")</f>
        <v>Нейронное_программирование_диалоговых_систем.pdf</v>
      </c>
      <c r="O1157" s="5" t="s">
        <v>4695</v>
      </c>
    </row>
    <row r="1158" spans="1:15" ht="165.6" x14ac:dyDescent="0.3">
      <c r="A1158" s="2">
        <v>1157</v>
      </c>
      <c r="B1158" s="3" t="s">
        <v>4696</v>
      </c>
      <c r="C1158" s="3" t="s">
        <v>1205</v>
      </c>
      <c r="D1158" s="3" t="s">
        <v>17</v>
      </c>
      <c r="E1158" s="3" t="s">
        <v>18</v>
      </c>
      <c r="F1158" s="3" t="s">
        <v>4636</v>
      </c>
      <c r="G1158" s="3" t="s">
        <v>4637</v>
      </c>
      <c r="H1158" s="3" t="s">
        <v>4638</v>
      </c>
      <c r="I1158" s="3" t="s">
        <v>20</v>
      </c>
      <c r="J1158" s="3">
        <v>6.55</v>
      </c>
      <c r="K1158" s="3" t="s">
        <v>21</v>
      </c>
      <c r="L1158" s="3" t="s">
        <v>4697</v>
      </c>
      <c r="M1158" s="3" t="s">
        <v>4640</v>
      </c>
      <c r="N1158" s="6" t="str">
        <f>HYPERLINK("C:\Users\alexa\YandexDisk\Книги\ИИ\NLP\Обработка естественного языка  Python и Spicy 2021.pdf","Обработка естественного языка  Python и Spicy 2021.pdf")</f>
        <v>Обработка естественного языка  Python и Spicy 2021.pdf</v>
      </c>
      <c r="O1158" s="3" t="s">
        <v>4698</v>
      </c>
    </row>
    <row r="1159" spans="1:15" ht="220.8" x14ac:dyDescent="0.3">
      <c r="A1159" s="4">
        <v>1158</v>
      </c>
      <c r="B1159" s="5" t="s">
        <v>4673</v>
      </c>
      <c r="C1159" s="5" t="s">
        <v>4674</v>
      </c>
      <c r="D1159" s="5" t="s">
        <v>59</v>
      </c>
      <c r="E1159" s="5" t="s">
        <v>18</v>
      </c>
      <c r="F1159" s="5" t="s">
        <v>4636</v>
      </c>
      <c r="G1159" s="5" t="s">
        <v>4637</v>
      </c>
      <c r="H1159" s="5" t="s">
        <v>4638</v>
      </c>
      <c r="I1159" s="5" t="s">
        <v>20</v>
      </c>
      <c r="J1159" s="5">
        <v>27.17</v>
      </c>
      <c r="K1159" s="5" t="s">
        <v>21</v>
      </c>
      <c r="L1159" s="5" t="s">
        <v>4699</v>
      </c>
      <c r="M1159" s="5" t="s">
        <v>4640</v>
      </c>
      <c r="N1159" s="7" t="str">
        <f>HYPERLINK("C:\Users\alexa\YandexDisk\Книги\ИИ\NLP\Обработка_естественного_языка_в_действии_2020_Хобсон.pdf","Обработка_естественного_языка_в_действии_2020_Хобсон.pdf")</f>
        <v>Обработка_естественного_языка_в_действии_2020_Хобсон.pdf</v>
      </c>
      <c r="O1159" s="5" t="s">
        <v>4700</v>
      </c>
    </row>
    <row r="1160" spans="1:15" ht="207" x14ac:dyDescent="0.3">
      <c r="A1160" s="2">
        <v>1159</v>
      </c>
      <c r="B1160" s="3" t="s">
        <v>4701</v>
      </c>
      <c r="C1160" s="3" t="s">
        <v>4702</v>
      </c>
      <c r="D1160" s="3" t="s">
        <v>59</v>
      </c>
      <c r="E1160" s="3" t="s">
        <v>102</v>
      </c>
      <c r="F1160" s="3" t="s">
        <v>4636</v>
      </c>
      <c r="G1160" s="3" t="s">
        <v>4637</v>
      </c>
      <c r="H1160" s="3" t="s">
        <v>4638</v>
      </c>
      <c r="I1160" s="3" t="s">
        <v>20</v>
      </c>
      <c r="J1160" s="3">
        <v>16.739999999999998</v>
      </c>
      <c r="K1160" s="3" t="s">
        <v>21</v>
      </c>
      <c r="L1160" s="3" t="s">
        <v>4703</v>
      </c>
      <c r="M1160" s="3" t="s">
        <v>4640</v>
      </c>
      <c r="N1160" s="6" t="str">
        <f>HYPERLINK("C:\Users\alexa\YandexDisk\Книги\ИИ\NLP\Обработка_естественного_языка_с_TensorFlow 2020.pdf","Обработка_естественного_языка_с_TensorFlow 2020.pdf")</f>
        <v>Обработка_естественного_языка_с_TensorFlow 2020.pdf</v>
      </c>
      <c r="O1160" s="3" t="s">
        <v>4704</v>
      </c>
    </row>
    <row r="1161" spans="1:15" ht="165.6" x14ac:dyDescent="0.3">
      <c r="A1161" s="4">
        <v>1160</v>
      </c>
      <c r="B1161" s="5" t="s">
        <v>4705</v>
      </c>
      <c r="C1161" s="5" t="s">
        <v>4706</v>
      </c>
      <c r="D1161" s="5" t="s">
        <v>71</v>
      </c>
      <c r="E1161" s="5" t="s">
        <v>102</v>
      </c>
      <c r="F1161" s="5" t="s">
        <v>4636</v>
      </c>
      <c r="G1161" s="5" t="s">
        <v>4637</v>
      </c>
      <c r="H1161" s="5" t="s">
        <v>4638</v>
      </c>
      <c r="I1161" s="5" t="s">
        <v>20</v>
      </c>
      <c r="J1161" s="5">
        <v>8.15</v>
      </c>
      <c r="K1161" s="5" t="s">
        <v>21</v>
      </c>
      <c r="L1161" s="5" t="s">
        <v>4707</v>
      </c>
      <c r="M1161" s="5" t="s">
        <v>4640</v>
      </c>
      <c r="N1161" s="7" t="str">
        <f>HYPERLINK("C:\Users\alexa\YandexDisk\Книги\ИИ\NLP\Осваиваем архитектуру Transformer.pdf","Осваиваем архитектуру Transformer.pdf")</f>
        <v>Осваиваем архитектуру Transformer.pdf</v>
      </c>
      <c r="O1161" s="5" t="s">
        <v>4708</v>
      </c>
    </row>
    <row r="1162" spans="1:15" ht="193.2" x14ac:dyDescent="0.3">
      <c r="A1162" s="2">
        <v>1161</v>
      </c>
      <c r="B1162" s="3" t="s">
        <v>4709</v>
      </c>
      <c r="C1162" s="3" t="s">
        <v>4710</v>
      </c>
      <c r="D1162" s="3" t="s">
        <v>77</v>
      </c>
      <c r="E1162" s="3" t="s">
        <v>18</v>
      </c>
      <c r="F1162" s="3" t="s">
        <v>4636</v>
      </c>
      <c r="G1162" s="3" t="s">
        <v>4637</v>
      </c>
      <c r="H1162" s="3" t="s">
        <v>4638</v>
      </c>
      <c r="I1162" s="3" t="s">
        <v>20</v>
      </c>
      <c r="J1162" s="3">
        <v>10.35</v>
      </c>
      <c r="K1162" s="3" t="s">
        <v>21</v>
      </c>
      <c r="L1162" s="3" t="s">
        <v>4711</v>
      </c>
      <c r="M1162" s="3" t="s">
        <v>4640</v>
      </c>
      <c r="N1162" s="6" t="str">
        <f>HYPERLINK("C:\Users\alexa\YandexDisk\Книги\ИИ\NLP\Прикладной анализ текстовых данных на Python.pdf","Прикладной анализ текстовых данных на Python.pdf")</f>
        <v>Прикладной анализ текстовых данных на Python.pdf</v>
      </c>
      <c r="O1162" s="3" t="s">
        <v>4712</v>
      </c>
    </row>
    <row r="1163" spans="1:15" ht="179.4" x14ac:dyDescent="0.3">
      <c r="A1163" s="4">
        <v>1162</v>
      </c>
      <c r="B1163" s="5" t="s">
        <v>4713</v>
      </c>
      <c r="C1163" s="5" t="s">
        <v>3412</v>
      </c>
      <c r="D1163" s="5"/>
      <c r="E1163" s="5"/>
      <c r="F1163" s="5" t="s">
        <v>4636</v>
      </c>
      <c r="G1163" s="5" t="s">
        <v>4637</v>
      </c>
      <c r="H1163" s="5" t="s">
        <v>4638</v>
      </c>
      <c r="I1163" s="5" t="s">
        <v>20</v>
      </c>
      <c r="J1163" s="5">
        <v>16.27</v>
      </c>
      <c r="K1163" s="5" t="s">
        <v>21</v>
      </c>
      <c r="L1163" s="5" t="s">
        <v>4714</v>
      </c>
      <c r="M1163" s="5" t="s">
        <v>4640</v>
      </c>
      <c r="N1163" s="7" t="str">
        <f>HYPERLINK("C:\Users\alexa\YandexDisk\Книги\ИИ\NLP\Создание чат-ботов.pdf","Создание чат-ботов.pdf")</f>
        <v>Создание чат-ботов.pdf</v>
      </c>
      <c r="O1163" s="5" t="s">
        <v>4715</v>
      </c>
    </row>
    <row r="1164" spans="1:15" ht="179.4" x14ac:dyDescent="0.3">
      <c r="A1164" s="2">
        <v>1163</v>
      </c>
      <c r="B1164" s="3" t="s">
        <v>4716</v>
      </c>
      <c r="C1164" s="3" t="s">
        <v>4717</v>
      </c>
      <c r="D1164" s="3" t="s">
        <v>335</v>
      </c>
      <c r="E1164" s="3" t="s">
        <v>102</v>
      </c>
      <c r="F1164" s="3" t="s">
        <v>4718</v>
      </c>
      <c r="G1164" s="3" t="s">
        <v>4637</v>
      </c>
      <c r="H1164" s="3" t="s">
        <v>4719</v>
      </c>
      <c r="I1164" s="3" t="s">
        <v>20</v>
      </c>
      <c r="J1164" s="3">
        <v>9.16</v>
      </c>
      <c r="K1164" s="3" t="s">
        <v>21</v>
      </c>
      <c r="L1164" s="3" t="s">
        <v>4720</v>
      </c>
      <c r="M1164" s="3" t="s">
        <v>4721</v>
      </c>
      <c r="N1164" s="6" t="str">
        <f>HYPERLINK("C:\Users\alexa\YandexDisk\Книги\ИИ\RAG и работа с данными\RAG-системы от теории к практике.pdf","RAG-системы от теории к практике.pdf")</f>
        <v>RAG-системы от теории к практике.pdf</v>
      </c>
      <c r="O1164" s="3" t="s">
        <v>4722</v>
      </c>
    </row>
    <row r="1165" spans="1:15" ht="193.2" x14ac:dyDescent="0.3">
      <c r="A1165" s="4">
        <v>1164</v>
      </c>
      <c r="B1165" s="5" t="s">
        <v>4723</v>
      </c>
      <c r="C1165" s="5" t="s">
        <v>4724</v>
      </c>
      <c r="D1165" s="5"/>
      <c r="E1165" s="5"/>
      <c r="F1165" s="5" t="s">
        <v>4718</v>
      </c>
      <c r="G1165" s="5" t="s">
        <v>4637</v>
      </c>
      <c r="H1165" s="5" t="s">
        <v>4719</v>
      </c>
      <c r="I1165" s="5" t="s">
        <v>280</v>
      </c>
      <c r="J1165" s="5">
        <v>7.46</v>
      </c>
      <c r="K1165" s="5" t="s">
        <v>21</v>
      </c>
      <c r="L1165" s="5" t="s">
        <v>4725</v>
      </c>
      <c r="M1165" s="5" t="s">
        <v>4721</v>
      </c>
      <c r="N1165" s="7" t="str">
        <f>HYPERLINK("C:\Users\alexa\YandexDisk\Книги\ИИ\RAG и работа с данными\RAG_и_генеративный_ИИ.epub","RAG_и_генеративный_ИИ.epub")</f>
        <v>RAG_и_генеративный_ИИ.epub</v>
      </c>
      <c r="O1165" s="5" t="s">
        <v>4726</v>
      </c>
    </row>
    <row r="1166" spans="1:15" ht="179.4" x14ac:dyDescent="0.3">
      <c r="A1166" s="2">
        <v>1165</v>
      </c>
      <c r="B1166" s="3" t="s">
        <v>4727</v>
      </c>
      <c r="C1166" s="3" t="s">
        <v>4728</v>
      </c>
      <c r="D1166" s="3" t="s">
        <v>335</v>
      </c>
      <c r="E1166" s="3" t="s">
        <v>336</v>
      </c>
      <c r="F1166" s="3" t="s">
        <v>4718</v>
      </c>
      <c r="G1166" s="3" t="s">
        <v>4637</v>
      </c>
      <c r="H1166" s="3" t="s">
        <v>4719</v>
      </c>
      <c r="I1166" s="3" t="s">
        <v>20</v>
      </c>
      <c r="J1166" s="3">
        <v>12.24</v>
      </c>
      <c r="K1166" s="3" t="s">
        <v>21</v>
      </c>
      <c r="L1166" s="3" t="s">
        <v>4729</v>
      </c>
      <c r="M1166" s="3" t="s">
        <v>4721</v>
      </c>
      <c r="N1166" s="6" t="str">
        <f>HYPERLINK("C:\Users\alexa\YandexDisk\Книги\ИИ\RAG и работа с данными\RAG_и_генеративный_ИИ.pdf","RAG_и_генеративный_ИИ.pdf")</f>
        <v>RAG_и_генеративный_ИИ.pdf</v>
      </c>
      <c r="O1166" s="3" t="s">
        <v>4730</v>
      </c>
    </row>
    <row r="1167" spans="1:15" ht="151.80000000000001" x14ac:dyDescent="0.3">
      <c r="A1167" s="4">
        <v>1166</v>
      </c>
      <c r="B1167" s="5" t="s">
        <v>4731</v>
      </c>
      <c r="C1167" s="5" t="s">
        <v>4732</v>
      </c>
      <c r="D1167" s="5" t="s">
        <v>17</v>
      </c>
      <c r="E1167" s="5"/>
      <c r="F1167" s="5" t="s">
        <v>4733</v>
      </c>
      <c r="G1167" s="5" t="s">
        <v>4637</v>
      </c>
      <c r="H1167" s="5" t="s">
        <v>4734</v>
      </c>
      <c r="I1167" s="5" t="s">
        <v>20</v>
      </c>
      <c r="J1167" s="5">
        <v>114.96</v>
      </c>
      <c r="K1167" s="5" t="s">
        <v>21</v>
      </c>
      <c r="L1167" s="5" t="s">
        <v>4735</v>
      </c>
      <c r="M1167" s="5" t="s">
        <v>4736</v>
      </c>
      <c r="N1167" s="7" t="str">
        <f>HYPERLINK("C:\Users\alexa\YandexDisk\Книги\ИИ\Reinforcement Learning\!!Мультиагентное_обучение_с_подкреплением_2021_Aлфимцeв.pdf","!!Мультиагентное_обучение_с_подкреплением_2021_Aлфимцeв.pdf")</f>
        <v>!!Мультиагентное_обучение_с_подкреплением_2021_Aлфимцeв.pdf</v>
      </c>
      <c r="O1167" s="5" t="s">
        <v>4737</v>
      </c>
    </row>
    <row r="1168" spans="1:15" ht="193.2" x14ac:dyDescent="0.3">
      <c r="A1168" s="2">
        <v>1167</v>
      </c>
      <c r="B1168" s="3" t="s">
        <v>4738</v>
      </c>
      <c r="C1168" s="3" t="s">
        <v>4739</v>
      </c>
      <c r="D1168" s="3"/>
      <c r="E1168" s="3" t="s">
        <v>4196</v>
      </c>
      <c r="F1168" s="3" t="s">
        <v>4733</v>
      </c>
      <c r="G1168" s="3" t="s">
        <v>4637</v>
      </c>
      <c r="H1168" s="3" t="s">
        <v>4734</v>
      </c>
      <c r="I1168" s="3" t="s">
        <v>20</v>
      </c>
      <c r="J1168" s="3">
        <v>11.13</v>
      </c>
      <c r="K1168" s="3" t="s">
        <v>21</v>
      </c>
      <c r="L1168" s="3" t="s">
        <v>4740</v>
      </c>
      <c r="M1168" s="3" t="s">
        <v>4736</v>
      </c>
      <c r="N1168" s="6" t="str">
        <f>HYPERLINK("C:\Users\alexa\YandexDisk\Книги\ИИ\Reinforcement Learning\Model-Based_Reinforcement_Learning.pdf","Model-Based_Reinforcement_Learning.pdf")</f>
        <v>Model-Based_Reinforcement_Learning.pdf</v>
      </c>
      <c r="O1168" s="3" t="s">
        <v>4741</v>
      </c>
    </row>
    <row r="1169" spans="1:15" ht="193.2" x14ac:dyDescent="0.3">
      <c r="A1169" s="4">
        <v>1168</v>
      </c>
      <c r="B1169" s="5" t="s">
        <v>4742</v>
      </c>
      <c r="C1169" s="5" t="s">
        <v>4743</v>
      </c>
      <c r="D1169" s="5" t="s">
        <v>59</v>
      </c>
      <c r="E1169" s="5" t="s">
        <v>102</v>
      </c>
      <c r="F1169" s="5" t="s">
        <v>4733</v>
      </c>
      <c r="G1169" s="5" t="s">
        <v>4637</v>
      </c>
      <c r="H1169" s="5" t="s">
        <v>4734</v>
      </c>
      <c r="I1169" s="5" t="s">
        <v>20</v>
      </c>
      <c r="J1169" s="5">
        <v>10.37</v>
      </c>
      <c r="K1169" s="5" t="s">
        <v>21</v>
      </c>
      <c r="L1169" s="5" t="s">
        <v>4744</v>
      </c>
      <c r="M1169" s="5" t="s">
        <v>4736</v>
      </c>
      <c r="N1169" s="7" t="str">
        <f>HYPERLINK("C:\Users\alexa\YandexDisk\Книги\ИИ\Reinforcement Learning\Алгоритмы_обучения_с_подкреплением_на_Python_Описание_и_разработка.pdf","Алгоритмы_обучения_с_подкреплением_на_Python_Описание_и_разработка.pdf")</f>
        <v>Алгоритмы_обучения_с_подкреплением_на_Python_Описание_и_разработка.pdf</v>
      </c>
      <c r="O1169" s="5" t="s">
        <v>4745</v>
      </c>
    </row>
    <row r="1170" spans="1:15" ht="151.80000000000001" x14ac:dyDescent="0.3">
      <c r="A1170" s="2">
        <v>1169</v>
      </c>
      <c r="B1170" s="3" t="s">
        <v>4746</v>
      </c>
      <c r="C1170" s="3" t="s">
        <v>4747</v>
      </c>
      <c r="D1170" s="3" t="s">
        <v>71</v>
      </c>
      <c r="E1170" s="3" t="s">
        <v>18</v>
      </c>
      <c r="F1170" s="3" t="s">
        <v>4733</v>
      </c>
      <c r="G1170" s="3" t="s">
        <v>4637</v>
      </c>
      <c r="H1170" s="3" t="s">
        <v>4734</v>
      </c>
      <c r="I1170" s="3" t="s">
        <v>20</v>
      </c>
      <c r="J1170" s="3">
        <v>10.42</v>
      </c>
      <c r="K1170" s="3" t="s">
        <v>21</v>
      </c>
      <c r="L1170" s="3" t="s">
        <v>4748</v>
      </c>
      <c r="M1170" s="3" t="s">
        <v>4736</v>
      </c>
      <c r="N1170" s="6" t="str">
        <f>HYPERLINK("C:\Users\alexa\YandexDisk\Книги\ИИ\Reinforcement Learning\Глубокое_обучение_с_подкреплением 2022.pdf","Глубокое_обучение_с_подкреплением 2022.pdf")</f>
        <v>Глубокое_обучение_с_подкреплением 2022.pdf</v>
      </c>
      <c r="O1170" s="3" t="s">
        <v>4749</v>
      </c>
    </row>
    <row r="1171" spans="1:15" ht="179.4" x14ac:dyDescent="0.3">
      <c r="A1171" s="4">
        <v>1170</v>
      </c>
      <c r="B1171" s="5" t="s">
        <v>4750</v>
      </c>
      <c r="C1171" s="5" t="s">
        <v>4751</v>
      </c>
      <c r="D1171" s="5" t="s">
        <v>77</v>
      </c>
      <c r="E1171" s="5" t="s">
        <v>18</v>
      </c>
      <c r="F1171" s="5" t="s">
        <v>4733</v>
      </c>
      <c r="G1171" s="5" t="s">
        <v>4637</v>
      </c>
      <c r="H1171" s="5" t="s">
        <v>4734</v>
      </c>
      <c r="I1171" s="5" t="s">
        <v>20</v>
      </c>
      <c r="J1171" s="5">
        <v>10.3</v>
      </c>
      <c r="K1171" s="5" t="s">
        <v>21</v>
      </c>
      <c r="L1171" s="5" t="s">
        <v>4752</v>
      </c>
      <c r="M1171" s="5" t="s">
        <v>4736</v>
      </c>
      <c r="N1171" s="7" t="str">
        <f>HYPERLINK("C:\Users\alexa\YandexDisk\Книги\ИИ\Reinforcement Learning\Глубокое_обучение_с_подкреплением_на_Python.pdf","Глубокое_обучение_с_подкреплением_на_Python.pdf")</f>
        <v>Глубокое_обучение_с_подкреплением_на_Python.pdf</v>
      </c>
      <c r="O1171" s="5" t="s">
        <v>4753</v>
      </c>
    </row>
    <row r="1172" spans="1:15" ht="138" x14ac:dyDescent="0.3">
      <c r="A1172" s="2">
        <v>1171</v>
      </c>
      <c r="B1172" s="3" t="s">
        <v>4746</v>
      </c>
      <c r="C1172" s="3" t="s">
        <v>4747</v>
      </c>
      <c r="D1172" s="3" t="s">
        <v>71</v>
      </c>
      <c r="E1172" s="3" t="s">
        <v>18</v>
      </c>
      <c r="F1172" s="3" t="s">
        <v>4733</v>
      </c>
      <c r="G1172" s="3" t="s">
        <v>4637</v>
      </c>
      <c r="H1172" s="3" t="s">
        <v>4734</v>
      </c>
      <c r="I1172" s="3" t="s">
        <v>20</v>
      </c>
      <c r="J1172" s="3">
        <v>10.02</v>
      </c>
      <c r="K1172" s="3" t="s">
        <v>21</v>
      </c>
      <c r="L1172" s="3" t="s">
        <v>4754</v>
      </c>
      <c r="M1172" s="3" t="s">
        <v>4736</v>
      </c>
      <c r="N1172" s="6" t="str">
        <f>HYPERLINK("C:\Users\alexa\YandexDisk\Книги\ИИ\Reinforcement Learning\Глубокое_обучение_с_подкреплением_теория_и_практика_на_языке_Python.pdf","Глубокое_обучение_с_подкреплением_теория_и_практика_на_языке_Python.pdf")</f>
        <v>Глубокое_обучение_с_подкреплением_теория_и_практика_на_языке_Python.pdf</v>
      </c>
      <c r="O1172" s="3" t="s">
        <v>4755</v>
      </c>
    </row>
    <row r="1173" spans="1:15" ht="234.6" x14ac:dyDescent="0.3">
      <c r="A1173" s="4">
        <v>1172</v>
      </c>
      <c r="B1173" s="5" t="s">
        <v>4756</v>
      </c>
      <c r="C1173" s="5" t="s">
        <v>4757</v>
      </c>
      <c r="D1173" s="5" t="s">
        <v>27</v>
      </c>
      <c r="E1173" s="5" t="s">
        <v>18</v>
      </c>
      <c r="F1173" s="5" t="s">
        <v>4733</v>
      </c>
      <c r="G1173" s="5" t="s">
        <v>4637</v>
      </c>
      <c r="H1173" s="5" t="s">
        <v>4734</v>
      </c>
      <c r="I1173" s="5" t="s">
        <v>20</v>
      </c>
      <c r="J1173" s="5">
        <v>22.99</v>
      </c>
      <c r="K1173" s="5" t="s">
        <v>21</v>
      </c>
      <c r="L1173" s="5" t="s">
        <v>4758</v>
      </c>
      <c r="M1173" s="5" t="s">
        <v>4736</v>
      </c>
      <c r="N1173" s="7" t="str">
        <f>HYPERLINK("C:\Users\alexa\YandexDisk\Книги\ИИ\Reinforcement Learning\Грокаем глубокое обучение с подкреплением.pdf","Грокаем глубокое обучение с подкреплением.pdf")</f>
        <v>Грокаем глубокое обучение с подкреплением.pdf</v>
      </c>
      <c r="O1173" s="5" t="s">
        <v>4759</v>
      </c>
    </row>
    <row r="1174" spans="1:15" ht="193.2" x14ac:dyDescent="0.3">
      <c r="A1174" s="2">
        <v>1173</v>
      </c>
      <c r="B1174" s="3" t="s">
        <v>4731</v>
      </c>
      <c r="C1174" s="3"/>
      <c r="D1174" s="3"/>
      <c r="E1174" s="3"/>
      <c r="F1174" s="3" t="s">
        <v>4733</v>
      </c>
      <c r="G1174" s="3" t="s">
        <v>4637</v>
      </c>
      <c r="H1174" s="3" t="s">
        <v>4734</v>
      </c>
      <c r="I1174" s="3" t="s">
        <v>20</v>
      </c>
      <c r="J1174" s="3">
        <v>62.91</v>
      </c>
      <c r="K1174" s="3" t="s">
        <v>21</v>
      </c>
      <c r="L1174" s="3" t="s">
        <v>4760</v>
      </c>
      <c r="M1174" s="3" t="s">
        <v>4736</v>
      </c>
      <c r="N1174" s="6" t="str">
        <f>HYPERLINK("C:\Users\alexa\YandexDisk\Книги\ИИ\Reinforcement Learning\Мультиагентное_обучение_с_подкреплением.pdf","Мультиагентное_обучение_с_подкреплением.pdf")</f>
        <v>Мультиагентное_обучение_с_подкреплением.pdf</v>
      </c>
      <c r="O1174" s="3" t="s">
        <v>4761</v>
      </c>
    </row>
    <row r="1175" spans="1:15" ht="193.2" x14ac:dyDescent="0.3">
      <c r="A1175" s="4">
        <v>1174</v>
      </c>
      <c r="B1175" s="5" t="s">
        <v>4762</v>
      </c>
      <c r="C1175" s="5" t="s">
        <v>4763</v>
      </c>
      <c r="D1175" s="5" t="s">
        <v>59</v>
      </c>
      <c r="E1175" s="5" t="s">
        <v>102</v>
      </c>
      <c r="F1175" s="5" t="s">
        <v>4733</v>
      </c>
      <c r="G1175" s="5" t="s">
        <v>4637</v>
      </c>
      <c r="H1175" s="5" t="s">
        <v>4734</v>
      </c>
      <c r="I1175" s="5" t="s">
        <v>20</v>
      </c>
      <c r="J1175" s="5">
        <v>4.2699999999999996</v>
      </c>
      <c r="K1175" s="5" t="s">
        <v>21</v>
      </c>
      <c r="L1175" s="5" t="s">
        <v>4764</v>
      </c>
      <c r="M1175" s="5" t="s">
        <v>4736</v>
      </c>
      <c r="N1175" s="7" t="str">
        <f>HYPERLINK("C:\Users\alexa\YandexDisk\Книги\ИИ\Reinforcement Learning\Обучение с подкреплением на PyTorch.pdf","Обучение с подкреплением на PyTorch.pdf")</f>
        <v>Обучение с подкреплением на PyTorch.pdf</v>
      </c>
      <c r="O1175" s="5" t="s">
        <v>4765</v>
      </c>
    </row>
    <row r="1176" spans="1:15" ht="193.2" x14ac:dyDescent="0.3">
      <c r="A1176" s="2">
        <v>1175</v>
      </c>
      <c r="B1176" s="3" t="s">
        <v>4766</v>
      </c>
      <c r="C1176" s="3" t="s">
        <v>4767</v>
      </c>
      <c r="D1176" s="3" t="s">
        <v>27</v>
      </c>
      <c r="E1176" s="3" t="s">
        <v>402</v>
      </c>
      <c r="F1176" s="3" t="s">
        <v>4733</v>
      </c>
      <c r="G1176" s="3" t="s">
        <v>4637</v>
      </c>
      <c r="H1176" s="3" t="s">
        <v>4734</v>
      </c>
      <c r="I1176" s="3" t="s">
        <v>20</v>
      </c>
      <c r="J1176" s="3">
        <v>36.229999999999997</v>
      </c>
      <c r="K1176" s="3" t="s">
        <v>21</v>
      </c>
      <c r="L1176" s="3" t="s">
        <v>4768</v>
      </c>
      <c r="M1176" s="3" t="s">
        <v>4736</v>
      </c>
      <c r="N1176" s="6" t="str">
        <f>HYPERLINK("C:\Users\alexa\YandexDisk\Книги\ИИ\Reinforcement Learning\Обучение с подкреплением.pdf","Обучение с подкреплением.pdf")</f>
        <v>Обучение с подкреплением.pdf</v>
      </c>
      <c r="O1176" s="3" t="s">
        <v>4769</v>
      </c>
    </row>
    <row r="1177" spans="1:15" ht="248.4" x14ac:dyDescent="0.3">
      <c r="A1177" s="4">
        <v>1176</v>
      </c>
      <c r="B1177" s="5" t="s">
        <v>4770</v>
      </c>
      <c r="C1177" s="5" t="s">
        <v>4771</v>
      </c>
      <c r="D1177" s="5" t="s">
        <v>59</v>
      </c>
      <c r="E1177" s="5" t="s">
        <v>102</v>
      </c>
      <c r="F1177" s="5" t="s">
        <v>4733</v>
      </c>
      <c r="G1177" s="5" t="s">
        <v>4637</v>
      </c>
      <c r="H1177" s="5" t="s">
        <v>4734</v>
      </c>
      <c r="I1177" s="5" t="s">
        <v>20</v>
      </c>
      <c r="J1177" s="5">
        <v>15.68</v>
      </c>
      <c r="K1177" s="5" t="s">
        <v>21</v>
      </c>
      <c r="L1177" s="5" t="s">
        <v>4772</v>
      </c>
      <c r="M1177" s="5" t="s">
        <v>4736</v>
      </c>
      <c r="N1177" s="7" t="str">
        <f>HYPERLINK("C:\Users\alexa\YandexDisk\Книги\ИИ\Reinforcement Learning\Обучение_с_подкреплением_Введение_2020_Ричард_С_Саттон,_Эндрю_Дж.pdf","Обучение_с_подкреплением_Введение_2020_Ричард_С_Саттон,_Эндрю_Дж.pdf")</f>
        <v>Обучение_с_подкреплением_Введение_2020_Ричард_С_Саттон,_Эндрю_Дж.pdf</v>
      </c>
      <c r="O1177" s="5" t="s">
        <v>4773</v>
      </c>
    </row>
    <row r="1178" spans="1:15" ht="165.6" x14ac:dyDescent="0.3">
      <c r="A1178" s="2">
        <v>1177</v>
      </c>
      <c r="B1178" s="3" t="s">
        <v>4774</v>
      </c>
      <c r="C1178" s="3" t="s">
        <v>4775</v>
      </c>
      <c r="D1178" s="3"/>
      <c r="E1178" s="3" t="s">
        <v>557</v>
      </c>
      <c r="F1178" s="3" t="s">
        <v>4776</v>
      </c>
      <c r="G1178" s="3" t="s">
        <v>4637</v>
      </c>
      <c r="H1178" s="3" t="s">
        <v>4777</v>
      </c>
      <c r="I1178" s="3" t="s">
        <v>20</v>
      </c>
      <c r="J1178" s="3">
        <v>30.02</v>
      </c>
      <c r="K1178" s="3" t="s">
        <v>21</v>
      </c>
      <c r="L1178" s="3" t="s">
        <v>4778</v>
      </c>
      <c r="M1178" s="3" t="s">
        <v>4779</v>
      </c>
      <c r="N1178" s="6" t="str">
        <f>HYPERLINK("C:\Users\alexa\YandexDisk\Книги\ИИ\Агенты\AI_Agents_in_Action_True.pdf","AI_Agents_in_Action_True.pdf")</f>
        <v>AI_Agents_in_Action_True.pdf</v>
      </c>
      <c r="O1178" s="3" t="s">
        <v>4780</v>
      </c>
    </row>
    <row r="1179" spans="1:15" ht="207" x14ac:dyDescent="0.3">
      <c r="A1179" s="4">
        <v>1178</v>
      </c>
      <c r="B1179" s="5" t="s">
        <v>4781</v>
      </c>
      <c r="C1179" s="5" t="s">
        <v>4782</v>
      </c>
      <c r="D1179" s="5" t="s">
        <v>335</v>
      </c>
      <c r="E1179" s="5" t="s">
        <v>102</v>
      </c>
      <c r="F1179" s="5" t="s">
        <v>4776</v>
      </c>
      <c r="G1179" s="5" t="s">
        <v>4637</v>
      </c>
      <c r="H1179" s="5" t="s">
        <v>4777</v>
      </c>
      <c r="I1179" s="5" t="s">
        <v>20</v>
      </c>
      <c r="J1179" s="5">
        <v>30.77</v>
      </c>
      <c r="K1179" s="5" t="s">
        <v>21</v>
      </c>
      <c r="L1179" s="5" t="s">
        <v>4783</v>
      </c>
      <c r="M1179" s="5" t="s">
        <v>4779</v>
      </c>
      <c r="N1179" s="7" t="str">
        <f>HYPERLINK("C:\Users\alexa\YandexDisk\Книги\ИИ\Агенты\Агенты искусственного интеллекта.pdf","Агенты искусственного интеллекта.pdf")</f>
        <v>Агенты искусственного интеллекта.pdf</v>
      </c>
      <c r="O1179" s="5" t="s">
        <v>4784</v>
      </c>
    </row>
    <row r="1180" spans="1:15" ht="193.2" x14ac:dyDescent="0.3">
      <c r="A1180" s="2">
        <v>1179</v>
      </c>
      <c r="B1180" s="3" t="s">
        <v>4785</v>
      </c>
      <c r="C1180" s="3" t="s">
        <v>4717</v>
      </c>
      <c r="D1180" s="3" t="s">
        <v>600</v>
      </c>
      <c r="E1180" s="3" t="s">
        <v>102</v>
      </c>
      <c r="F1180" s="3" t="s">
        <v>4776</v>
      </c>
      <c r="G1180" s="3" t="s">
        <v>4637</v>
      </c>
      <c r="H1180" s="3" t="s">
        <v>4777</v>
      </c>
      <c r="I1180" s="3" t="s">
        <v>20</v>
      </c>
      <c r="J1180" s="3">
        <v>19.690000000000001</v>
      </c>
      <c r="K1180" s="3" t="s">
        <v>21</v>
      </c>
      <c r="L1180" s="3" t="s">
        <v>4786</v>
      </c>
      <c r="M1180" s="3" t="s">
        <v>4779</v>
      </c>
      <c r="N1180" s="6" t="str">
        <f>HYPERLINK("C:\Users\alexa\YandexDisk\Книги\ИИ\Агенты\Искусственный интеллект современный агентный подход.pdf","Искусственный интеллект современный агентный подход.pdf")</f>
        <v>Искусственный интеллект современный агентный подход.pdf</v>
      </c>
      <c r="O1180" s="3" t="s">
        <v>4787</v>
      </c>
    </row>
    <row r="1181" spans="1:15" ht="179.4" x14ac:dyDescent="0.3">
      <c r="A1181" s="4">
        <v>1180</v>
      </c>
      <c r="B1181" s="5" t="s">
        <v>4788</v>
      </c>
      <c r="C1181" s="5" t="s">
        <v>4789</v>
      </c>
      <c r="D1181" s="5"/>
      <c r="E1181" s="5" t="s">
        <v>102</v>
      </c>
      <c r="F1181" s="5" t="s">
        <v>4790</v>
      </c>
      <c r="G1181" s="5" t="s">
        <v>4637</v>
      </c>
      <c r="H1181" s="5" t="s">
        <v>4791</v>
      </c>
      <c r="I1181" s="5" t="s">
        <v>20</v>
      </c>
      <c r="J1181" s="5">
        <v>95.02</v>
      </c>
      <c r="K1181" s="5" t="s">
        <v>21</v>
      </c>
      <c r="L1181" s="5" t="s">
        <v>4792</v>
      </c>
      <c r="M1181" s="5" t="s">
        <v>4793</v>
      </c>
      <c r="N1181" s="7" t="str">
        <f>HYPERLINK("C:\Users\alexa\YandexDisk\Книги\ИИ\Глубокое обучение\!!! Глубокое_обучение_без_математики.pdf","!!! Глубокое_обучение_без_математики.pdf")</f>
        <v>!!! Глубокое_обучение_без_математики.pdf</v>
      </c>
      <c r="O1181" s="5" t="s">
        <v>4794</v>
      </c>
    </row>
    <row r="1182" spans="1:15" ht="151.80000000000001" x14ac:dyDescent="0.3">
      <c r="A1182" s="2">
        <v>1181</v>
      </c>
      <c r="B1182" s="3" t="s">
        <v>4795</v>
      </c>
      <c r="C1182" s="3" t="s">
        <v>4796</v>
      </c>
      <c r="D1182" s="3" t="s">
        <v>59</v>
      </c>
      <c r="E1182" s="3" t="s">
        <v>678</v>
      </c>
      <c r="F1182" s="3" t="s">
        <v>4790</v>
      </c>
      <c r="G1182" s="3" t="s">
        <v>4637</v>
      </c>
      <c r="H1182" s="3" t="s">
        <v>4791</v>
      </c>
      <c r="I1182" s="3" t="s">
        <v>20</v>
      </c>
      <c r="J1182" s="3">
        <v>93.35</v>
      </c>
      <c r="K1182" s="3" t="s">
        <v>21</v>
      </c>
      <c r="L1182" s="3" t="s">
        <v>4797</v>
      </c>
      <c r="M1182" s="3" t="s">
        <v>4793</v>
      </c>
      <c r="N1182" s="6" t="str">
        <f>HYPERLINK("C:\Users\alexa\YandexDisk\Книги\ИИ\Глубокое обучение\!!! Чару_Аггарвал_Нейронные_сети_и_глубокое_обучение_Учебный_курс.pdf","!!! Чару_Аггарвал_Нейронные_сети_и_глубокое_обучение_Учебный_курс.pdf")</f>
        <v>!!! Чару_Аггарвал_Нейронные_сети_и_глубокое_обучение_Учебный_курс.pdf</v>
      </c>
      <c r="O1182" s="3" t="s">
        <v>4798</v>
      </c>
    </row>
    <row r="1183" spans="1:15" ht="124.2" x14ac:dyDescent="0.3">
      <c r="A1183" s="4">
        <v>1182</v>
      </c>
      <c r="B1183" s="5" t="s">
        <v>4799</v>
      </c>
      <c r="C1183" s="5" t="s">
        <v>4800</v>
      </c>
      <c r="D1183" s="5"/>
      <c r="E1183" s="5" t="s">
        <v>4801</v>
      </c>
      <c r="F1183" s="5" t="s">
        <v>4790</v>
      </c>
      <c r="G1183" s="5" t="s">
        <v>4637</v>
      </c>
      <c r="H1183" s="5" t="s">
        <v>4791</v>
      </c>
      <c r="I1183" s="5" t="s">
        <v>20</v>
      </c>
      <c r="J1183" s="5">
        <v>12.03</v>
      </c>
      <c r="K1183" s="5" t="s">
        <v>21</v>
      </c>
      <c r="L1183" s="5" t="s">
        <v>4802</v>
      </c>
      <c r="M1183" s="5" t="s">
        <v>4793</v>
      </c>
      <c r="N1183" s="7" t="str">
        <f>HYPERLINK("C:\Users\alexa\YandexDisk\Книги\ИИ\Глубокое обучение\6S191_MIT_DeepLearning_L1.pdf","6S191_MIT_DeepLearning_L1.pdf")</f>
        <v>6S191_MIT_DeepLearning_L1.pdf</v>
      </c>
      <c r="O1183" s="5" t="s">
        <v>4803</v>
      </c>
    </row>
    <row r="1184" spans="1:15" ht="151.80000000000001" x14ac:dyDescent="0.3">
      <c r="A1184" s="2">
        <v>1183</v>
      </c>
      <c r="B1184" s="3" t="s">
        <v>4804</v>
      </c>
      <c r="C1184" s="3" t="s">
        <v>4805</v>
      </c>
      <c r="D1184" s="3" t="s">
        <v>71</v>
      </c>
      <c r="E1184" s="3" t="s">
        <v>4236</v>
      </c>
      <c r="F1184" s="3" t="s">
        <v>4790</v>
      </c>
      <c r="G1184" s="3" t="s">
        <v>4637</v>
      </c>
      <c r="H1184" s="3" t="s">
        <v>4791</v>
      </c>
      <c r="I1184" s="3" t="s">
        <v>20</v>
      </c>
      <c r="J1184" s="3">
        <v>13.56</v>
      </c>
      <c r="K1184" s="3" t="s">
        <v>21</v>
      </c>
      <c r="L1184" s="3" t="s">
        <v>4806</v>
      </c>
      <c r="M1184" s="3" t="s">
        <v>4793</v>
      </c>
      <c r="N1184" s="6" t="str">
        <f>HYPERLINK("C:\Users\alexa\YandexDisk\Книги\ИИ\Глубокое обучение\Challenges_and_Opportunities_fo_Mehta,_Vaishali;Sharma,_Dolly;.pdf","Challenges_and_Opportunities_fo_Mehta,_Vaishali;Sharma,_Dolly;.pdf")</f>
        <v>Challenges_and_Opportunities_fo_Mehta,_Vaishali;Sharma,_Dolly;.pdf</v>
      </c>
      <c r="O1184" s="3" t="s">
        <v>4807</v>
      </c>
    </row>
    <row r="1185" spans="1:15" ht="193.2" x14ac:dyDescent="0.3">
      <c r="A1185" s="4">
        <v>1184</v>
      </c>
      <c r="B1185" s="5" t="s">
        <v>4808</v>
      </c>
      <c r="C1185" s="5" t="s">
        <v>4809</v>
      </c>
      <c r="D1185" s="5" t="s">
        <v>71</v>
      </c>
      <c r="E1185" s="5" t="s">
        <v>536</v>
      </c>
      <c r="F1185" s="5" t="s">
        <v>4790</v>
      </c>
      <c r="G1185" s="5" t="s">
        <v>4637</v>
      </c>
      <c r="H1185" s="5" t="s">
        <v>4791</v>
      </c>
      <c r="I1185" s="5" t="s">
        <v>20</v>
      </c>
      <c r="J1185" s="5">
        <v>18.579999999999998</v>
      </c>
      <c r="K1185" s="5" t="s">
        <v>21</v>
      </c>
      <c r="L1185" s="5" t="s">
        <v>4810</v>
      </c>
      <c r="M1185" s="5" t="s">
        <v>4793</v>
      </c>
      <c r="N1185" s="7" t="str">
        <f>HYPERLINK("C:\Users\alexa\YandexDisk\Книги\ИИ\Глубокое обучение\Chi Wang Engineering Deep Learning Systems 2022pdf.pdf","Chi Wang Engineering Deep Learning Systems 2022pdf.pdf")</f>
        <v>Chi Wang Engineering Deep Learning Systems 2022pdf.pdf</v>
      </c>
      <c r="O1185" s="5" t="s">
        <v>4811</v>
      </c>
    </row>
    <row r="1186" spans="1:15" ht="193.2" x14ac:dyDescent="0.3">
      <c r="A1186" s="2">
        <v>1185</v>
      </c>
      <c r="B1186" s="3" t="s">
        <v>4812</v>
      </c>
      <c r="C1186" s="3" t="s">
        <v>4813</v>
      </c>
      <c r="D1186" s="3"/>
      <c r="E1186" s="3"/>
      <c r="F1186" s="3" t="s">
        <v>4790</v>
      </c>
      <c r="G1186" s="3" t="s">
        <v>4637</v>
      </c>
      <c r="H1186" s="3" t="s">
        <v>4791</v>
      </c>
      <c r="I1186" s="3" t="s">
        <v>20</v>
      </c>
      <c r="J1186" s="3">
        <v>10.66</v>
      </c>
      <c r="K1186" s="3" t="s">
        <v>21</v>
      </c>
      <c r="L1186" s="3" t="s">
        <v>4814</v>
      </c>
      <c r="M1186" s="3" t="s">
        <v>4793</v>
      </c>
      <c r="N1186" s="6" t="str">
        <f>HYPERLINK("C:\Users\alexa\YandexDisk\Книги\ИИ\Глубокое обучение\Deep Learning and Scientific Computing with R to PyTorch.pdf","Deep Learning and Scientific Computing with R to PyTorch.pdf")</f>
        <v>Deep Learning and Scientific Computing with R to PyTorch.pdf</v>
      </c>
      <c r="O1186" s="3" t="s">
        <v>4815</v>
      </c>
    </row>
    <row r="1187" spans="1:15" ht="207" x14ac:dyDescent="0.3">
      <c r="A1187" s="4">
        <v>1186</v>
      </c>
      <c r="B1187" s="5" t="s">
        <v>4816</v>
      </c>
      <c r="C1187" s="5" t="s">
        <v>4817</v>
      </c>
      <c r="D1187" s="5" t="s">
        <v>71</v>
      </c>
      <c r="E1187" s="5"/>
      <c r="F1187" s="5" t="s">
        <v>4790</v>
      </c>
      <c r="G1187" s="5" t="s">
        <v>4637</v>
      </c>
      <c r="H1187" s="5" t="s">
        <v>4791</v>
      </c>
      <c r="I1187" s="5" t="s">
        <v>20</v>
      </c>
      <c r="J1187" s="5">
        <v>5.72</v>
      </c>
      <c r="K1187" s="5" t="s">
        <v>21</v>
      </c>
      <c r="L1187" s="5" t="s">
        <v>4818</v>
      </c>
      <c r="M1187" s="5" t="s">
        <v>4793</v>
      </c>
      <c r="N1187" s="7" t="str">
        <f>HYPERLINK("C:\Users\alexa\YandexDisk\Книги\ИИ\Глубокое обучение\Deep Neural Network Application - Hasmik Osipyan 2022.pdf","Deep Neural Network Application - Hasmik Osipyan 2022.pdf")</f>
        <v>Deep Neural Network Application - Hasmik Osipyan 2022.pdf</v>
      </c>
      <c r="O1187" s="5" t="s">
        <v>4819</v>
      </c>
    </row>
    <row r="1188" spans="1:15" ht="193.2" x14ac:dyDescent="0.3">
      <c r="A1188" s="2">
        <v>1187</v>
      </c>
      <c r="B1188" s="3" t="s">
        <v>4820</v>
      </c>
      <c r="C1188" s="3" t="s">
        <v>4809</v>
      </c>
      <c r="D1188" s="3" t="s">
        <v>27</v>
      </c>
      <c r="E1188" s="3" t="s">
        <v>536</v>
      </c>
      <c r="F1188" s="3" t="s">
        <v>4790</v>
      </c>
      <c r="G1188" s="3" t="s">
        <v>4637</v>
      </c>
      <c r="H1188" s="3" t="s">
        <v>4791</v>
      </c>
      <c r="I1188" s="3" t="s">
        <v>20</v>
      </c>
      <c r="J1188" s="3">
        <v>12.8</v>
      </c>
      <c r="K1188" s="3" t="s">
        <v>21</v>
      </c>
      <c r="L1188" s="3" t="s">
        <v>4821</v>
      </c>
      <c r="M1188" s="3" t="s">
        <v>4793</v>
      </c>
      <c r="N1188" s="6" t="str">
        <f>HYPERLINK("C:\Users\alexa\YandexDisk\Книги\ИИ\Глубокое обучение\Deep.Learning.Systems.pdf","Deep.Learning.Systems.pdf")</f>
        <v>Deep.Learning.Systems.pdf</v>
      </c>
      <c r="O1188" s="3" t="s">
        <v>4822</v>
      </c>
    </row>
    <row r="1189" spans="1:15" ht="193.2" x14ac:dyDescent="0.3">
      <c r="A1189" s="4">
        <v>1188</v>
      </c>
      <c r="B1189" s="5" t="s">
        <v>4823</v>
      </c>
      <c r="C1189" s="5" t="s">
        <v>4824</v>
      </c>
      <c r="D1189" s="5"/>
      <c r="E1189" s="5"/>
      <c r="F1189" s="5" t="s">
        <v>4790</v>
      </c>
      <c r="G1189" s="5" t="s">
        <v>4637</v>
      </c>
      <c r="H1189" s="5" t="s">
        <v>4791</v>
      </c>
      <c r="I1189" s="5" t="s">
        <v>20</v>
      </c>
      <c r="J1189" s="5">
        <v>10.54</v>
      </c>
      <c r="K1189" s="5" t="s">
        <v>21</v>
      </c>
      <c r="L1189" s="5" t="s">
        <v>4825</v>
      </c>
      <c r="M1189" s="5" t="s">
        <v>4793</v>
      </c>
      <c r="N1189" s="7" t="str">
        <f>HYPERLINK("C:\Users\alexa\YandexDisk\Книги\ИИ\Глубокое обучение\Deep_Learning_From_Big_Data_to_AI_with_R.pdf","Deep_Learning_From_Big_Data_to_AI_with_R.pdf")</f>
        <v>Deep_Learning_From_Big_Data_to_AI_with_R.pdf</v>
      </c>
      <c r="O1189" s="5" t="s">
        <v>4826</v>
      </c>
    </row>
    <row r="1190" spans="1:15" ht="220.8" x14ac:dyDescent="0.3">
      <c r="A1190" s="2">
        <v>1189</v>
      </c>
      <c r="B1190" s="3" t="s">
        <v>4827</v>
      </c>
      <c r="C1190" s="3" t="s">
        <v>4828</v>
      </c>
      <c r="D1190" s="3"/>
      <c r="E1190" s="3" t="s">
        <v>557</v>
      </c>
      <c r="F1190" s="3" t="s">
        <v>4790</v>
      </c>
      <c r="G1190" s="3" t="s">
        <v>4637</v>
      </c>
      <c r="H1190" s="3" t="s">
        <v>4791</v>
      </c>
      <c r="I1190" s="3" t="s">
        <v>20</v>
      </c>
      <c r="J1190" s="3">
        <v>10.95</v>
      </c>
      <c r="K1190" s="3" t="s">
        <v>21</v>
      </c>
      <c r="L1190" s="3" t="s">
        <v>4829</v>
      </c>
      <c r="M1190" s="3" t="s">
        <v>4793</v>
      </c>
      <c r="N1190" s="6" t="str">
        <f>HYPERLINK("C:\Users\alexa\YandexDisk\Книги\ИИ\Глубокое обучение\Deep_Learning_with_JavaScript_Neural_networks_in_TensorFlow_js_Shanqing.pdf","Deep_Learning_with_JavaScript_Neural_networks_in_TensorFlow_js_Shanqing.pdf")</f>
        <v>Deep_Learning_with_JavaScript_Neural_networks_in_TensorFlow_js_Shanqing.pdf</v>
      </c>
      <c r="O1190" s="3" t="s">
        <v>4830</v>
      </c>
    </row>
    <row r="1191" spans="1:15" ht="179.4" x14ac:dyDescent="0.3">
      <c r="A1191" s="4">
        <v>1190</v>
      </c>
      <c r="B1191" s="5" t="s">
        <v>4831</v>
      </c>
      <c r="C1191" s="5" t="s">
        <v>4832</v>
      </c>
      <c r="D1191" s="5" t="s">
        <v>109</v>
      </c>
      <c r="E1191" s="5" t="s">
        <v>536</v>
      </c>
      <c r="F1191" s="5" t="s">
        <v>4790</v>
      </c>
      <c r="G1191" s="5" t="s">
        <v>4637</v>
      </c>
      <c r="H1191" s="5" t="s">
        <v>4791</v>
      </c>
      <c r="I1191" s="5" t="s">
        <v>20</v>
      </c>
      <c r="J1191" s="5">
        <v>8.2100000000000009</v>
      </c>
      <c r="K1191" s="5" t="s">
        <v>21</v>
      </c>
      <c r="L1191" s="5" t="s">
        <v>4833</v>
      </c>
      <c r="M1191" s="5" t="s">
        <v>4793</v>
      </c>
      <c r="N1191" s="7" t="str">
        <f>HYPERLINK("C:\Users\alexa\YandexDisk\Книги\ИИ\Глубокое обучение\Distributed Machine Learning Patterns.pdf","Distributed Machine Learning Patterns.pdf")</f>
        <v>Distributed Machine Learning Patterns.pdf</v>
      </c>
      <c r="O1191" s="5" t="s">
        <v>4834</v>
      </c>
    </row>
    <row r="1192" spans="1:15" ht="193.2" x14ac:dyDescent="0.3">
      <c r="A1192" s="2">
        <v>1191</v>
      </c>
      <c r="B1192" s="3" t="s">
        <v>4835</v>
      </c>
      <c r="C1192" s="3" t="s">
        <v>4836</v>
      </c>
      <c r="D1192" s="3" t="s">
        <v>27</v>
      </c>
      <c r="E1192" s="3"/>
      <c r="F1192" s="3" t="s">
        <v>4790</v>
      </c>
      <c r="G1192" s="3" t="s">
        <v>4637</v>
      </c>
      <c r="H1192" s="3" t="s">
        <v>4791</v>
      </c>
      <c r="I1192" s="3" t="s">
        <v>20</v>
      </c>
      <c r="J1192" s="3">
        <v>40.9</v>
      </c>
      <c r="K1192" s="3" t="s">
        <v>21</v>
      </c>
      <c r="L1192" s="3" t="s">
        <v>4837</v>
      </c>
      <c r="M1192" s="3" t="s">
        <v>4793</v>
      </c>
      <c r="N1192" s="6" t="str">
        <f>HYPERLINK("C:\Users\alexa\YandexDisk\Книги\ИИ\Глубокое обучение\DL c R и Keras.pdf","DL c R и Keras.pdf")</f>
        <v>DL c R и Keras.pdf</v>
      </c>
      <c r="O1192" s="3" t="s">
        <v>4838</v>
      </c>
    </row>
    <row r="1193" spans="1:15" ht="151.80000000000001" x14ac:dyDescent="0.3">
      <c r="A1193" s="4">
        <v>1192</v>
      </c>
      <c r="B1193" s="5" t="s">
        <v>4839</v>
      </c>
      <c r="C1193" s="5" t="s">
        <v>4840</v>
      </c>
      <c r="D1193" s="5" t="s">
        <v>59</v>
      </c>
      <c r="E1193" s="5" t="s">
        <v>102</v>
      </c>
      <c r="F1193" s="5" t="s">
        <v>4790</v>
      </c>
      <c r="G1193" s="5" t="s">
        <v>4637</v>
      </c>
      <c r="H1193" s="5" t="s">
        <v>4791</v>
      </c>
      <c r="I1193" s="5" t="s">
        <v>20</v>
      </c>
      <c r="J1193" s="5">
        <v>7.6</v>
      </c>
      <c r="K1193" s="5" t="s">
        <v>21</v>
      </c>
      <c r="L1193" s="5" t="s">
        <v>4841</v>
      </c>
      <c r="M1193" s="5" t="s">
        <v>4793</v>
      </c>
      <c r="N1193" s="7" t="str">
        <f>HYPERLINK("C:\Users\alexa\YandexDisk\Книги\ИИ\Глубокое обучение\DL в биологии и медицине.pdf","DL в биологии и медицине.pdf")</f>
        <v>DL в биологии и медицине.pdf</v>
      </c>
      <c r="O1193" s="5" t="s">
        <v>4842</v>
      </c>
    </row>
    <row r="1194" spans="1:15" ht="165.6" x14ac:dyDescent="0.3">
      <c r="A1194" s="2">
        <v>1193</v>
      </c>
      <c r="B1194" s="3" t="s">
        <v>4843</v>
      </c>
      <c r="C1194" s="3" t="s">
        <v>4844</v>
      </c>
      <c r="D1194" s="3" t="s">
        <v>59</v>
      </c>
      <c r="E1194" s="3" t="s">
        <v>18</v>
      </c>
      <c r="F1194" s="3" t="s">
        <v>4790</v>
      </c>
      <c r="G1194" s="3" t="s">
        <v>4637</v>
      </c>
      <c r="H1194" s="3" t="s">
        <v>4791</v>
      </c>
      <c r="I1194" s="3" t="s">
        <v>20</v>
      </c>
      <c r="J1194" s="3">
        <v>15.92</v>
      </c>
      <c r="K1194" s="3" t="s">
        <v>21</v>
      </c>
      <c r="L1194" s="3" t="s">
        <v>4845</v>
      </c>
      <c r="M1194" s="3" t="s">
        <v>4793</v>
      </c>
      <c r="N1194" s="6" t="str">
        <f>HYPERLINK("C:\Users\alexa\YandexDisk\Книги\ИИ\Глубокое обучение\DL в картинках.pdf","DL в картинках.pdf")</f>
        <v>DL в картинках.pdf</v>
      </c>
      <c r="O1194" s="3" t="s">
        <v>4846</v>
      </c>
    </row>
    <row r="1195" spans="1:15" ht="193.2" x14ac:dyDescent="0.3">
      <c r="A1195" s="4">
        <v>1194</v>
      </c>
      <c r="B1195" s="5" t="s">
        <v>4847</v>
      </c>
      <c r="C1195" s="5" t="s">
        <v>4848</v>
      </c>
      <c r="D1195" s="5" t="s">
        <v>17</v>
      </c>
      <c r="E1195" s="5" t="s">
        <v>536</v>
      </c>
      <c r="F1195" s="5" t="s">
        <v>4790</v>
      </c>
      <c r="G1195" s="5" t="s">
        <v>4637</v>
      </c>
      <c r="H1195" s="5" t="s">
        <v>4791</v>
      </c>
      <c r="I1195" s="5" t="s">
        <v>20</v>
      </c>
      <c r="J1195" s="5">
        <v>14.43</v>
      </c>
      <c r="K1195" s="5" t="s">
        <v>21</v>
      </c>
      <c r="L1195" s="5" t="s">
        <v>4849</v>
      </c>
      <c r="M1195" s="5" t="s">
        <v>4793</v>
      </c>
      <c r="N1195" s="7" t="str">
        <f>HYPERLINK("C:\Users\alexa\YandexDisk\Книги\ИИ\Глубокое обучение\François Chollet - Deep Learning with Python (2021).pdf","François Chollet - Deep Learning with Python (2021).pdf")</f>
        <v>François Chollet - Deep Learning with Python (2021).pdf</v>
      </c>
      <c r="O1195" s="5" t="s">
        <v>4850</v>
      </c>
    </row>
    <row r="1196" spans="1:15" ht="220.8" x14ac:dyDescent="0.3">
      <c r="A1196" s="2">
        <v>1195</v>
      </c>
      <c r="B1196" s="3" t="s">
        <v>4851</v>
      </c>
      <c r="C1196" s="3" t="s">
        <v>4852</v>
      </c>
      <c r="D1196" s="3"/>
      <c r="E1196" s="3"/>
      <c r="F1196" s="3" t="s">
        <v>4790</v>
      </c>
      <c r="G1196" s="3" t="s">
        <v>4637</v>
      </c>
      <c r="H1196" s="3" t="s">
        <v>4791</v>
      </c>
      <c r="I1196" s="3" t="s">
        <v>20</v>
      </c>
      <c r="J1196" s="3">
        <v>10.79</v>
      </c>
      <c r="K1196" s="3" t="s">
        <v>21</v>
      </c>
      <c r="L1196" s="3" t="s">
        <v>4853</v>
      </c>
      <c r="M1196" s="3" t="s">
        <v>4793</v>
      </c>
      <c r="N1196" s="6" t="str">
        <f>HYPERLINK("C:\Users\alexa\YandexDisk\Книги\ИИ\Глубокое обучение\Fundamentals of Deep Learning.pdf","Fundamentals of Deep Learning.pdf")</f>
        <v>Fundamentals of Deep Learning.pdf</v>
      </c>
      <c r="O1196" s="3" t="s">
        <v>4854</v>
      </c>
    </row>
    <row r="1197" spans="1:15" ht="151.80000000000001" x14ac:dyDescent="0.3">
      <c r="A1197" s="4">
        <v>1196</v>
      </c>
      <c r="B1197" s="5" t="s">
        <v>4855</v>
      </c>
      <c r="C1197" s="5" t="s">
        <v>4856</v>
      </c>
      <c r="D1197" s="5" t="s">
        <v>77</v>
      </c>
      <c r="E1197" s="5" t="s">
        <v>442</v>
      </c>
      <c r="F1197" s="5" t="s">
        <v>4790</v>
      </c>
      <c r="G1197" s="5" t="s">
        <v>4637</v>
      </c>
      <c r="H1197" s="5" t="s">
        <v>4791</v>
      </c>
      <c r="I1197" s="5" t="s">
        <v>20</v>
      </c>
      <c r="J1197" s="5">
        <v>31.26</v>
      </c>
      <c r="K1197" s="5" t="s">
        <v>21</v>
      </c>
      <c r="L1197" s="5" t="s">
        <v>4857</v>
      </c>
      <c r="M1197" s="5" t="s">
        <v>4793</v>
      </c>
      <c r="N1197" s="7" t="str">
        <f>HYPERLINK("C:\Users\alexa\YandexDisk\Книги\ИИ\Глубокое обучение\Generative Deep Learning.pdf","Generative Deep Learning.pdf")</f>
        <v>Generative Deep Learning.pdf</v>
      </c>
      <c r="O1197" s="5" t="s">
        <v>4858</v>
      </c>
    </row>
    <row r="1198" spans="1:15" ht="179.4" x14ac:dyDescent="0.3">
      <c r="A1198" s="2">
        <v>1197</v>
      </c>
      <c r="B1198" s="3" t="s">
        <v>4859</v>
      </c>
      <c r="C1198" s="3" t="s">
        <v>4860</v>
      </c>
      <c r="D1198" s="3" t="s">
        <v>71</v>
      </c>
      <c r="E1198" s="3" t="s">
        <v>269</v>
      </c>
      <c r="F1198" s="3" t="s">
        <v>4790</v>
      </c>
      <c r="G1198" s="3" t="s">
        <v>4637</v>
      </c>
      <c r="H1198" s="3" t="s">
        <v>4791</v>
      </c>
      <c r="I1198" s="3" t="s">
        <v>20</v>
      </c>
      <c r="J1198" s="3">
        <v>23.7</v>
      </c>
      <c r="K1198" s="3" t="s">
        <v>21</v>
      </c>
      <c r="L1198" s="3" t="s">
        <v>4861</v>
      </c>
      <c r="M1198" s="3" t="s">
        <v>4793</v>
      </c>
      <c r="N1198" s="6" t="str">
        <f>HYPERLINK("C:\Users\alexa\YandexDisk\Книги\ИИ\Глубокое обучение\Inside Deep Learning Math, Algorithms, Models 2022.pdf","Inside Deep Learning Math, Algorithms, Models 2022.pdf")</f>
        <v>Inside Deep Learning Math, Algorithms, Models 2022.pdf</v>
      </c>
      <c r="O1198" s="3" t="s">
        <v>4862</v>
      </c>
    </row>
    <row r="1199" spans="1:15" ht="165.6" x14ac:dyDescent="0.3">
      <c r="A1199" s="4">
        <v>1198</v>
      </c>
      <c r="B1199" s="5" t="s">
        <v>4863</v>
      </c>
      <c r="C1199" s="5" t="s">
        <v>4864</v>
      </c>
      <c r="D1199" s="5" t="s">
        <v>77</v>
      </c>
      <c r="E1199" s="5" t="s">
        <v>205</v>
      </c>
      <c r="F1199" s="5" t="s">
        <v>4790</v>
      </c>
      <c r="G1199" s="5" t="s">
        <v>4637</v>
      </c>
      <c r="H1199" s="5" t="s">
        <v>4791</v>
      </c>
      <c r="I1199" s="5" t="s">
        <v>20</v>
      </c>
      <c r="J1199" s="5">
        <v>9.86</v>
      </c>
      <c r="K1199" s="5" t="s">
        <v>21</v>
      </c>
      <c r="L1199" s="5" t="s">
        <v>4865</v>
      </c>
      <c r="M1199" s="5" t="s">
        <v>4793</v>
      </c>
      <c r="N1199" s="7" t="str">
        <f>HYPERLINK("C:\Users\alexa\YandexDisk\Книги\ИИ\Глубокое обучение\Java_Deep_Learning_Cookbook_Train_neural_networks.pdf","Java_Deep_Learning_Cookbook_Train_neural_networks.pdf")</f>
        <v>Java_Deep_Learning_Cookbook_Train_neural_networks.pdf</v>
      </c>
      <c r="O1199" s="5" t="s">
        <v>4866</v>
      </c>
    </row>
    <row r="1200" spans="1:15" ht="165.6" x14ac:dyDescent="0.3">
      <c r="A1200" s="2">
        <v>1199</v>
      </c>
      <c r="B1200" s="3" t="s">
        <v>4867</v>
      </c>
      <c r="C1200" s="3" t="s">
        <v>4868</v>
      </c>
      <c r="D1200" s="3" t="s">
        <v>17</v>
      </c>
      <c r="E1200" s="3" t="s">
        <v>18</v>
      </c>
      <c r="F1200" s="3" t="s">
        <v>4790</v>
      </c>
      <c r="G1200" s="3" t="s">
        <v>4637</v>
      </c>
      <c r="H1200" s="3" t="s">
        <v>4791</v>
      </c>
      <c r="I1200" s="3" t="s">
        <v>20</v>
      </c>
      <c r="J1200" s="3">
        <v>30.84</v>
      </c>
      <c r="K1200" s="3" t="s">
        <v>21</v>
      </c>
      <c r="L1200" s="3" t="s">
        <v>4869</v>
      </c>
      <c r="M1200" s="3" t="s">
        <v>4793</v>
      </c>
      <c r="N1200" s="6" t="str">
        <f>HYPERLINK("C:\Users\alexa\YandexDisk\Книги\ИИ\Глубокое обучение\JаvaScript для глубокого обучения 2021.pdf","JаvaScript для глубокого обучения 2021.pdf")</f>
        <v>JаvaScript для глубокого обучения 2021.pdf</v>
      </c>
      <c r="O1200" s="3" t="s">
        <v>4870</v>
      </c>
    </row>
    <row r="1201" spans="1:15" ht="27.6" x14ac:dyDescent="0.3">
      <c r="A1201" s="4">
        <v>1200</v>
      </c>
      <c r="B1201" s="5" t="s">
        <v>4871</v>
      </c>
      <c r="C1201" s="5"/>
      <c r="D1201" s="5" t="s">
        <v>32</v>
      </c>
      <c r="E1201" s="5"/>
      <c r="F1201" s="5" t="s">
        <v>4790</v>
      </c>
      <c r="G1201" s="5" t="s">
        <v>4637</v>
      </c>
      <c r="H1201" s="5" t="s">
        <v>4791</v>
      </c>
      <c r="I1201" s="5" t="s">
        <v>20</v>
      </c>
      <c r="J1201" s="5">
        <v>38.520000000000003</v>
      </c>
      <c r="K1201" s="5" t="s">
        <v>21</v>
      </c>
      <c r="L1201" s="5" t="s">
        <v>4872</v>
      </c>
      <c r="M1201" s="5" t="s">
        <v>4793</v>
      </c>
      <c r="N1201" s="7" t="str">
        <f>HYPERLINK("C:\Users\alexa\YandexDisk\Книги\ИИ\Глубокое обучение\Keras_инструмент_глубокого_обучения_2018.pdf","Keras_инструмент_глубокого_обучения_2018.pdf")</f>
        <v>Keras_инструмент_глубокого_обучения_2018.pdf</v>
      </c>
      <c r="O1201" s="5" t="s">
        <v>930</v>
      </c>
    </row>
    <row r="1202" spans="1:15" ht="151.80000000000001" x14ac:dyDescent="0.3">
      <c r="A1202" s="2">
        <v>1201</v>
      </c>
      <c r="B1202" s="3" t="s">
        <v>4831</v>
      </c>
      <c r="C1202" s="3" t="s">
        <v>4832</v>
      </c>
      <c r="D1202" s="3" t="s">
        <v>109</v>
      </c>
      <c r="E1202" s="3" t="s">
        <v>536</v>
      </c>
      <c r="F1202" s="3" t="s">
        <v>4790</v>
      </c>
      <c r="G1202" s="3" t="s">
        <v>4637</v>
      </c>
      <c r="H1202" s="3" t="s">
        <v>4791</v>
      </c>
      <c r="I1202" s="3" t="s">
        <v>20</v>
      </c>
      <c r="J1202" s="3">
        <v>9.01</v>
      </c>
      <c r="K1202" s="3" t="s">
        <v>21</v>
      </c>
      <c r="L1202" s="3" t="s">
        <v>4873</v>
      </c>
      <c r="M1202" s="3" t="s">
        <v>4793</v>
      </c>
      <c r="N1202" s="6" t="str">
        <f>HYPERLINK("C:\Users\alexa\YandexDisk\Книги\ИИ\Глубокое обучение\Manning.Distributed.Machine.Learning.Patterns.pdf","Manning.Distributed.Machine.Learning.Patterns.pdf")</f>
        <v>Manning.Distributed.Machine.Learning.Patterns.pdf</v>
      </c>
      <c r="O1202" s="3" t="s">
        <v>4874</v>
      </c>
    </row>
    <row r="1203" spans="1:15" ht="193.2" x14ac:dyDescent="0.3">
      <c r="A1203" s="4">
        <v>1202</v>
      </c>
      <c r="B1203" s="5" t="s">
        <v>4875</v>
      </c>
      <c r="C1203" s="5" t="s">
        <v>4876</v>
      </c>
      <c r="D1203" s="5" t="s">
        <v>71</v>
      </c>
      <c r="E1203" s="5" t="s">
        <v>536</v>
      </c>
      <c r="F1203" s="5" t="s">
        <v>4790</v>
      </c>
      <c r="G1203" s="5" t="s">
        <v>4637</v>
      </c>
      <c r="H1203" s="5" t="s">
        <v>4791</v>
      </c>
      <c r="I1203" s="5" t="s">
        <v>20</v>
      </c>
      <c r="J1203" s="5">
        <v>47.44</v>
      </c>
      <c r="K1203" s="5" t="s">
        <v>21</v>
      </c>
      <c r="L1203" s="5" t="s">
        <v>4877</v>
      </c>
      <c r="M1203" s="5" t="s">
        <v>4793</v>
      </c>
      <c r="N1203" s="7" t="str">
        <f>HYPERLINK("C:\Users\alexa\YandexDisk\Книги\ИИ\Глубокое обучение\Math and Architectures of Deep Learning V10 2022.pdf","Math and Architectures of Deep Learning V10 2022.pdf")</f>
        <v>Math and Architectures of Deep Learning V10 2022.pdf</v>
      </c>
      <c r="O1203" s="5" t="s">
        <v>4878</v>
      </c>
    </row>
    <row r="1204" spans="1:15" ht="193.2" x14ac:dyDescent="0.3">
      <c r="A1204" s="2">
        <v>1203</v>
      </c>
      <c r="B1204" s="3" t="s">
        <v>4879</v>
      </c>
      <c r="C1204" s="3" t="s">
        <v>4880</v>
      </c>
      <c r="D1204" s="3" t="s">
        <v>71</v>
      </c>
      <c r="E1204" s="3" t="s">
        <v>72</v>
      </c>
      <c r="F1204" s="3" t="s">
        <v>4790</v>
      </c>
      <c r="G1204" s="3" t="s">
        <v>4637</v>
      </c>
      <c r="H1204" s="3" t="s">
        <v>4791</v>
      </c>
      <c r="I1204" s="3" t="s">
        <v>20</v>
      </c>
      <c r="J1204" s="3">
        <v>7.41</v>
      </c>
      <c r="K1204" s="3" t="s">
        <v>21</v>
      </c>
      <c r="L1204" s="3" t="s">
        <v>4881</v>
      </c>
      <c r="M1204" s="3" t="s">
        <v>4793</v>
      </c>
      <c r="N1204" s="6" t="str">
        <f>HYPERLINK("C:\Users\alexa\YandexDisk\Книги\ИИ\Глубокое обучение\Math_for_Deep_Learning_What_You_Need_to_Know.pdf","Math_for_Deep_Learning_What_You_Need_to_Know.pdf")</f>
        <v>Math_for_Deep_Learning_What_You_Need_to_Know.pdf</v>
      </c>
      <c r="O1204" s="3" t="s">
        <v>4882</v>
      </c>
    </row>
    <row r="1205" spans="1:15" ht="179.4" x14ac:dyDescent="0.3">
      <c r="A1205" s="4">
        <v>1204</v>
      </c>
      <c r="B1205" s="5" t="s">
        <v>4883</v>
      </c>
      <c r="C1205" s="5" t="s">
        <v>4884</v>
      </c>
      <c r="D1205" s="5" t="s">
        <v>71</v>
      </c>
      <c r="E1205" s="5"/>
      <c r="F1205" s="5" t="s">
        <v>4790</v>
      </c>
      <c r="G1205" s="5" t="s">
        <v>4637</v>
      </c>
      <c r="H1205" s="5" t="s">
        <v>4791</v>
      </c>
      <c r="I1205" s="5" t="s">
        <v>20</v>
      </c>
      <c r="J1205" s="5">
        <v>10.72</v>
      </c>
      <c r="K1205" s="5" t="s">
        <v>21</v>
      </c>
      <c r="L1205" s="5" t="s">
        <v>4885</v>
      </c>
      <c r="M1205" s="5" t="s">
        <v>4793</v>
      </c>
      <c r="N1205" s="7" t="str">
        <f>HYPERLINK("C:\Users\alexa\YandexDisk\Книги\ИИ\Глубокое обучение\Practical Simulations for Machine Learning 2022.pdf","Practical Simulations for Machine Learning 2022.pdf")</f>
        <v>Practical Simulations for Machine Learning 2022.pdf</v>
      </c>
      <c r="O1205" s="5" t="s">
        <v>4886</v>
      </c>
    </row>
    <row r="1206" spans="1:15" ht="165.6" x14ac:dyDescent="0.3">
      <c r="A1206" s="2">
        <v>1205</v>
      </c>
      <c r="B1206" s="3" t="s">
        <v>4887</v>
      </c>
      <c r="C1206" s="3" t="s">
        <v>4888</v>
      </c>
      <c r="D1206" s="3" t="s">
        <v>71</v>
      </c>
      <c r="E1206" s="3" t="s">
        <v>18</v>
      </c>
      <c r="F1206" s="3" t="s">
        <v>4790</v>
      </c>
      <c r="G1206" s="3" t="s">
        <v>4637</v>
      </c>
      <c r="H1206" s="3" t="s">
        <v>4791</v>
      </c>
      <c r="I1206" s="3" t="s">
        <v>20</v>
      </c>
      <c r="J1206" s="3">
        <v>45.38</v>
      </c>
      <c r="K1206" s="3" t="s">
        <v>21</v>
      </c>
      <c r="L1206" s="3" t="s">
        <v>4889</v>
      </c>
      <c r="M1206" s="3" t="s">
        <v>4793</v>
      </c>
      <c r="N1206" s="6" t="str">
        <f>HYPERLINK("C:\Users\alexa\YandexDisk\Книги\ИИ\Глубокое обучение\PyTorch. Освещая DL.pdf","PyTorch. Освещая DL.pdf")</f>
        <v>PyTorch. Освещая DL.pdf</v>
      </c>
      <c r="O1206" s="3" t="s">
        <v>4890</v>
      </c>
    </row>
    <row r="1207" spans="1:15" ht="179.4" x14ac:dyDescent="0.3">
      <c r="A1207" s="4">
        <v>1206</v>
      </c>
      <c r="B1207" s="5" t="s">
        <v>4891</v>
      </c>
      <c r="C1207" s="5" t="s">
        <v>4892</v>
      </c>
      <c r="D1207" s="5" t="s">
        <v>71</v>
      </c>
      <c r="E1207" s="5" t="s">
        <v>536</v>
      </c>
      <c r="F1207" s="5" t="s">
        <v>4790</v>
      </c>
      <c r="G1207" s="5" t="s">
        <v>4637</v>
      </c>
      <c r="H1207" s="5" t="s">
        <v>4791</v>
      </c>
      <c r="I1207" s="5" t="s">
        <v>20</v>
      </c>
      <c r="J1207" s="5">
        <v>10.73</v>
      </c>
      <c r="K1207" s="5" t="s">
        <v>21</v>
      </c>
      <c r="L1207" s="5" t="s">
        <v>4893</v>
      </c>
      <c r="M1207" s="5" t="s">
        <v>4793</v>
      </c>
      <c r="N1207" s="7" t="str">
        <f>HYPERLINK("C:\Users\alexa\YandexDisk\Книги\ИИ\Глубокое обучение\Regularization in Deep Learning MEAP3.pdf","Regularization in Deep Learning MEAP3.pdf")</f>
        <v>Regularization in Deep Learning MEAP3.pdf</v>
      </c>
      <c r="O1207" s="5" t="s">
        <v>4894</v>
      </c>
    </row>
    <row r="1208" spans="1:15" ht="193.2" x14ac:dyDescent="0.3">
      <c r="A1208" s="2">
        <v>1207</v>
      </c>
      <c r="B1208" s="3" t="s">
        <v>4895</v>
      </c>
      <c r="C1208" s="3" t="s">
        <v>4896</v>
      </c>
      <c r="D1208" s="3" t="s">
        <v>71</v>
      </c>
      <c r="E1208" s="3" t="s">
        <v>536</v>
      </c>
      <c r="F1208" s="3" t="s">
        <v>4790</v>
      </c>
      <c r="G1208" s="3" t="s">
        <v>4637</v>
      </c>
      <c r="H1208" s="3" t="s">
        <v>4791</v>
      </c>
      <c r="I1208" s="3" t="s">
        <v>20</v>
      </c>
      <c r="J1208" s="3">
        <v>37.03</v>
      </c>
      <c r="K1208" s="3" t="s">
        <v>21</v>
      </c>
      <c r="L1208" s="3" t="s">
        <v>4897</v>
      </c>
      <c r="M1208" s="3" t="s">
        <v>4793</v>
      </c>
      <c r="N1208" s="6" t="str">
        <f>HYPERLINK("C:\Users\alexa\YandexDisk\Книги\ИИ\Глубокое обучение\TensorFlow in Action.pdf","TensorFlow in Action.pdf")</f>
        <v>TensorFlow in Action.pdf</v>
      </c>
      <c r="O1208" s="3" t="s">
        <v>4898</v>
      </c>
    </row>
    <row r="1209" spans="1:15" ht="165.6" x14ac:dyDescent="0.3">
      <c r="A1209" s="4">
        <v>1208</v>
      </c>
      <c r="B1209" s="5" t="s">
        <v>4899</v>
      </c>
      <c r="C1209" s="5" t="s">
        <v>4900</v>
      </c>
      <c r="D1209" s="5" t="s">
        <v>27</v>
      </c>
      <c r="E1209" s="5" t="s">
        <v>86</v>
      </c>
      <c r="F1209" s="5" t="s">
        <v>4790</v>
      </c>
      <c r="G1209" s="5" t="s">
        <v>4637</v>
      </c>
      <c r="H1209" s="5" t="s">
        <v>4791</v>
      </c>
      <c r="I1209" s="5" t="s">
        <v>20</v>
      </c>
      <c r="J1209" s="5">
        <v>25.06</v>
      </c>
      <c r="K1209" s="5" t="s">
        <v>21</v>
      </c>
      <c r="L1209" s="5" t="s">
        <v>4901</v>
      </c>
      <c r="M1209" s="5" t="s">
        <v>4793</v>
      </c>
      <c r="N1209" s="7" t="str">
        <f>HYPERLINK("C:\Users\alexa\YandexDisk\Книги\ИИ\Глубокое обучение\The Little Learner чудесное машинное обучение.pdf","The Little Learner чудесное машинное обучение.pdf")</f>
        <v>The Little Learner чудесное машинное обучение.pdf</v>
      </c>
      <c r="O1209" s="5" t="s">
        <v>4902</v>
      </c>
    </row>
    <row r="1210" spans="1:15" ht="248.4" x14ac:dyDescent="0.3">
      <c r="A1210" s="2">
        <v>1209</v>
      </c>
      <c r="B1210" s="3" t="s">
        <v>4903</v>
      </c>
      <c r="C1210" s="3" t="s">
        <v>4904</v>
      </c>
      <c r="D1210" s="3" t="s">
        <v>71</v>
      </c>
      <c r="E1210" s="3" t="s">
        <v>4905</v>
      </c>
      <c r="F1210" s="3" t="s">
        <v>4790</v>
      </c>
      <c r="G1210" s="3" t="s">
        <v>4637</v>
      </c>
      <c r="H1210" s="3" t="s">
        <v>4791</v>
      </c>
      <c r="I1210" s="3" t="s">
        <v>20</v>
      </c>
      <c r="J1210" s="3">
        <v>10.35</v>
      </c>
      <c r="K1210" s="3" t="s">
        <v>21</v>
      </c>
      <c r="L1210" s="3" t="s">
        <v>4906</v>
      </c>
      <c r="M1210" s="3" t="s">
        <v>4793</v>
      </c>
      <c r="N1210" s="6" t="str">
        <f>HYPERLINK("C:\Users\alexa\YandexDisk\Книги\ИИ\Глубокое обучение\Training Data for Machine Learning 2022.pdf","Training Data for Machine Learning 2022.pdf")</f>
        <v>Training Data for Machine Learning 2022.pdf</v>
      </c>
      <c r="O1210" s="3" t="s">
        <v>4907</v>
      </c>
    </row>
    <row r="1211" spans="1:15" ht="207" x14ac:dyDescent="0.3">
      <c r="A1211" s="4">
        <v>1210</v>
      </c>
      <c r="B1211" s="5" t="s">
        <v>4908</v>
      </c>
      <c r="C1211" s="5" t="s">
        <v>4909</v>
      </c>
      <c r="D1211" s="5" t="s">
        <v>32</v>
      </c>
      <c r="E1211" s="5" t="s">
        <v>782</v>
      </c>
      <c r="F1211" s="5" t="s">
        <v>4790</v>
      </c>
      <c r="G1211" s="5" t="s">
        <v>4637</v>
      </c>
      <c r="H1211" s="5" t="s">
        <v>4791</v>
      </c>
      <c r="I1211" s="5" t="s">
        <v>20</v>
      </c>
      <c r="J1211" s="5">
        <v>6.43</v>
      </c>
      <c r="K1211" s="5" t="s">
        <v>21</v>
      </c>
      <c r="L1211" s="5" t="s">
        <v>4910</v>
      </c>
      <c r="M1211" s="5" t="s">
        <v>4793</v>
      </c>
      <c r="N1211" s="7" t="str">
        <f>HYPERLINK("C:\Users\alexa\YandexDisk\Книги\ИИ\Глубокое обучение\Антология_машинного_обучения_Важнейшие_исследования_в_области_ИИ.pdf","Антология_машинного_обучения_Важнейшие_исследования_в_области_ИИ.pdf")</f>
        <v>Антология_машинного_обучения_Важнейшие_исследования_в_области_ИИ.pdf</v>
      </c>
      <c r="O1211" s="5" t="s">
        <v>4911</v>
      </c>
    </row>
    <row r="1212" spans="1:15" ht="179.4" x14ac:dyDescent="0.3">
      <c r="A1212" s="2">
        <v>1211</v>
      </c>
      <c r="B1212" s="3" t="s">
        <v>4912</v>
      </c>
      <c r="C1212" s="3" t="s">
        <v>4913</v>
      </c>
      <c r="D1212" s="3" t="s">
        <v>109</v>
      </c>
      <c r="E1212" s="3" t="s">
        <v>102</v>
      </c>
      <c r="F1212" s="3" t="s">
        <v>4790</v>
      </c>
      <c r="G1212" s="3" t="s">
        <v>4637</v>
      </c>
      <c r="H1212" s="3" t="s">
        <v>4791</v>
      </c>
      <c r="I1212" s="3" t="s">
        <v>20</v>
      </c>
      <c r="J1212" s="3">
        <v>18.57</v>
      </c>
      <c r="K1212" s="3" t="s">
        <v>21</v>
      </c>
      <c r="L1212" s="3" t="s">
        <v>4914</v>
      </c>
      <c r="M1212" s="3" t="s">
        <v>4793</v>
      </c>
      <c r="N1212" s="6" t="str">
        <f>HYPERLINK("C:\Users\alexa\YandexDisk\Книги\ИИ\Глубокое обучение\Вероятностное машинное обучение.pdf","Вероятностное машинное обучение.pdf")</f>
        <v>Вероятностное машинное обучение.pdf</v>
      </c>
      <c r="O1212" s="3" t="s">
        <v>4915</v>
      </c>
    </row>
    <row r="1213" spans="1:15" ht="179.4" x14ac:dyDescent="0.3">
      <c r="A1213" s="4">
        <v>1212</v>
      </c>
      <c r="B1213" s="5" t="s">
        <v>4916</v>
      </c>
      <c r="C1213" s="5" t="s">
        <v>4917</v>
      </c>
      <c r="D1213" s="5" t="s">
        <v>59</v>
      </c>
      <c r="E1213" s="5" t="s">
        <v>18</v>
      </c>
      <c r="F1213" s="5" t="s">
        <v>4790</v>
      </c>
      <c r="G1213" s="5" t="s">
        <v>4637</v>
      </c>
      <c r="H1213" s="5" t="s">
        <v>4791</v>
      </c>
      <c r="I1213" s="5" t="s">
        <v>20</v>
      </c>
      <c r="J1213" s="5">
        <v>12.46</v>
      </c>
      <c r="K1213" s="5" t="s">
        <v>21</v>
      </c>
      <c r="L1213" s="5" t="s">
        <v>4918</v>
      </c>
      <c r="M1213" s="5" t="s">
        <v>4793</v>
      </c>
      <c r="N1213" s="7" t="str">
        <f>HYPERLINK("C:\Users\alexa\YandexDisk\Книги\ИИ\Глубокое обучение\Генеративное глубокое обучение.pdf","Генеративное глубокое обучение.pdf")</f>
        <v>Генеративное глубокое обучение.pdf</v>
      </c>
      <c r="O1213" s="5" t="s">
        <v>4919</v>
      </c>
    </row>
    <row r="1214" spans="1:15" ht="151.80000000000001" x14ac:dyDescent="0.3">
      <c r="A1214" s="2">
        <v>1213</v>
      </c>
      <c r="B1214" s="3" t="s">
        <v>4843</v>
      </c>
      <c r="C1214" s="3" t="s">
        <v>4844</v>
      </c>
      <c r="D1214" s="3" t="s">
        <v>59</v>
      </c>
      <c r="E1214" s="3" t="s">
        <v>18</v>
      </c>
      <c r="F1214" s="3" t="s">
        <v>4790</v>
      </c>
      <c r="G1214" s="3" t="s">
        <v>4637</v>
      </c>
      <c r="H1214" s="3" t="s">
        <v>4791</v>
      </c>
      <c r="I1214" s="3" t="s">
        <v>20</v>
      </c>
      <c r="J1214" s="3">
        <v>15.93</v>
      </c>
      <c r="K1214" s="3" t="s">
        <v>21</v>
      </c>
      <c r="L1214" s="3" t="s">
        <v>4920</v>
      </c>
      <c r="M1214" s="3" t="s">
        <v>4793</v>
      </c>
      <c r="N1214" s="6" t="str">
        <f>HYPERLINK("C:\Users\alexa\YandexDisk\Книги\ИИ\Глубокое обучение\Глубокое обучение в картинках.pdf","Глубокое обучение в картинках.pdf")</f>
        <v>Глубокое обучение в картинках.pdf</v>
      </c>
      <c r="O1214" s="3" t="s">
        <v>4921</v>
      </c>
    </row>
    <row r="1215" spans="1:15" ht="165.6" x14ac:dyDescent="0.3">
      <c r="A1215" s="4">
        <v>1214</v>
      </c>
      <c r="B1215" s="5" t="s">
        <v>4922</v>
      </c>
      <c r="C1215" s="5" t="s">
        <v>4923</v>
      </c>
      <c r="D1215" s="5" t="s">
        <v>59</v>
      </c>
      <c r="E1215" s="5" t="s">
        <v>1431</v>
      </c>
      <c r="F1215" s="5" t="s">
        <v>4790</v>
      </c>
      <c r="G1215" s="5" t="s">
        <v>4637</v>
      </c>
      <c r="H1215" s="5" t="s">
        <v>4791</v>
      </c>
      <c r="I1215" s="5" t="s">
        <v>519</v>
      </c>
      <c r="J1215" s="5">
        <v>33.090000000000003</v>
      </c>
      <c r="K1215" s="5" t="s">
        <v>21</v>
      </c>
      <c r="L1215" s="5" t="s">
        <v>4924</v>
      </c>
      <c r="M1215" s="5" t="s">
        <v>4793</v>
      </c>
      <c r="N1215" s="7" t="str">
        <f>HYPERLINK("C:\Users\alexa\YandexDisk\Книги\ИИ\Глубокое обучение\Глубокое обучение для чайников.zip","Глубокое обучение для чайников.zip")</f>
        <v>Глубокое обучение для чайников.zip</v>
      </c>
      <c r="O1215" s="5" t="s">
        <v>4925</v>
      </c>
    </row>
    <row r="1216" spans="1:15" ht="165.6" x14ac:dyDescent="0.3">
      <c r="A1216" s="2">
        <v>1215</v>
      </c>
      <c r="B1216" s="3" t="s">
        <v>4926</v>
      </c>
      <c r="C1216" s="3" t="s">
        <v>4927</v>
      </c>
      <c r="D1216" s="3" t="s">
        <v>27</v>
      </c>
      <c r="E1216" s="3" t="s">
        <v>18</v>
      </c>
      <c r="F1216" s="3" t="s">
        <v>4790</v>
      </c>
      <c r="G1216" s="3" t="s">
        <v>4637</v>
      </c>
      <c r="H1216" s="3" t="s">
        <v>4791</v>
      </c>
      <c r="I1216" s="3" t="s">
        <v>20</v>
      </c>
      <c r="J1216" s="3">
        <v>10.91</v>
      </c>
      <c r="K1216" s="3" t="s">
        <v>21</v>
      </c>
      <c r="L1216" s="3" t="s">
        <v>4928</v>
      </c>
      <c r="M1216" s="3" t="s">
        <v>4793</v>
      </c>
      <c r="N1216" s="6" t="str">
        <f>HYPERLINK("C:\Users\alexa\YandexDisk\Книги\ИИ\Глубокое обучение\Глубокое обучение на Python.pdf","Глубокое обучение на Python.pdf")</f>
        <v>Глубокое обучение на Python.pdf</v>
      </c>
      <c r="O1216" s="3" t="s">
        <v>4929</v>
      </c>
    </row>
    <row r="1217" spans="1:15" ht="193.2" x14ac:dyDescent="0.3">
      <c r="A1217" s="4">
        <v>1216</v>
      </c>
      <c r="B1217" s="5" t="s">
        <v>4930</v>
      </c>
      <c r="C1217" s="5" t="s">
        <v>4931</v>
      </c>
      <c r="D1217" s="5" t="s">
        <v>32</v>
      </c>
      <c r="E1217" s="5" t="s">
        <v>18</v>
      </c>
      <c r="F1217" s="5" t="s">
        <v>4790</v>
      </c>
      <c r="G1217" s="5" t="s">
        <v>4637</v>
      </c>
      <c r="H1217" s="5" t="s">
        <v>4791</v>
      </c>
      <c r="I1217" s="5" t="s">
        <v>20</v>
      </c>
      <c r="J1217" s="5">
        <v>8.92</v>
      </c>
      <c r="K1217" s="5" t="s">
        <v>21</v>
      </c>
      <c r="L1217" s="5" t="s">
        <v>4932</v>
      </c>
      <c r="M1217" s="5" t="s">
        <v>4793</v>
      </c>
      <c r="N1217" s="7" t="str">
        <f>HYPERLINK("C:\Users\alexa\YandexDisk\Книги\ИИ\Глубокое обучение\Глубокое обучение на R.pdf","Глубокое обучение на R.pdf")</f>
        <v>Глубокое обучение на R.pdf</v>
      </c>
      <c r="O1217" s="5" t="s">
        <v>4933</v>
      </c>
    </row>
    <row r="1218" spans="1:15" ht="151.80000000000001" x14ac:dyDescent="0.3">
      <c r="A1218" s="2">
        <v>1217</v>
      </c>
      <c r="B1218" s="3" t="s">
        <v>4934</v>
      </c>
      <c r="C1218" s="3" t="s">
        <v>4935</v>
      </c>
      <c r="D1218" s="3" t="s">
        <v>335</v>
      </c>
      <c r="E1218" s="3" t="s">
        <v>102</v>
      </c>
      <c r="F1218" s="3" t="s">
        <v>4790</v>
      </c>
      <c r="G1218" s="3" t="s">
        <v>4637</v>
      </c>
      <c r="H1218" s="3" t="s">
        <v>4791</v>
      </c>
      <c r="I1218" s="3" t="s">
        <v>20</v>
      </c>
      <c r="J1218" s="3">
        <v>65.69</v>
      </c>
      <c r="K1218" s="3" t="s">
        <v>21</v>
      </c>
      <c r="L1218" s="3" t="s">
        <v>4936</v>
      </c>
      <c r="M1218" s="3" t="s">
        <v>4793</v>
      </c>
      <c r="N1218" s="6" t="str">
        <f>HYPERLINK("C:\Users\alexa\YandexDisk\Книги\ИИ\Глубокое обучение\Глубокое обучение принципы и концепции.pdf","Глубокое обучение принципы и концепции.pdf")</f>
        <v>Глубокое обучение принципы и концепции.pdf</v>
      </c>
      <c r="O1218" s="3" t="s">
        <v>4937</v>
      </c>
    </row>
    <row r="1219" spans="1:15" ht="207" x14ac:dyDescent="0.3">
      <c r="A1219" s="4">
        <v>1218</v>
      </c>
      <c r="B1219" s="5" t="s">
        <v>4938</v>
      </c>
      <c r="C1219" s="5" t="s">
        <v>4939</v>
      </c>
      <c r="D1219" s="5"/>
      <c r="E1219" s="5" t="s">
        <v>102</v>
      </c>
      <c r="F1219" s="5" t="s">
        <v>4790</v>
      </c>
      <c r="G1219" s="5" t="s">
        <v>4637</v>
      </c>
      <c r="H1219" s="5" t="s">
        <v>4791</v>
      </c>
      <c r="I1219" s="5" t="s">
        <v>20</v>
      </c>
      <c r="J1219" s="5">
        <v>14.78</v>
      </c>
      <c r="K1219" s="5" t="s">
        <v>21</v>
      </c>
      <c r="L1219" s="5" t="s">
        <v>4940</v>
      </c>
      <c r="M1219" s="5" t="s">
        <v>4793</v>
      </c>
      <c r="N1219" s="7" t="str">
        <f>HYPERLINK("C:\Users\alexa\YandexDisk\Книги\ИИ\Глубокое обучение\Глубокое обучение.pdf","Глубокое обучение.pdf")</f>
        <v>Глубокое обучение.pdf</v>
      </c>
      <c r="O1219" s="5" t="s">
        <v>4941</v>
      </c>
    </row>
    <row r="1220" spans="1:15" ht="179.4" x14ac:dyDescent="0.3">
      <c r="A1220" s="2">
        <v>1219</v>
      </c>
      <c r="B1220" s="3" t="s">
        <v>4788</v>
      </c>
      <c r="C1220" s="3" t="s">
        <v>4789</v>
      </c>
      <c r="D1220" s="3"/>
      <c r="E1220" s="3" t="s">
        <v>102</v>
      </c>
      <c r="F1220" s="3" t="s">
        <v>4790</v>
      </c>
      <c r="G1220" s="3" t="s">
        <v>4637</v>
      </c>
      <c r="H1220" s="3" t="s">
        <v>4791</v>
      </c>
      <c r="I1220" s="3" t="s">
        <v>20</v>
      </c>
      <c r="J1220" s="3">
        <v>95.02</v>
      </c>
      <c r="K1220" s="3" t="s">
        <v>21</v>
      </c>
      <c r="L1220" s="3" t="s">
        <v>4942</v>
      </c>
      <c r="M1220" s="3" t="s">
        <v>4793</v>
      </c>
      <c r="N1220" s="6" t="str">
        <f>HYPERLINK("C:\Users\alexa\YandexDisk\Книги\ИИ\Глубокое обучение\Глубокое_обучение_без_математики.pdf","Глубокое_обучение_без_математики.pdf")</f>
        <v>Глубокое_обучение_без_математики.pdf</v>
      </c>
      <c r="O1220" s="3" t="s">
        <v>4943</v>
      </c>
    </row>
    <row r="1221" spans="1:15" ht="151.80000000000001" x14ac:dyDescent="0.3">
      <c r="A1221" s="4">
        <v>1220</v>
      </c>
      <c r="B1221" s="5" t="s">
        <v>4944</v>
      </c>
      <c r="C1221" s="5" t="s">
        <v>4945</v>
      </c>
      <c r="D1221" s="5" t="s">
        <v>59</v>
      </c>
      <c r="E1221" s="5" t="s">
        <v>102</v>
      </c>
      <c r="F1221" s="5" t="s">
        <v>4790</v>
      </c>
      <c r="G1221" s="5" t="s">
        <v>4637</v>
      </c>
      <c r="H1221" s="5" t="s">
        <v>4791</v>
      </c>
      <c r="I1221" s="5" t="s">
        <v>20</v>
      </c>
      <c r="J1221" s="5">
        <v>24.93</v>
      </c>
      <c r="K1221" s="5" t="s">
        <v>21</v>
      </c>
      <c r="L1221" s="5" t="s">
        <v>4946</v>
      </c>
      <c r="M1221" s="5" t="s">
        <v>4793</v>
      </c>
      <c r="N1221" s="7" t="str">
        <f>HYPERLINK("C:\Users\alexa\YandexDisk\Книги\ИИ\Глубокое обучение\Глубокое_обучение_для_поисковых_систем_2020_Томмазо_Теофили.pdf","Глубокое_обучение_для_поисковых_систем_2020_Томмазо_Теофили.pdf")</f>
        <v>Глубокое_обучение_для_поисковых_систем_2020_Томмазо_Теофили.pdf</v>
      </c>
      <c r="O1221" s="5" t="s">
        <v>4947</v>
      </c>
    </row>
    <row r="1222" spans="1:15" ht="124.2" x14ac:dyDescent="0.3">
      <c r="A1222" s="2">
        <v>1221</v>
      </c>
      <c r="B1222" s="3" t="s">
        <v>4948</v>
      </c>
      <c r="C1222" s="3" t="s">
        <v>4949</v>
      </c>
      <c r="D1222" s="3"/>
      <c r="E1222" s="3" t="s">
        <v>102</v>
      </c>
      <c r="F1222" s="3" t="s">
        <v>4790</v>
      </c>
      <c r="G1222" s="3" t="s">
        <v>4637</v>
      </c>
      <c r="H1222" s="3" t="s">
        <v>4791</v>
      </c>
      <c r="I1222" s="3" t="s">
        <v>20</v>
      </c>
      <c r="J1222" s="3">
        <v>8.59</v>
      </c>
      <c r="K1222" s="3" t="s">
        <v>21</v>
      </c>
      <c r="L1222" s="3" t="s">
        <v>4950</v>
      </c>
      <c r="M1222" s="3" t="s">
        <v>4793</v>
      </c>
      <c r="N1222" s="6" t="str">
        <f>HYPERLINK("C:\Users\alexa\YandexDisk\Книги\ИИ\Глубокое обучение\Глубокое_обучение_и_игра_в_го.pdf","Глубокое_обучение_и_игра_в_го.pdf")</f>
        <v>Глубокое_обучение_и_игра_в_го.pdf</v>
      </c>
      <c r="O1222" s="3" t="s">
        <v>4951</v>
      </c>
    </row>
    <row r="1223" spans="1:15" ht="165.6" x14ac:dyDescent="0.3">
      <c r="A1223" s="4">
        <v>1222</v>
      </c>
      <c r="B1223" s="5" t="s">
        <v>4952</v>
      </c>
      <c r="C1223" s="5" t="s">
        <v>4953</v>
      </c>
      <c r="D1223" s="5" t="s">
        <v>71</v>
      </c>
      <c r="E1223" s="5" t="s">
        <v>18</v>
      </c>
      <c r="F1223" s="5" t="s">
        <v>4790</v>
      </c>
      <c r="G1223" s="5" t="s">
        <v>4637</v>
      </c>
      <c r="H1223" s="5" t="s">
        <v>4791</v>
      </c>
      <c r="I1223" s="5" t="s">
        <v>20</v>
      </c>
      <c r="J1223" s="5">
        <v>11.02</v>
      </c>
      <c r="K1223" s="5" t="s">
        <v>21</v>
      </c>
      <c r="L1223" s="5" t="s">
        <v>4954</v>
      </c>
      <c r="M1223" s="5" t="s">
        <v>4793</v>
      </c>
      <c r="N1223" s="7" t="str">
        <f>HYPERLINK("C:\Users\alexa\YandexDisk\Книги\ИИ\Глубокое обучение\Глубокое_обучение_с_fastai_и_PyTorch_минимум_формул,_минимум_кода.pdf","Глубокое_обучение_с_fastai_и_PyTorch_минимум_формул,_минимум_кода.pdf")</f>
        <v>Глубокое_обучение_с_fastai_и_PyTorch_минимум_формул,_минимум_кода.pdf</v>
      </c>
      <c r="O1223" s="5" t="s">
        <v>4955</v>
      </c>
    </row>
    <row r="1224" spans="1:15" ht="165.6" x14ac:dyDescent="0.3">
      <c r="A1224" s="2">
        <v>1223</v>
      </c>
      <c r="B1224" s="3" t="s">
        <v>4956</v>
      </c>
      <c r="C1224" s="3" t="s">
        <v>4957</v>
      </c>
      <c r="D1224" s="3" t="s">
        <v>71</v>
      </c>
      <c r="E1224" s="3" t="s">
        <v>1023</v>
      </c>
      <c r="F1224" s="3" t="s">
        <v>4790</v>
      </c>
      <c r="G1224" s="3" t="s">
        <v>4637</v>
      </c>
      <c r="H1224" s="3" t="s">
        <v>4791</v>
      </c>
      <c r="I1224" s="3" t="s">
        <v>20</v>
      </c>
      <c r="J1224" s="3">
        <v>10.83</v>
      </c>
      <c r="K1224" s="3" t="s">
        <v>21</v>
      </c>
      <c r="L1224" s="3" t="s">
        <v>4958</v>
      </c>
      <c r="M1224" s="3" t="s">
        <v>4793</v>
      </c>
      <c r="N1224" s="6" t="str">
        <f>HYPERLINK("C:\Users\alexa\YandexDisk\Книги\ИИ\Глубокое обучение\Глубокое_обучение_Самый_краткий_и_понятный_курс.pdf","Глубокое_обучение_Самый_краткий_и_понятный_курс.pdf")</f>
        <v>Глубокое_обучение_Самый_краткий_и_понятный_курс.pdf</v>
      </c>
      <c r="O1224" s="3" t="s">
        <v>4959</v>
      </c>
    </row>
    <row r="1225" spans="1:15" ht="124.2" x14ac:dyDescent="0.3">
      <c r="A1225" s="4">
        <v>1224</v>
      </c>
      <c r="B1225" s="5" t="s">
        <v>4960</v>
      </c>
      <c r="C1225" s="5" t="s">
        <v>4961</v>
      </c>
      <c r="D1225" s="5" t="s">
        <v>77</v>
      </c>
      <c r="E1225" s="5" t="s">
        <v>269</v>
      </c>
      <c r="F1225" s="5" t="s">
        <v>4790</v>
      </c>
      <c r="G1225" s="5" t="s">
        <v>4637</v>
      </c>
      <c r="H1225" s="5" t="s">
        <v>4791</v>
      </c>
      <c r="I1225" s="5" t="s">
        <v>20</v>
      </c>
      <c r="J1225" s="5">
        <v>19.64</v>
      </c>
      <c r="K1225" s="5" t="s">
        <v>21</v>
      </c>
      <c r="L1225" s="5" t="s">
        <v>4962</v>
      </c>
      <c r="M1225" s="5" t="s">
        <v>4793</v>
      </c>
      <c r="N1225" s="7" t="str">
        <f>HYPERLINK("C:\Users\alexa\YandexDisk\Книги\ИИ\Глубокое обучение\Грокаем глубокое обучение.pdf","Грокаем глубокое обучение.pdf")</f>
        <v>Грокаем глубокое обучение.pdf</v>
      </c>
      <c r="O1225" s="5" t="s">
        <v>4963</v>
      </c>
    </row>
    <row r="1226" spans="1:15" ht="165.6" x14ac:dyDescent="0.3">
      <c r="A1226" s="2">
        <v>1225</v>
      </c>
      <c r="B1226" s="3" t="s">
        <v>4964</v>
      </c>
      <c r="C1226" s="3" t="s">
        <v>4965</v>
      </c>
      <c r="D1226" s="3" t="s">
        <v>77</v>
      </c>
      <c r="E1226" s="3" t="s">
        <v>18</v>
      </c>
      <c r="F1226" s="3" t="s">
        <v>4790</v>
      </c>
      <c r="G1226" s="3" t="s">
        <v>4637</v>
      </c>
      <c r="H1226" s="3" t="s">
        <v>4791</v>
      </c>
      <c r="I1226" s="3" t="s">
        <v>20</v>
      </c>
      <c r="J1226" s="3">
        <v>46.7</v>
      </c>
      <c r="K1226" s="3" t="s">
        <v>21</v>
      </c>
      <c r="L1226" s="3" t="s">
        <v>4966</v>
      </c>
      <c r="M1226" s="3" t="s">
        <v>4793</v>
      </c>
      <c r="N1226" s="6" t="str">
        <f>HYPERLINK("C:\Users\alexa\YandexDisk\Книги\ИИ\Глубокое обучение\Машинное обучение и TensorFlow 2019.pdf","Машинное обучение и TensorFlow 2019.pdf")</f>
        <v>Машинное обучение и TensorFlow 2019.pdf</v>
      </c>
      <c r="O1226" s="3" t="s">
        <v>4967</v>
      </c>
    </row>
    <row r="1227" spans="1:15" ht="165.6" x14ac:dyDescent="0.3">
      <c r="A1227" s="4">
        <v>1226</v>
      </c>
      <c r="B1227" s="5" t="s">
        <v>4968</v>
      </c>
      <c r="C1227" s="5" t="s">
        <v>4969</v>
      </c>
      <c r="D1227" s="5" t="s">
        <v>109</v>
      </c>
      <c r="E1227" s="5" t="s">
        <v>4970</v>
      </c>
      <c r="F1227" s="5" t="s">
        <v>4790</v>
      </c>
      <c r="G1227" s="5" t="s">
        <v>4637</v>
      </c>
      <c r="H1227" s="5" t="s">
        <v>4791</v>
      </c>
      <c r="I1227" s="5" t="s">
        <v>20</v>
      </c>
      <c r="J1227" s="5">
        <v>84.32</v>
      </c>
      <c r="K1227" s="5" t="s">
        <v>21</v>
      </c>
      <c r="L1227" s="5" t="s">
        <v>4971</v>
      </c>
      <c r="M1227" s="5" t="s">
        <v>4793</v>
      </c>
      <c r="N1227" s="7" t="str">
        <f>HYPERLINK("C:\Users\alexa\YandexDisk\Книги\ИИ\Глубокое обучение\Машинное обучение с PyTorch и Scikit-Learn.pdf","Машинное обучение с PyTorch и Scikit-Learn.pdf")</f>
        <v>Машинное обучение с PyTorch и Scikit-Learn.pdf</v>
      </c>
      <c r="O1227" s="5" t="s">
        <v>4972</v>
      </c>
    </row>
    <row r="1228" spans="1:15" ht="207" x14ac:dyDescent="0.3">
      <c r="A1228" s="2">
        <v>1227</v>
      </c>
      <c r="B1228" s="3" t="s">
        <v>4973</v>
      </c>
      <c r="C1228" s="3" t="s">
        <v>4796</v>
      </c>
      <c r="D1228" s="3" t="s">
        <v>59</v>
      </c>
      <c r="E1228" s="3" t="s">
        <v>678</v>
      </c>
      <c r="F1228" s="3" t="s">
        <v>4790</v>
      </c>
      <c r="G1228" s="3" t="s">
        <v>4637</v>
      </c>
      <c r="H1228" s="3" t="s">
        <v>4791</v>
      </c>
      <c r="I1228" s="3" t="s">
        <v>20</v>
      </c>
      <c r="J1228" s="3">
        <v>48.44</v>
      </c>
      <c r="K1228" s="3" t="s">
        <v>21</v>
      </c>
      <c r="L1228" s="3" t="s">
        <v>4974</v>
      </c>
      <c r="M1228" s="3" t="s">
        <v>4793</v>
      </c>
      <c r="N1228" s="6" t="str">
        <f>HYPERLINK("C:\Users\alexa\YandexDisk\Книги\ИИ\Глубокое обучение\Нейронные_сети_и_глубокое_обучение.pdf","Нейронные_сети_и_глубокое_обучение.pdf")</f>
        <v>Нейронные_сети_и_глубокое_обучение.pdf</v>
      </c>
      <c r="O1228" s="3" t="s">
        <v>4975</v>
      </c>
    </row>
    <row r="1229" spans="1:15" ht="207" x14ac:dyDescent="0.3">
      <c r="A1229" s="4">
        <v>1228</v>
      </c>
      <c r="B1229" s="5" t="s">
        <v>4791</v>
      </c>
      <c r="C1229" s="5" t="s">
        <v>4976</v>
      </c>
      <c r="D1229" s="5" t="s">
        <v>32</v>
      </c>
      <c r="E1229" s="5" t="s">
        <v>18</v>
      </c>
      <c r="F1229" s="5" t="s">
        <v>4790</v>
      </c>
      <c r="G1229" s="5" t="s">
        <v>4637</v>
      </c>
      <c r="H1229" s="5" t="s">
        <v>4791</v>
      </c>
      <c r="I1229" s="5" t="s">
        <v>20</v>
      </c>
      <c r="J1229" s="5">
        <v>13.01</v>
      </c>
      <c r="K1229" s="5" t="s">
        <v>21</v>
      </c>
      <c r="L1229" s="5" t="s">
        <v>4977</v>
      </c>
      <c r="M1229" s="5" t="s">
        <v>4793</v>
      </c>
      <c r="N1229" s="7" t="str">
        <f>HYPERLINK("C:\Users\alexa\YandexDisk\Книги\ИИ\Глубокое обучение\Николенко Глубокое обучение 2018.pdf","Николенко Глубокое обучение 2018.pdf")</f>
        <v>Николенко Глубокое обучение 2018.pdf</v>
      </c>
      <c r="O1229" s="5" t="s">
        <v>4978</v>
      </c>
    </row>
    <row r="1230" spans="1:15" ht="151.80000000000001" x14ac:dyDescent="0.3">
      <c r="A1230" s="2">
        <v>1229</v>
      </c>
      <c r="B1230" s="3" t="s">
        <v>4979</v>
      </c>
      <c r="C1230" s="3" t="s">
        <v>4980</v>
      </c>
      <c r="D1230" s="3" t="s">
        <v>59</v>
      </c>
      <c r="E1230" s="3" t="s">
        <v>442</v>
      </c>
      <c r="F1230" s="3" t="s">
        <v>4790</v>
      </c>
      <c r="G1230" s="3" t="s">
        <v>4637</v>
      </c>
      <c r="H1230" s="3" t="s">
        <v>4791</v>
      </c>
      <c r="I1230" s="3" t="s">
        <v>20</v>
      </c>
      <c r="J1230" s="3">
        <v>8.73</v>
      </c>
      <c r="K1230" s="3" t="s">
        <v>21</v>
      </c>
      <c r="L1230" s="3" t="s">
        <v>4981</v>
      </c>
      <c r="M1230" s="3" t="s">
        <v>4793</v>
      </c>
      <c r="N1230" s="6" t="str">
        <f>HYPERLINK("C:\Users\alexa\YandexDisk\Книги\ИИ\Глубокое обучение\Основы глубокого обучения.pdf","Основы глубокого обучения.pdf")</f>
        <v>Основы глубокого обучения.pdf</v>
      </c>
      <c r="O1230" s="3" t="s">
        <v>4982</v>
      </c>
    </row>
    <row r="1231" spans="1:15" ht="165.6" x14ac:dyDescent="0.3">
      <c r="A1231" s="4">
        <v>1230</v>
      </c>
      <c r="B1231" s="5" t="s">
        <v>4983</v>
      </c>
      <c r="C1231" s="5" t="s">
        <v>4984</v>
      </c>
      <c r="D1231" s="5" t="s">
        <v>59</v>
      </c>
      <c r="E1231" s="5" t="s">
        <v>187</v>
      </c>
      <c r="F1231" s="5" t="s">
        <v>4790</v>
      </c>
      <c r="G1231" s="5" t="s">
        <v>4637</v>
      </c>
      <c r="H1231" s="5" t="s">
        <v>4791</v>
      </c>
      <c r="I1231" s="5" t="s">
        <v>20</v>
      </c>
      <c r="J1231" s="5">
        <v>4.99</v>
      </c>
      <c r="K1231" s="5" t="s">
        <v>21</v>
      </c>
      <c r="L1231" s="5" t="s">
        <v>4985</v>
      </c>
      <c r="M1231" s="5" t="s">
        <v>4793</v>
      </c>
      <c r="N1231" s="7" t="str">
        <f>HYPERLINK("C:\Users\alexa\YandexDisk\Книги\ИИ\Глубокое обучение\Пойнтер Программируем с PyTorch 2020.pdf","Пойнтер Программируем с PyTorch 2020.pdf")</f>
        <v>Пойнтер Программируем с PyTorch 2020.pdf</v>
      </c>
      <c r="O1231" s="5" t="s">
        <v>4986</v>
      </c>
    </row>
    <row r="1232" spans="1:15" ht="165.6" x14ac:dyDescent="0.3">
      <c r="A1232" s="2">
        <v>1231</v>
      </c>
      <c r="B1232" s="3" t="s">
        <v>4983</v>
      </c>
      <c r="C1232" s="3" t="s">
        <v>4984</v>
      </c>
      <c r="D1232" s="3" t="s">
        <v>59</v>
      </c>
      <c r="E1232" s="3" t="s">
        <v>442</v>
      </c>
      <c r="F1232" s="3" t="s">
        <v>4790</v>
      </c>
      <c r="G1232" s="3" t="s">
        <v>4637</v>
      </c>
      <c r="H1232" s="3" t="s">
        <v>4791</v>
      </c>
      <c r="I1232" s="3" t="s">
        <v>20</v>
      </c>
      <c r="J1232" s="3">
        <v>4.99</v>
      </c>
      <c r="K1232" s="3" t="s">
        <v>21</v>
      </c>
      <c r="L1232" s="3" t="s">
        <v>4987</v>
      </c>
      <c r="M1232" s="3" t="s">
        <v>4793</v>
      </c>
      <c r="N1232" s="6" t="str">
        <f>HYPERLINK("C:\Users\alexa\YandexDisk\Книги\ИИ\Глубокое обучение\Пойнтер_Я_Программируем_с_PyTorch_Бестселлеры_O’Reilly_2020.pdf","Пойнтер_Я_Программируем_с_PyTorch_Бестселлеры_O’Reilly_2020.pdf")</f>
        <v>Пойнтер_Я_Программируем_с_PyTorch_Бестселлеры_O’Reilly_2020.pdf</v>
      </c>
      <c r="O1232" s="3" t="s">
        <v>4988</v>
      </c>
    </row>
    <row r="1233" spans="1:15" ht="165.6" x14ac:dyDescent="0.3">
      <c r="A1233" s="4">
        <v>1232</v>
      </c>
      <c r="B1233" s="5" t="s">
        <v>4989</v>
      </c>
      <c r="C1233" s="5" t="s">
        <v>4990</v>
      </c>
      <c r="D1233" s="5" t="s">
        <v>59</v>
      </c>
      <c r="E1233" s="5" t="s">
        <v>402</v>
      </c>
      <c r="F1233" s="5" t="s">
        <v>4790</v>
      </c>
      <c r="G1233" s="5" t="s">
        <v>4637</v>
      </c>
      <c r="H1233" s="5" t="s">
        <v>4791</v>
      </c>
      <c r="I1233" s="5" t="s">
        <v>20</v>
      </c>
      <c r="J1233" s="5">
        <v>40.42</v>
      </c>
      <c r="K1233" s="5" t="s">
        <v>21</v>
      </c>
      <c r="L1233" s="5" t="s">
        <v>4991</v>
      </c>
      <c r="M1233" s="5" t="s">
        <v>4793</v>
      </c>
      <c r="N1233" s="7" t="str">
        <f>HYPERLINK("C:\Users\alexa\YandexDisk\Книги\ИИ\Глубокое обучение\Прикладное_глубокое_обучение.pdf","Прикладное_глубокое_обучение.pdf")</f>
        <v>Прикладное_глубокое_обучение.pdf</v>
      </c>
      <c r="O1233" s="5" t="s">
        <v>4992</v>
      </c>
    </row>
    <row r="1234" spans="1:15" ht="151.80000000000001" x14ac:dyDescent="0.3">
      <c r="A1234" s="2">
        <v>1233</v>
      </c>
      <c r="B1234" s="3" t="s">
        <v>4983</v>
      </c>
      <c r="C1234" s="3" t="s">
        <v>4984</v>
      </c>
      <c r="D1234" s="3" t="s">
        <v>59</v>
      </c>
      <c r="E1234" s="3" t="s">
        <v>442</v>
      </c>
      <c r="F1234" s="3" t="s">
        <v>4790</v>
      </c>
      <c r="G1234" s="3" t="s">
        <v>4637</v>
      </c>
      <c r="H1234" s="3" t="s">
        <v>4791</v>
      </c>
      <c r="I1234" s="3" t="s">
        <v>20</v>
      </c>
      <c r="J1234" s="3">
        <v>4.99</v>
      </c>
      <c r="K1234" s="3" t="s">
        <v>21</v>
      </c>
      <c r="L1234" s="3" t="s">
        <v>4993</v>
      </c>
      <c r="M1234" s="3" t="s">
        <v>4793</v>
      </c>
      <c r="N1234" s="6" t="str">
        <f>HYPERLINK("C:\Users\alexa\YandexDisk\Книги\ИИ\Глубокое обучение\Программируем_с_PyTorch-2020.pdf","Программируем_с_PyTorch-2020.pdf")</f>
        <v>Программируем_с_PyTorch-2020.pdf</v>
      </c>
      <c r="O1234" s="3" t="s">
        <v>4994</v>
      </c>
    </row>
    <row r="1235" spans="1:15" ht="165.6" x14ac:dyDescent="0.3">
      <c r="A1235" s="4">
        <v>1234</v>
      </c>
      <c r="B1235" s="5" t="s">
        <v>4839</v>
      </c>
      <c r="C1235" s="5" t="s">
        <v>4840</v>
      </c>
      <c r="D1235" s="5" t="s">
        <v>59</v>
      </c>
      <c r="E1235" s="5" t="s">
        <v>102</v>
      </c>
      <c r="F1235" s="5" t="s">
        <v>4790</v>
      </c>
      <c r="G1235" s="5" t="s">
        <v>4637</v>
      </c>
      <c r="H1235" s="5" t="s">
        <v>4791</v>
      </c>
      <c r="I1235" s="5" t="s">
        <v>20</v>
      </c>
      <c r="J1235" s="5">
        <v>7.6</v>
      </c>
      <c r="K1235" s="5" t="s">
        <v>21</v>
      </c>
      <c r="L1235" s="5" t="s">
        <v>4995</v>
      </c>
      <c r="M1235" s="5" t="s">
        <v>4793</v>
      </c>
      <c r="N1235" s="7" t="str">
        <f>HYPERLINK("C:\Users\alexa\YandexDisk\Книги\ИИ\Глубокое обучение\Рамсундар_Б_Глубокое_обучение_в_биологии_и_медицине_2020.pdf","Рамсундар_Б_Глубокое_обучение_в_биологии_и_медицине_2020.pdf")</f>
        <v>Рамсундар_Б_Глубокое_обучение_в_биологии_и_медицине_2020.pdf</v>
      </c>
      <c r="O1235" s="5" t="s">
        <v>4996</v>
      </c>
    </row>
    <row r="1236" spans="1:15" ht="151.80000000000001" x14ac:dyDescent="0.3">
      <c r="A1236" s="2">
        <v>1235</v>
      </c>
      <c r="B1236" s="3" t="s">
        <v>4960</v>
      </c>
      <c r="C1236" s="3" t="s">
        <v>4961</v>
      </c>
      <c r="D1236" s="3" t="s">
        <v>77</v>
      </c>
      <c r="E1236" s="3" t="s">
        <v>269</v>
      </c>
      <c r="F1236" s="3" t="s">
        <v>4790</v>
      </c>
      <c r="G1236" s="3" t="s">
        <v>4637</v>
      </c>
      <c r="H1236" s="3" t="s">
        <v>4791</v>
      </c>
      <c r="I1236" s="3" t="s">
        <v>20</v>
      </c>
      <c r="J1236" s="3">
        <v>6.78</v>
      </c>
      <c r="K1236" s="3" t="s">
        <v>21</v>
      </c>
      <c r="L1236" s="3" t="s">
        <v>4997</v>
      </c>
      <c r="M1236" s="3" t="s">
        <v>4793</v>
      </c>
      <c r="N1236" s="6" t="str">
        <f>HYPERLINK("C:\Users\alexa\YandexDisk\Книги\ИИ\Глубокое обучение\Траск - грокаем глубокое обучение.pdf","Траск - грокаем глубокое обучение.pdf")</f>
        <v>Траск - грокаем глубокое обучение.pdf</v>
      </c>
      <c r="O1236" s="3" t="s">
        <v>4998</v>
      </c>
    </row>
    <row r="1237" spans="1:15" ht="179.4" x14ac:dyDescent="0.3">
      <c r="A1237" s="4">
        <v>1236</v>
      </c>
      <c r="B1237" s="5" t="s">
        <v>4999</v>
      </c>
      <c r="C1237" s="5" t="s">
        <v>5000</v>
      </c>
      <c r="D1237" s="5" t="s">
        <v>27</v>
      </c>
      <c r="E1237" s="5" t="s">
        <v>102</v>
      </c>
      <c r="F1237" s="5" t="s">
        <v>4790</v>
      </c>
      <c r="G1237" s="5" t="s">
        <v>4637</v>
      </c>
      <c r="H1237" s="5" t="s">
        <v>4791</v>
      </c>
      <c r="I1237" s="5" t="s">
        <v>20</v>
      </c>
      <c r="J1237" s="5">
        <v>13.34</v>
      </c>
      <c r="K1237" s="5" t="s">
        <v>21</v>
      </c>
      <c r="L1237" s="5" t="s">
        <v>5001</v>
      </c>
      <c r="M1237" s="5" t="s">
        <v>4793</v>
      </c>
      <c r="N1237" s="7" t="str">
        <f>HYPERLINK("C:\Users\alexa\YandexDisk\Книги\ИИ\Глубокое обучение\Трехмерное глубокое обучение на Python.pdf","Трехмерное глубокое обучение на Python.pdf")</f>
        <v>Трехмерное глубокое обучение на Python.pdf</v>
      </c>
      <c r="O1237" s="5" t="s">
        <v>5002</v>
      </c>
    </row>
    <row r="1238" spans="1:15" ht="193.2" x14ac:dyDescent="0.3">
      <c r="A1238" s="2">
        <v>1237</v>
      </c>
      <c r="B1238" s="3" t="s">
        <v>5003</v>
      </c>
      <c r="C1238" s="3" t="s">
        <v>5004</v>
      </c>
      <c r="D1238" s="3" t="s">
        <v>59</v>
      </c>
      <c r="E1238" s="3" t="s">
        <v>86</v>
      </c>
      <c r="F1238" s="3" t="s">
        <v>4790</v>
      </c>
      <c r="G1238" s="3" t="s">
        <v>4637</v>
      </c>
      <c r="H1238" s="3" t="s">
        <v>4791</v>
      </c>
      <c r="I1238" s="3" t="s">
        <v>20</v>
      </c>
      <c r="J1238" s="3">
        <v>18.170000000000002</v>
      </c>
      <c r="K1238" s="3" t="s">
        <v>21</v>
      </c>
      <c r="L1238" s="3" t="s">
        <v>5005</v>
      </c>
      <c r="M1238" s="3" t="s">
        <v>4793</v>
      </c>
      <c r="N1238" s="6" t="str">
        <f>HYPERLINK("C:\Users\alexa\YandexDisk\Книги\ИИ\Глубокое обучение\Черняк Введение в глубокое обучение 2020.pdf","Черняк Введение в глубокое обучение 2020.pdf")</f>
        <v>Черняк Введение в глубокое обучение 2020.pdf</v>
      </c>
      <c r="O1238" s="3" t="s">
        <v>5006</v>
      </c>
    </row>
    <row r="1239" spans="1:15" ht="151.80000000000001" x14ac:dyDescent="0.3">
      <c r="A1239" s="4">
        <v>1238</v>
      </c>
      <c r="B1239" s="5" t="s">
        <v>5007</v>
      </c>
      <c r="C1239" s="5" t="s">
        <v>5008</v>
      </c>
      <c r="D1239" s="5" t="s">
        <v>71</v>
      </c>
      <c r="E1239" s="5" t="s">
        <v>102</v>
      </c>
      <c r="F1239" s="5" t="s">
        <v>4790</v>
      </c>
      <c r="G1239" s="5" t="s">
        <v>4637</v>
      </c>
      <c r="H1239" s="5" t="s">
        <v>4791</v>
      </c>
      <c r="I1239" s="5" t="s">
        <v>20</v>
      </c>
      <c r="J1239" s="5">
        <v>18.8</v>
      </c>
      <c r="K1239" s="5" t="s">
        <v>21</v>
      </c>
      <c r="L1239" s="5" t="s">
        <v>5009</v>
      </c>
      <c r="M1239" s="5" t="s">
        <v>4793</v>
      </c>
      <c r="N1239" s="7" t="str">
        <f>HYPERLINK("C:\Users\alexa\YandexDisk\Книги\ИИ\Глубокое обучение\Шаблоны_и_практика_глубокого_обучения 2022.pdf","Шаблоны_и_практика_глубокого_обучения 2022.pdf")</f>
        <v>Шаблоны_и_практика_глубокого_обучения 2022.pdf</v>
      </c>
      <c r="O1239" s="5" t="s">
        <v>5010</v>
      </c>
    </row>
    <row r="1240" spans="1:15" ht="193.2" x14ac:dyDescent="0.3">
      <c r="A1240" s="2">
        <v>1239</v>
      </c>
      <c r="B1240" s="3" t="s">
        <v>5011</v>
      </c>
      <c r="C1240" s="3" t="s">
        <v>5012</v>
      </c>
      <c r="D1240" s="3"/>
      <c r="E1240" s="3" t="s">
        <v>678</v>
      </c>
      <c r="F1240" s="3" t="s">
        <v>5013</v>
      </c>
      <c r="G1240" s="3" t="s">
        <v>4637</v>
      </c>
      <c r="H1240" s="3" t="s">
        <v>5014</v>
      </c>
      <c r="I1240" s="3" t="s">
        <v>20</v>
      </c>
      <c r="J1240" s="3">
        <v>43.57</v>
      </c>
      <c r="K1240" s="3" t="s">
        <v>21</v>
      </c>
      <c r="L1240" s="3" t="s">
        <v>5015</v>
      </c>
      <c r="M1240" s="3" t="s">
        <v>5016</v>
      </c>
      <c r="N1240" s="6" t="str">
        <f>HYPERLINK("C:\Users\alexa\YandexDisk\Книги\ИИ\Компьютерное зрение\Computer Vision Algorithms and Applications.pdf","Computer Vision Algorithms and Applications.pdf")</f>
        <v>Computer Vision Algorithms and Applications.pdf</v>
      </c>
      <c r="O1240" s="3" t="s">
        <v>5017</v>
      </c>
    </row>
    <row r="1241" spans="1:15" ht="193.2" x14ac:dyDescent="0.3">
      <c r="A1241" s="4">
        <v>1240</v>
      </c>
      <c r="B1241" s="5" t="s">
        <v>5018</v>
      </c>
      <c r="C1241" s="5" t="s">
        <v>5019</v>
      </c>
      <c r="D1241" s="5"/>
      <c r="E1241" s="5"/>
      <c r="F1241" s="5" t="s">
        <v>5013</v>
      </c>
      <c r="G1241" s="5" t="s">
        <v>4637</v>
      </c>
      <c r="H1241" s="5" t="s">
        <v>5014</v>
      </c>
      <c r="I1241" s="5" t="s">
        <v>20</v>
      </c>
      <c r="J1241" s="5">
        <v>28.85</v>
      </c>
      <c r="K1241" s="5" t="s">
        <v>21</v>
      </c>
      <c r="L1241" s="5" t="s">
        <v>5020</v>
      </c>
      <c r="M1241" s="5" t="s">
        <v>5016</v>
      </c>
      <c r="N1241" s="7" t="str">
        <f>HYPERLINK("C:\Users\alexa\YandexDisk\Книги\ИИ\Компьютерное зрение\Computer Vision and Image Analysis for Industry 4.0.pdf","Computer Vision and Image Analysis for Industry 4.0.pdf")</f>
        <v>Computer Vision and Image Analysis for Industry 4.0.pdf</v>
      </c>
      <c r="O1241" s="5" t="s">
        <v>5021</v>
      </c>
    </row>
    <row r="1242" spans="1:15" ht="165.6" x14ac:dyDescent="0.3">
      <c r="A1242" s="2">
        <v>1241</v>
      </c>
      <c r="B1242" s="3" t="s">
        <v>5022</v>
      </c>
      <c r="C1242" s="3" t="s">
        <v>5023</v>
      </c>
      <c r="D1242" s="3" t="s">
        <v>71</v>
      </c>
      <c r="E1242" s="3" t="s">
        <v>227</v>
      </c>
      <c r="F1242" s="3" t="s">
        <v>5013</v>
      </c>
      <c r="G1242" s="3" t="s">
        <v>4637</v>
      </c>
      <c r="H1242" s="3" t="s">
        <v>5014</v>
      </c>
      <c r="I1242" s="3" t="s">
        <v>20</v>
      </c>
      <c r="J1242" s="3">
        <v>10.19</v>
      </c>
      <c r="K1242" s="3" t="s">
        <v>21</v>
      </c>
      <c r="L1242" s="3" t="s">
        <v>5024</v>
      </c>
      <c r="M1242" s="3" t="s">
        <v>5016</v>
      </c>
      <c r="N1242" s="6" t="str">
        <f>HYPERLINK("C:\Users\alexa\YandexDisk\Книги\ИИ\Компьютерное зрение\Computer.Vision.Projects.with.PyTorch.pdf","Computer.Vision.Projects.with.PyTorch.pdf")</f>
        <v>Computer.Vision.Projects.with.PyTorch.pdf</v>
      </c>
      <c r="O1242" s="3" t="s">
        <v>5025</v>
      </c>
    </row>
    <row r="1243" spans="1:15" ht="179.4" x14ac:dyDescent="0.3">
      <c r="A1243" s="4">
        <v>1242</v>
      </c>
      <c r="B1243" s="5" t="s">
        <v>5026</v>
      </c>
      <c r="C1243" s="5" t="s">
        <v>5027</v>
      </c>
      <c r="D1243" s="5" t="s">
        <v>71</v>
      </c>
      <c r="E1243" s="5" t="s">
        <v>227</v>
      </c>
      <c r="F1243" s="5" t="s">
        <v>5013</v>
      </c>
      <c r="G1243" s="5" t="s">
        <v>4637</v>
      </c>
      <c r="H1243" s="5" t="s">
        <v>5014</v>
      </c>
      <c r="I1243" s="5" t="s">
        <v>20</v>
      </c>
      <c r="J1243" s="5">
        <v>8.8000000000000007</v>
      </c>
      <c r="K1243" s="5" t="s">
        <v>21</v>
      </c>
      <c r="L1243" s="5" t="s">
        <v>5028</v>
      </c>
      <c r="M1243" s="5" t="s">
        <v>5016</v>
      </c>
      <c r="N1243" s="7" t="str">
        <f>HYPERLINK("C:\Users\alexa\YandexDisk\Книги\ИИ\Компьютерное зрение\Computer_Vision_and_Augmented_Reality_in_iOS_OpenCV_and_ARKit_Applications.pdf","Computer_Vision_and_Augmented_Reality_in_iOS_OpenCV_and_ARKit_Applications.pdf")</f>
        <v>Computer_Vision_and_Augmented_Reality_in_iOS_OpenCV_and_ARKit_Applications.pdf</v>
      </c>
      <c r="O1243" s="5" t="s">
        <v>5029</v>
      </c>
    </row>
    <row r="1244" spans="1:15" ht="179.4" x14ac:dyDescent="0.3">
      <c r="A1244" s="2">
        <v>1243</v>
      </c>
      <c r="B1244" s="3" t="s">
        <v>5030</v>
      </c>
      <c r="C1244" s="3" t="s">
        <v>5031</v>
      </c>
      <c r="D1244" s="3" t="s">
        <v>109</v>
      </c>
      <c r="E1244" s="3" t="s">
        <v>1267</v>
      </c>
      <c r="F1244" s="3" t="s">
        <v>5013</v>
      </c>
      <c r="G1244" s="3" t="s">
        <v>4637</v>
      </c>
      <c r="H1244" s="3" t="s">
        <v>5014</v>
      </c>
      <c r="I1244" s="3" t="s">
        <v>20</v>
      </c>
      <c r="J1244" s="3">
        <v>22.64</v>
      </c>
      <c r="K1244" s="3" t="s">
        <v>21</v>
      </c>
      <c r="L1244" s="3" t="s">
        <v>5032</v>
      </c>
      <c r="M1244" s="3" t="s">
        <v>5016</v>
      </c>
      <c r="N1244" s="6" t="str">
        <f>HYPERLINK("C:\Users\alexa\YandexDisk\Книги\ИИ\Компьютерное зрение\Deep Learning for Medical Image.pdf","Deep Learning for Medical Image.pdf")</f>
        <v>Deep Learning for Medical Image.pdf</v>
      </c>
      <c r="O1244" s="3" t="s">
        <v>5033</v>
      </c>
    </row>
    <row r="1245" spans="1:15" ht="151.80000000000001" x14ac:dyDescent="0.3">
      <c r="A1245" s="4">
        <v>1244</v>
      </c>
      <c r="B1245" s="5" t="s">
        <v>5034</v>
      </c>
      <c r="C1245" s="5" t="s">
        <v>5035</v>
      </c>
      <c r="D1245" s="5" t="s">
        <v>59</v>
      </c>
      <c r="E1245" s="5" t="s">
        <v>536</v>
      </c>
      <c r="F1245" s="5" t="s">
        <v>5013</v>
      </c>
      <c r="G1245" s="5" t="s">
        <v>4637</v>
      </c>
      <c r="H1245" s="5" t="s">
        <v>5014</v>
      </c>
      <c r="I1245" s="5" t="s">
        <v>20</v>
      </c>
      <c r="J1245" s="5">
        <v>15.76</v>
      </c>
      <c r="K1245" s="5" t="s">
        <v>21</v>
      </c>
      <c r="L1245" s="5" t="s">
        <v>5036</v>
      </c>
      <c r="M1245" s="5" t="s">
        <v>5016</v>
      </c>
      <c r="N1245" s="7" t="str">
        <f>HYPERLINK("C:\Users\alexa\YandexDisk\Книги\ИИ\Компьютерное зрение\Deep_Learning_for_Vision_Systems 2020.pdf","Deep_Learning_for_Vision_Systems 2020.pdf")</f>
        <v>Deep_Learning_for_Vision_Systems 2020.pdf</v>
      </c>
      <c r="O1245" s="5" t="s">
        <v>5037</v>
      </c>
    </row>
    <row r="1246" spans="1:15" ht="179.4" x14ac:dyDescent="0.3">
      <c r="A1246" s="2">
        <v>1245</v>
      </c>
      <c r="B1246" s="3" t="s">
        <v>5038</v>
      </c>
      <c r="C1246" s="3" t="s">
        <v>5039</v>
      </c>
      <c r="D1246" s="3"/>
      <c r="E1246" s="3"/>
      <c r="F1246" s="3" t="s">
        <v>5013</v>
      </c>
      <c r="G1246" s="3" t="s">
        <v>4637</v>
      </c>
      <c r="H1246" s="3" t="s">
        <v>5014</v>
      </c>
      <c r="I1246" s="3" t="s">
        <v>20</v>
      </c>
      <c r="J1246" s="3">
        <v>35.47</v>
      </c>
      <c r="K1246" s="3" t="s">
        <v>21</v>
      </c>
      <c r="L1246" s="3" t="s">
        <v>5040</v>
      </c>
      <c r="M1246" s="3" t="s">
        <v>5016</v>
      </c>
      <c r="N1246" s="6" t="str">
        <f>HYPERLINK("C:\Users\alexa\YandexDisk\Книги\ИИ\Компьютерное зрение\Object_Detection_with_Deep_Learning_Models.pdf","Object_Detection_with_Deep_Learning_Models.pdf")</f>
        <v>Object_Detection_with_Deep_Learning_Models.pdf</v>
      </c>
      <c r="O1246" s="3" t="s">
        <v>5041</v>
      </c>
    </row>
    <row r="1247" spans="1:15" ht="124.2" x14ac:dyDescent="0.3">
      <c r="A1247" s="4">
        <v>1246</v>
      </c>
      <c r="B1247" s="5" t="s">
        <v>5042</v>
      </c>
      <c r="C1247" s="5" t="s">
        <v>3561</v>
      </c>
      <c r="D1247" s="5" t="s">
        <v>32</v>
      </c>
      <c r="E1247" s="5" t="s">
        <v>402</v>
      </c>
      <c r="F1247" s="5" t="s">
        <v>5013</v>
      </c>
      <c r="G1247" s="5" t="s">
        <v>4637</v>
      </c>
      <c r="H1247" s="5" t="s">
        <v>5014</v>
      </c>
      <c r="I1247" s="5" t="s">
        <v>20</v>
      </c>
      <c r="J1247" s="5">
        <v>4.29</v>
      </c>
      <c r="K1247" s="5" t="s">
        <v>21</v>
      </c>
      <c r="L1247" s="5" t="s">
        <v>5043</v>
      </c>
      <c r="M1247" s="5" t="s">
        <v>5016</v>
      </c>
      <c r="N1247" s="7" t="str">
        <f>HYPERLINK("C:\Users\alexa\YandexDisk\Книги\ИИ\Компьютерное зрение\OpenCV и Java.pdf","OpenCV и Java.pdf")</f>
        <v>OpenCV и Java.pdf</v>
      </c>
      <c r="O1247" s="5" t="s">
        <v>5044</v>
      </c>
    </row>
    <row r="1248" spans="1:15" ht="207" x14ac:dyDescent="0.3">
      <c r="A1248" s="2">
        <v>1247</v>
      </c>
      <c r="B1248" s="3" t="s">
        <v>5045</v>
      </c>
      <c r="C1248" s="3" t="s">
        <v>5046</v>
      </c>
      <c r="D1248" s="3"/>
      <c r="E1248" s="3"/>
      <c r="F1248" s="3" t="s">
        <v>5013</v>
      </c>
      <c r="G1248" s="3" t="s">
        <v>4637</v>
      </c>
      <c r="H1248" s="3" t="s">
        <v>5014</v>
      </c>
      <c r="I1248" s="3" t="s">
        <v>20</v>
      </c>
      <c r="J1248" s="3">
        <v>13.85</v>
      </c>
      <c r="K1248" s="3" t="s">
        <v>21</v>
      </c>
      <c r="L1248" s="3" t="s">
        <v>5047</v>
      </c>
      <c r="M1248" s="3" t="s">
        <v>5016</v>
      </c>
      <c r="N1248" s="6" t="str">
        <f>HYPERLINK("C:\Users\alexa\YandexDisk\Книги\ИИ\Компьютерное зрение\Python.with.OpenCV3.Computer.Vision.Course.for.Beginners.pdf","Python.with.OpenCV3.Computer.Vision.Course.for.Beginners.pdf")</f>
        <v>Python.with.OpenCV3.Computer.Vision.Course.for.Beginners.pdf</v>
      </c>
      <c r="O1248" s="3" t="s">
        <v>5048</v>
      </c>
    </row>
    <row r="1249" spans="1:15" ht="220.8" x14ac:dyDescent="0.3">
      <c r="A1249" s="4">
        <v>1248</v>
      </c>
      <c r="B1249" s="5" t="s">
        <v>5049</v>
      </c>
      <c r="C1249" s="5" t="s">
        <v>5050</v>
      </c>
      <c r="D1249" s="5" t="s">
        <v>71</v>
      </c>
      <c r="E1249" s="5" t="s">
        <v>102</v>
      </c>
      <c r="F1249" s="5" t="s">
        <v>5013</v>
      </c>
      <c r="G1249" s="5" t="s">
        <v>4637</v>
      </c>
      <c r="H1249" s="5" t="s">
        <v>5014</v>
      </c>
      <c r="I1249" s="5" t="s">
        <v>20</v>
      </c>
      <c r="J1249" s="5">
        <v>16.54</v>
      </c>
      <c r="K1249" s="5" t="s">
        <v>21</v>
      </c>
      <c r="L1249" s="5" t="s">
        <v>5051</v>
      </c>
      <c r="M1249" s="5" t="s">
        <v>5016</v>
      </c>
      <c r="N1249" s="7" t="str">
        <f>HYPERLINK("C:\Users\alexa\YandexDisk\Книги\ИИ\Компьютерное зрение\Биологическое_и_компьютерное_зрение_2022_Крейман_Гэбриел.pdf","Биологическое_и_компьютерное_зрение_2022_Крейман_Гэбриел.pdf")</f>
        <v>Биологическое_и_компьютерное_зрение_2022_Крейман_Гэбриел.pdf</v>
      </c>
      <c r="O1249" s="5" t="s">
        <v>5052</v>
      </c>
    </row>
    <row r="1250" spans="1:15" ht="151.80000000000001" x14ac:dyDescent="0.3">
      <c r="A1250" s="2">
        <v>1249</v>
      </c>
      <c r="B1250" s="3" t="s">
        <v>5053</v>
      </c>
      <c r="C1250" s="3" t="s">
        <v>5054</v>
      </c>
      <c r="D1250" s="3" t="s">
        <v>50</v>
      </c>
      <c r="E1250" s="3" t="s">
        <v>442</v>
      </c>
      <c r="F1250" s="3" t="s">
        <v>5013</v>
      </c>
      <c r="G1250" s="3" t="s">
        <v>4637</v>
      </c>
      <c r="H1250" s="3" t="s">
        <v>5014</v>
      </c>
      <c r="I1250" s="3" t="s">
        <v>20</v>
      </c>
      <c r="J1250" s="3">
        <v>27.84</v>
      </c>
      <c r="K1250" s="3" t="s">
        <v>21</v>
      </c>
      <c r="L1250" s="3" t="s">
        <v>5055</v>
      </c>
      <c r="M1250" s="3" t="s">
        <v>5016</v>
      </c>
      <c r="N1250" s="6" t="str">
        <f>HYPERLINK("C:\Users\alexa\YandexDisk\Книги\ИИ\Компьютерное зрение\Изучаем OpenCV.pdf","Изучаем OpenCV.pdf")</f>
        <v>Изучаем OpenCV.pdf</v>
      </c>
      <c r="O1250" s="3" t="s">
        <v>5056</v>
      </c>
    </row>
    <row r="1251" spans="1:15" ht="179.4" x14ac:dyDescent="0.3">
      <c r="A1251" s="4">
        <v>1250</v>
      </c>
      <c r="B1251" s="5" t="s">
        <v>5057</v>
      </c>
      <c r="C1251" s="5" t="s">
        <v>5058</v>
      </c>
      <c r="D1251" s="5" t="s">
        <v>27</v>
      </c>
      <c r="E1251" s="5" t="s">
        <v>18</v>
      </c>
      <c r="F1251" s="5" t="s">
        <v>5013</v>
      </c>
      <c r="G1251" s="5" t="s">
        <v>4637</v>
      </c>
      <c r="H1251" s="5" t="s">
        <v>5014</v>
      </c>
      <c r="I1251" s="5" t="s">
        <v>20</v>
      </c>
      <c r="J1251" s="5">
        <v>18.32</v>
      </c>
      <c r="K1251" s="5" t="s">
        <v>21</v>
      </c>
      <c r="L1251" s="5" t="s">
        <v>5059</v>
      </c>
      <c r="M1251" s="5" t="s">
        <v>5016</v>
      </c>
      <c r="N1251" s="7" t="str">
        <f>HYPERLINK("C:\Users\alexa\YandexDisk\Книги\ИИ\Компьютерное зрение\ИИ и компьютерное зрение 2023.pdf","ИИ и компьютерное зрение 2023.pdf")</f>
        <v>ИИ и компьютерное зрение 2023.pdf</v>
      </c>
      <c r="O1251" s="5" t="s">
        <v>5060</v>
      </c>
    </row>
    <row r="1252" spans="1:15" ht="207" x14ac:dyDescent="0.3">
      <c r="A1252" s="2">
        <v>1251</v>
      </c>
      <c r="B1252" s="3" t="s">
        <v>5061</v>
      </c>
      <c r="C1252" s="3" t="s">
        <v>5062</v>
      </c>
      <c r="D1252" s="3" t="s">
        <v>17</v>
      </c>
      <c r="E1252" s="3" t="s">
        <v>726</v>
      </c>
      <c r="F1252" s="3" t="s">
        <v>5013</v>
      </c>
      <c r="G1252" s="3" t="s">
        <v>4637</v>
      </c>
      <c r="H1252" s="3" t="s">
        <v>5014</v>
      </c>
      <c r="I1252" s="3" t="s">
        <v>20</v>
      </c>
      <c r="J1252" s="3">
        <v>7.7</v>
      </c>
      <c r="K1252" s="3" t="s">
        <v>21</v>
      </c>
      <c r="L1252" s="3" t="s">
        <v>5063</v>
      </c>
      <c r="M1252" s="3" t="s">
        <v>5016</v>
      </c>
      <c r="N1252" s="6" t="str">
        <f>HYPERLINK("C:\Users\alexa\YandexDisk\Книги\ИИ\Компьютерное зрение\Компьютерное_зрение_на_Python_первые_шаги.pdf","Компьютерное_зрение_на_Python_первые_шаги.pdf")</f>
        <v>Компьютерное_зрение_на_Python_первые_шаги.pdf</v>
      </c>
      <c r="O1252" s="3" t="s">
        <v>5064</v>
      </c>
    </row>
    <row r="1253" spans="1:15" ht="179.4" x14ac:dyDescent="0.3">
      <c r="A1253" s="4">
        <v>1252</v>
      </c>
      <c r="B1253" s="5" t="s">
        <v>5065</v>
      </c>
      <c r="C1253" s="5" t="s">
        <v>5066</v>
      </c>
      <c r="D1253" s="5" t="s">
        <v>71</v>
      </c>
      <c r="E1253" s="5" t="s">
        <v>1267</v>
      </c>
      <c r="F1253" s="5" t="s">
        <v>5013</v>
      </c>
      <c r="G1253" s="5" t="s">
        <v>4637</v>
      </c>
      <c r="H1253" s="5" t="s">
        <v>5014</v>
      </c>
      <c r="I1253" s="5" t="s">
        <v>20</v>
      </c>
      <c r="J1253" s="5">
        <v>47.84</v>
      </c>
      <c r="K1253" s="5" t="s">
        <v>21</v>
      </c>
      <c r="L1253" s="5" t="s">
        <v>5067</v>
      </c>
      <c r="M1253" s="5" t="s">
        <v>5016</v>
      </c>
      <c r="N1253" s="7" t="str">
        <f>HYPERLINK("C:\Users\alexa\YandexDisk\Книги\ИИ\Компьютерное зрение\Компьютерное_зрение_Передовые_методы_и_DL.pdf","Компьютерное_зрение_Передовые_методы_и_DL.pdf")</f>
        <v>Компьютерное_зрение_Передовые_методы_и_DL.pdf</v>
      </c>
      <c r="O1253" s="5" t="s">
        <v>5068</v>
      </c>
    </row>
    <row r="1254" spans="1:15" ht="124.2" x14ac:dyDescent="0.3">
      <c r="A1254" s="2">
        <v>1253</v>
      </c>
      <c r="B1254" s="3" t="s">
        <v>5069</v>
      </c>
      <c r="C1254" s="3"/>
      <c r="D1254" s="3"/>
      <c r="E1254" s="3"/>
      <c r="F1254" s="3" t="s">
        <v>5013</v>
      </c>
      <c r="G1254" s="3" t="s">
        <v>4637</v>
      </c>
      <c r="H1254" s="3" t="s">
        <v>5014</v>
      </c>
      <c r="I1254" s="3" t="s">
        <v>20</v>
      </c>
      <c r="J1254" s="3">
        <v>97.77</v>
      </c>
      <c r="K1254" s="3" t="s">
        <v>21</v>
      </c>
      <c r="L1254" s="3" t="s">
        <v>5070</v>
      </c>
      <c r="M1254" s="3" t="s">
        <v>5016</v>
      </c>
      <c r="N1254" s="6" t="str">
        <f>HYPERLINK("C:\Users\alexa\YandexDisk\Книги\ИИ\Компьютерное зрение\Компьютерное_зрение_Теория_и_алгоритмы.pdf","Компьютерное_зрение_Теория_и_алгоритмы.pdf")</f>
        <v>Компьютерное_зрение_Теория_и_алгоритмы.pdf</v>
      </c>
      <c r="O1254" s="3" t="s">
        <v>5071</v>
      </c>
    </row>
    <row r="1255" spans="1:15" ht="179.4" x14ac:dyDescent="0.3">
      <c r="A1255" s="4">
        <v>1254</v>
      </c>
      <c r="B1255" s="5" t="s">
        <v>5072</v>
      </c>
      <c r="C1255" s="5" t="s">
        <v>5073</v>
      </c>
      <c r="D1255" s="5"/>
      <c r="E1255" s="5"/>
      <c r="F1255" s="5" t="s">
        <v>5013</v>
      </c>
      <c r="G1255" s="5" t="s">
        <v>4637</v>
      </c>
      <c r="H1255" s="5" t="s">
        <v>5014</v>
      </c>
      <c r="I1255" s="5" t="s">
        <v>20</v>
      </c>
      <c r="J1255" s="5">
        <v>12.83</v>
      </c>
      <c r="K1255" s="5" t="s">
        <v>21</v>
      </c>
      <c r="L1255" s="5" t="s">
        <v>5074</v>
      </c>
      <c r="M1255" s="5" t="s">
        <v>5016</v>
      </c>
      <c r="N1255" s="7" t="str">
        <f>HYPERLINK("C:\Users\alexa\YandexDisk\Книги\ИИ\Компьютерное зрение\Паджанкар_Э_Программирование_компьютерного_зрения_Raspberry_Pi,.pdf","Паджанкар_Э_Программирование_компьютерного_зрения_Raspberry_Pi,.pdf")</f>
        <v>Паджанкар_Э_Программирование_компьютерного_зрения_Raspberry_Pi,.pdf</v>
      </c>
      <c r="O1255" s="5" t="s">
        <v>5075</v>
      </c>
    </row>
    <row r="1256" spans="1:15" ht="138" x14ac:dyDescent="0.3">
      <c r="A1256" s="2">
        <v>1255</v>
      </c>
      <c r="B1256" s="3" t="s">
        <v>5076</v>
      </c>
      <c r="C1256" s="3" t="s">
        <v>5077</v>
      </c>
      <c r="D1256" s="3" t="s">
        <v>71</v>
      </c>
      <c r="E1256" s="3" t="s">
        <v>5078</v>
      </c>
      <c r="F1256" s="3" t="s">
        <v>5013</v>
      </c>
      <c r="G1256" s="3" t="s">
        <v>4637</v>
      </c>
      <c r="H1256" s="3" t="s">
        <v>5014</v>
      </c>
      <c r="I1256" s="3" t="s">
        <v>20</v>
      </c>
      <c r="J1256" s="3">
        <v>12.45</v>
      </c>
      <c r="K1256" s="3" t="s">
        <v>21</v>
      </c>
      <c r="L1256" s="3" t="s">
        <v>5079</v>
      </c>
      <c r="M1256" s="3" t="s">
        <v>5016</v>
      </c>
      <c r="N1256" s="6" t="str">
        <f>HYPERLINK("C:\Users\alexa\YandexDisk\Книги\ИИ\Компьютерное зрение\Применение функций OpenCV  60 примеров.pdf","Применение функций OpenCV  60 примеров.pdf")</f>
        <v>Применение функций OpenCV  60 примеров.pdf</v>
      </c>
      <c r="O1256" s="3" t="s">
        <v>5080</v>
      </c>
    </row>
    <row r="1257" spans="1:15" ht="151.80000000000001" x14ac:dyDescent="0.3">
      <c r="A1257" s="4">
        <v>1256</v>
      </c>
      <c r="B1257" s="5" t="s">
        <v>5069</v>
      </c>
      <c r="C1257" s="5" t="s">
        <v>5081</v>
      </c>
      <c r="D1257" s="5" t="s">
        <v>77</v>
      </c>
      <c r="E1257" s="5"/>
      <c r="F1257" s="5" t="s">
        <v>5013</v>
      </c>
      <c r="G1257" s="5" t="s">
        <v>4637</v>
      </c>
      <c r="H1257" s="5" t="s">
        <v>5014</v>
      </c>
      <c r="I1257" s="5" t="s">
        <v>721</v>
      </c>
      <c r="J1257" s="5">
        <v>47.63</v>
      </c>
      <c r="K1257" s="5" t="s">
        <v>21</v>
      </c>
      <c r="L1257" s="5" t="s">
        <v>5082</v>
      </c>
      <c r="M1257" s="5" t="s">
        <v>5016</v>
      </c>
      <c r="N1257" s="7" t="str">
        <f>HYPERLINK("C:\Users\alexa\YandexDisk\Книги\ИИ\Компьютерное зрение\Рейнхард_Клетте_Компьютерное_зрение_Теория_и_алгоритмы 2019.djvu","Рейнхард_Клетте_Компьютерное_зрение_Теория_и_алгоритмы 2019.djvu")</f>
        <v>Рейнхард_Клетте_Компьютерное_зрение_Теория_и_алгоритмы 2019.djvu</v>
      </c>
      <c r="O1257" s="5" t="s">
        <v>5083</v>
      </c>
    </row>
    <row r="1258" spans="1:15" ht="151.80000000000001" x14ac:dyDescent="0.3">
      <c r="A1258" s="2">
        <v>1257</v>
      </c>
      <c r="B1258" s="3" t="s">
        <v>5084</v>
      </c>
      <c r="C1258" s="3" t="s">
        <v>5085</v>
      </c>
      <c r="D1258" s="3" t="s">
        <v>32</v>
      </c>
      <c r="E1258" s="3" t="s">
        <v>5086</v>
      </c>
      <c r="F1258" s="3" t="s">
        <v>5013</v>
      </c>
      <c r="G1258" s="3" t="s">
        <v>4637</v>
      </c>
      <c r="H1258" s="3" t="s">
        <v>5014</v>
      </c>
      <c r="I1258" s="3" t="s">
        <v>20</v>
      </c>
      <c r="J1258" s="3">
        <v>57.29</v>
      </c>
      <c r="K1258" s="3" t="s">
        <v>21</v>
      </c>
      <c r="L1258" s="3" t="s">
        <v>5087</v>
      </c>
      <c r="M1258" s="3" t="s">
        <v>5016</v>
      </c>
      <c r="N1258" s="6" t="str">
        <f>HYPERLINK("C:\Users\alexa\YandexDisk\Книги\ИИ\Компьютерное зрение\Системы распознавания образов.pdf","Системы распознавания образов.pdf")</f>
        <v>Системы распознавания образов.pdf</v>
      </c>
      <c r="O1258" s="3" t="s">
        <v>5088</v>
      </c>
    </row>
    <row r="1259" spans="1:15" ht="207" x14ac:dyDescent="0.3">
      <c r="A1259" s="4">
        <v>1258</v>
      </c>
      <c r="B1259" s="5" t="s">
        <v>5089</v>
      </c>
      <c r="C1259" s="5" t="s">
        <v>5090</v>
      </c>
      <c r="D1259" s="5" t="s">
        <v>27</v>
      </c>
      <c r="E1259" s="5" t="s">
        <v>1421</v>
      </c>
      <c r="F1259" s="5" t="s">
        <v>5013</v>
      </c>
      <c r="G1259" s="5" t="s">
        <v>4637</v>
      </c>
      <c r="H1259" s="5" t="s">
        <v>5014</v>
      </c>
      <c r="I1259" s="5" t="s">
        <v>20</v>
      </c>
      <c r="J1259" s="5">
        <v>5.73</v>
      </c>
      <c r="K1259" s="5" t="s">
        <v>21</v>
      </c>
      <c r="L1259" s="5" t="s">
        <v>5091</v>
      </c>
      <c r="M1259" s="5" t="s">
        <v>5016</v>
      </c>
      <c r="N1259" s="7" t="str">
        <f>HYPERLINK("C:\Users\alexa\YandexDisk\Книги\ИИ\Компьютерное зрение\Системы технического зрения в задачах обнаружения, измерения, управления.pdf","Системы технического зрения в задачах обнаружения, измерения, управления.pdf")</f>
        <v>Системы технического зрения в задачах обнаружения, измерения, управления.pdf</v>
      </c>
      <c r="O1259" s="5" t="s">
        <v>5092</v>
      </c>
    </row>
    <row r="1260" spans="1:15" ht="165.6" x14ac:dyDescent="0.3">
      <c r="A1260" s="2">
        <v>1259</v>
      </c>
      <c r="B1260" s="3" t="s">
        <v>5093</v>
      </c>
      <c r="C1260" s="3" t="s">
        <v>5094</v>
      </c>
      <c r="D1260" s="3" t="s">
        <v>77</v>
      </c>
      <c r="E1260" s="3" t="s">
        <v>5095</v>
      </c>
      <c r="F1260" s="3" t="s">
        <v>5013</v>
      </c>
      <c r="G1260" s="3" t="s">
        <v>4637</v>
      </c>
      <c r="H1260" s="3" t="s">
        <v>5014</v>
      </c>
      <c r="I1260" s="3" t="s">
        <v>20</v>
      </c>
      <c r="J1260" s="3">
        <v>32.17</v>
      </c>
      <c r="K1260" s="3" t="s">
        <v>21</v>
      </c>
      <c r="L1260" s="3" t="s">
        <v>5096</v>
      </c>
      <c r="M1260" s="3" t="s">
        <v>5016</v>
      </c>
      <c r="N1260" s="6" t="str">
        <f>HYPERLINK("C:\Users\alexa\YandexDisk\Книги\ИИ\Компьютерное зрение\Цифровая обработка изображений  Java и OpenCV 2019.pdf","Цифровая обработка изображений  Java и OpenCV 2019.pdf")</f>
        <v>Цифровая обработка изображений  Java и OpenCV 2019.pdf</v>
      </c>
      <c r="O1260" s="3" t="s">
        <v>5097</v>
      </c>
    </row>
    <row r="1261" spans="1:15" ht="151.80000000000001" x14ac:dyDescent="0.3">
      <c r="A1261" s="4">
        <v>1260</v>
      </c>
      <c r="B1261" s="5" t="s">
        <v>5098</v>
      </c>
      <c r="C1261" s="5" t="s">
        <v>5099</v>
      </c>
      <c r="D1261" s="5" t="s">
        <v>27</v>
      </c>
      <c r="E1261" s="5" t="s">
        <v>102</v>
      </c>
      <c r="F1261" s="5" t="s">
        <v>5100</v>
      </c>
      <c r="G1261" s="5" t="s">
        <v>4637</v>
      </c>
      <c r="H1261" s="5" t="s">
        <v>5101</v>
      </c>
      <c r="I1261" s="5" t="s">
        <v>20</v>
      </c>
      <c r="J1261" s="5">
        <v>3.5</v>
      </c>
      <c r="K1261" s="5" t="s">
        <v>21</v>
      </c>
      <c r="L1261" s="5" t="s">
        <v>5102</v>
      </c>
      <c r="M1261" s="5" t="s">
        <v>5103</v>
      </c>
      <c r="N1261" s="7" t="str">
        <f>HYPERLINK("C:\Users\alexa\YandexDisk\Книги\ИИ\Модели ИИ\!GPT 3.pdf","!GPT 3.pdf")</f>
        <v>!GPT 3.pdf</v>
      </c>
      <c r="O1261" s="5" t="s">
        <v>5104</v>
      </c>
    </row>
    <row r="1262" spans="1:15" ht="151.80000000000001" x14ac:dyDescent="0.3">
      <c r="A1262" s="2">
        <v>1261</v>
      </c>
      <c r="B1262" s="3" t="s">
        <v>5105</v>
      </c>
      <c r="C1262" s="3" t="s">
        <v>5106</v>
      </c>
      <c r="D1262" s="3" t="s">
        <v>335</v>
      </c>
      <c r="E1262" s="3" t="s">
        <v>102</v>
      </c>
      <c r="F1262" s="3" t="s">
        <v>5100</v>
      </c>
      <c r="G1262" s="3" t="s">
        <v>4637</v>
      </c>
      <c r="H1262" s="3" t="s">
        <v>5101</v>
      </c>
      <c r="I1262" s="3" t="s">
        <v>20</v>
      </c>
      <c r="J1262" s="3">
        <v>13.61</v>
      </c>
      <c r="K1262" s="3" t="s">
        <v>21</v>
      </c>
      <c r="L1262" s="3" t="s">
        <v>5107</v>
      </c>
      <c r="M1262" s="3" t="s">
        <v>5103</v>
      </c>
      <c r="N1262" s="6" t="str">
        <f>HYPERLINK("C:\Users\alexa\YandexDisk\Книги\ИИ\Модели ИИ\DeepSeek на практике.pdf","DeepSeek на практике.pdf")</f>
        <v>DeepSeek на практике.pdf</v>
      </c>
      <c r="O1262" s="3" t="s">
        <v>5108</v>
      </c>
    </row>
    <row r="1263" spans="1:15" ht="220.8" x14ac:dyDescent="0.3">
      <c r="A1263" s="4">
        <v>1262</v>
      </c>
      <c r="B1263" s="5" t="s">
        <v>5098</v>
      </c>
      <c r="C1263" s="5" t="s">
        <v>5099</v>
      </c>
      <c r="D1263" s="5" t="s">
        <v>27</v>
      </c>
      <c r="E1263" s="5" t="s">
        <v>102</v>
      </c>
      <c r="F1263" s="5" t="s">
        <v>5100</v>
      </c>
      <c r="G1263" s="5" t="s">
        <v>4637</v>
      </c>
      <c r="H1263" s="5" t="s">
        <v>5101</v>
      </c>
      <c r="I1263" s="5" t="s">
        <v>20</v>
      </c>
      <c r="J1263" s="5">
        <v>3.5</v>
      </c>
      <c r="K1263" s="5" t="s">
        <v>21</v>
      </c>
      <c r="L1263" s="5" t="s">
        <v>5109</v>
      </c>
      <c r="M1263" s="5" t="s">
        <v>5103</v>
      </c>
      <c r="N1263" s="7" t="str">
        <f>HYPERLINK("C:\Users\alexa\YandexDisk\Книги\ИИ\Модели ИИ\GPT_3.pdf","GPT_3.pdf")</f>
        <v>GPT_3.pdf</v>
      </c>
      <c r="O1263" s="5" t="s">
        <v>5110</v>
      </c>
    </row>
    <row r="1264" spans="1:15" ht="151.80000000000001" x14ac:dyDescent="0.3">
      <c r="A1264" s="2">
        <v>1263</v>
      </c>
      <c r="B1264" s="3" t="s">
        <v>5111</v>
      </c>
      <c r="C1264" s="3" t="s">
        <v>5112</v>
      </c>
      <c r="D1264" s="3" t="s">
        <v>59</v>
      </c>
      <c r="E1264" s="3" t="s">
        <v>536</v>
      </c>
      <c r="F1264" s="3" t="s">
        <v>5100</v>
      </c>
      <c r="G1264" s="3" t="s">
        <v>4637</v>
      </c>
      <c r="H1264" s="3" t="s">
        <v>5101</v>
      </c>
      <c r="I1264" s="3" t="s">
        <v>20</v>
      </c>
      <c r="J1264" s="3">
        <v>5.45</v>
      </c>
      <c r="K1264" s="3" t="s">
        <v>21</v>
      </c>
      <c r="L1264" s="3" t="s">
        <v>5113</v>
      </c>
      <c r="M1264" s="3" t="s">
        <v>5103</v>
      </c>
      <c r="N1264" s="6" t="str">
        <f>HYPERLINK("C:\Users\alexa\YandexDisk\Книги\ИИ\Модели ИИ\Graph Neural Networks in Action.pdf","Graph Neural Networks in Action.pdf")</f>
        <v>Graph Neural Networks in Action.pdf</v>
      </c>
      <c r="O1264" s="3" t="s">
        <v>5114</v>
      </c>
    </row>
    <row r="1265" spans="1:15" ht="207" x14ac:dyDescent="0.3">
      <c r="A1265" s="4">
        <v>1264</v>
      </c>
      <c r="B1265" s="5" t="s">
        <v>5115</v>
      </c>
      <c r="C1265" s="5"/>
      <c r="D1265" s="5" t="s">
        <v>27</v>
      </c>
      <c r="E1265" s="5" t="s">
        <v>5116</v>
      </c>
      <c r="F1265" s="5" t="s">
        <v>5100</v>
      </c>
      <c r="G1265" s="5" t="s">
        <v>4637</v>
      </c>
      <c r="H1265" s="5" t="s">
        <v>5101</v>
      </c>
      <c r="I1265" s="5" t="s">
        <v>20</v>
      </c>
      <c r="J1265" s="5">
        <v>39.15</v>
      </c>
      <c r="K1265" s="5" t="s">
        <v>21</v>
      </c>
      <c r="L1265" s="5" t="s">
        <v>5117</v>
      </c>
      <c r="M1265" s="5" t="s">
        <v>5103</v>
      </c>
      <c r="N1265" s="7" t="str">
        <f>HYPERLINK("C:\Users\alexa\YandexDisk\Книги\ИИ\Модели ИИ\Multimodal Deep Learning.pdf","Multimodal Deep Learning.pdf")</f>
        <v>Multimodal Deep Learning.pdf</v>
      </c>
      <c r="O1265" s="5" t="s">
        <v>5118</v>
      </c>
    </row>
    <row r="1266" spans="1:15" ht="179.4" x14ac:dyDescent="0.3">
      <c r="A1266" s="2">
        <v>1265</v>
      </c>
      <c r="B1266" s="3" t="s">
        <v>5119</v>
      </c>
      <c r="C1266" s="3" t="s">
        <v>5120</v>
      </c>
      <c r="D1266" s="3" t="s">
        <v>32</v>
      </c>
      <c r="E1266" s="3" t="s">
        <v>167</v>
      </c>
      <c r="F1266" s="3" t="s">
        <v>5100</v>
      </c>
      <c r="G1266" s="3" t="s">
        <v>4637</v>
      </c>
      <c r="H1266" s="3" t="s">
        <v>5101</v>
      </c>
      <c r="I1266" s="3" t="s">
        <v>20</v>
      </c>
      <c r="J1266" s="3">
        <v>2.58</v>
      </c>
      <c r="K1266" s="3" t="s">
        <v>21</v>
      </c>
      <c r="L1266" s="3" t="s">
        <v>5121</v>
      </c>
      <c r="M1266" s="3" t="s">
        <v>5103</v>
      </c>
      <c r="N1266" s="6" t="str">
        <f>HYPERLINK("C:\Users\alexa\YandexDisk\Книги\ИИ\Модели ИИ\Борисов_В_,_Круглов_В_,_Федулов_А_Нечеткие_модели_и_сети_2018.pdf","Борисов_В_,_Круглов_В_,_Федулов_А_Нечеткие_модели_и_сети_2018.pdf")</f>
        <v>Борисов_В_,_Круглов_В_,_Федулов_А_Нечеткие_модели_и_сети_2018.pdf</v>
      </c>
      <c r="O1266" s="3" t="s">
        <v>5122</v>
      </c>
    </row>
    <row r="1267" spans="1:15" ht="151.80000000000001" x14ac:dyDescent="0.3">
      <c r="A1267" s="4">
        <v>1266</v>
      </c>
      <c r="B1267" s="5" t="s">
        <v>5123</v>
      </c>
      <c r="C1267" s="5" t="s">
        <v>5124</v>
      </c>
      <c r="D1267" s="5" t="s">
        <v>71</v>
      </c>
      <c r="E1267" s="5" t="s">
        <v>102</v>
      </c>
      <c r="F1267" s="5" t="s">
        <v>5100</v>
      </c>
      <c r="G1267" s="5" t="s">
        <v>4637</v>
      </c>
      <c r="H1267" s="5" t="s">
        <v>5101</v>
      </c>
      <c r="I1267" s="5" t="s">
        <v>20</v>
      </c>
      <c r="J1267" s="5">
        <v>45.67</v>
      </c>
      <c r="K1267" s="5" t="s">
        <v>21</v>
      </c>
      <c r="L1267" s="5" t="s">
        <v>5125</v>
      </c>
      <c r="M1267" s="5" t="s">
        <v>5103</v>
      </c>
      <c r="N1267" s="7" t="str">
        <f>HYPERLINK("C:\Users\alexa\YandexDisk\Книги\ИИ\Модели ИИ\Объяснимые модели ИИ на Python 2022.pdf","Объяснимые модели ИИ на Python 2022.pdf")</f>
        <v>Объяснимые модели ИИ на Python 2022.pdf</v>
      </c>
      <c r="O1267" s="5" t="s">
        <v>5126</v>
      </c>
    </row>
    <row r="1268" spans="1:15" ht="207" x14ac:dyDescent="0.3">
      <c r="A1268" s="2">
        <v>1267</v>
      </c>
      <c r="B1268" s="3" t="s">
        <v>5127</v>
      </c>
      <c r="C1268" s="3" t="s">
        <v>5128</v>
      </c>
      <c r="D1268" s="3" t="s">
        <v>335</v>
      </c>
      <c r="E1268" s="3" t="s">
        <v>336</v>
      </c>
      <c r="F1268" s="3" t="s">
        <v>5100</v>
      </c>
      <c r="G1268" s="3" t="s">
        <v>4637</v>
      </c>
      <c r="H1268" s="3" t="s">
        <v>5101</v>
      </c>
      <c r="I1268" s="3" t="s">
        <v>20</v>
      </c>
      <c r="J1268" s="3">
        <v>7.94</v>
      </c>
      <c r="K1268" s="3" t="s">
        <v>21</v>
      </c>
      <c r="L1268" s="3" t="s">
        <v>5129</v>
      </c>
      <c r="M1268" s="3" t="s">
        <v>5103</v>
      </c>
      <c r="N1268" s="6" t="str">
        <f>HYPERLINK("C:\Users\alexa\YandexDisk\Книги\ИИ\Модели ИИ\Разработка_приложений на базе ChanGPT4.pdf","Разработка_приложений на базе ChanGPT4.pdf")</f>
        <v>Разработка_приложений на базе ChanGPT4.pdf</v>
      </c>
      <c r="O1268" s="3" t="s">
        <v>5130</v>
      </c>
    </row>
    <row r="1269" spans="1:15" ht="179.4" x14ac:dyDescent="0.3">
      <c r="A1269" s="4">
        <v>1268</v>
      </c>
      <c r="B1269" s="5" t="s">
        <v>5131</v>
      </c>
      <c r="C1269" s="5" t="s">
        <v>5132</v>
      </c>
      <c r="D1269" s="5" t="s">
        <v>600</v>
      </c>
      <c r="E1269" s="5" t="s">
        <v>102</v>
      </c>
      <c r="F1269" s="5" t="s">
        <v>5100</v>
      </c>
      <c r="G1269" s="5" t="s">
        <v>4637</v>
      </c>
      <c r="H1269" s="5" t="s">
        <v>5101</v>
      </c>
      <c r="I1269" s="5" t="s">
        <v>20</v>
      </c>
      <c r="J1269" s="5">
        <v>13.76</v>
      </c>
      <c r="K1269" s="5" t="s">
        <v>21</v>
      </c>
      <c r="L1269" s="5" t="s">
        <v>5133</v>
      </c>
      <c r="M1269" s="5" t="s">
        <v>5103</v>
      </c>
      <c r="N1269" s="7" t="str">
        <f>HYPERLINK("C:\Users\alexa\YandexDisk\Книги\ИИ\Модели ИИ\Рекомендательные системы на основе больших языковых моделей.pdf","Рекомендательные системы на основе больших языковых моделей.pdf")</f>
        <v>Рекомендательные системы на основе больших языковых моделей.pdf</v>
      </c>
      <c r="O1269" s="5" t="s">
        <v>5134</v>
      </c>
    </row>
    <row r="1270" spans="1:15" ht="165.6" x14ac:dyDescent="0.3">
      <c r="A1270" s="2">
        <v>1269</v>
      </c>
      <c r="B1270" s="3" t="s">
        <v>5135</v>
      </c>
      <c r="C1270" s="3" t="s">
        <v>5136</v>
      </c>
      <c r="D1270" s="3" t="s">
        <v>114</v>
      </c>
      <c r="E1270" s="3" t="s">
        <v>205</v>
      </c>
      <c r="F1270" s="3" t="s">
        <v>5137</v>
      </c>
      <c r="G1270" s="3" t="s">
        <v>4637</v>
      </c>
      <c r="H1270" s="3" t="s">
        <v>5138</v>
      </c>
      <c r="I1270" s="3" t="s">
        <v>20</v>
      </c>
      <c r="J1270" s="3">
        <v>5.35</v>
      </c>
      <c r="K1270" s="3" t="s">
        <v>21</v>
      </c>
      <c r="L1270" s="3" t="s">
        <v>5139</v>
      </c>
      <c r="M1270" s="3" t="s">
        <v>5140</v>
      </c>
      <c r="N1270" s="6" t="str">
        <f>HYPERLINK("C:\Users\alexa\YandexDisk\Книги\ИИ\Нейронные сети\Neural Network Programming with Java.pdf","Neural Network Programming with Java.pdf")</f>
        <v>Neural Network Programming with Java.pdf</v>
      </c>
      <c r="O1270" s="3" t="s">
        <v>5141</v>
      </c>
    </row>
    <row r="1271" spans="1:15" ht="165.6" x14ac:dyDescent="0.3">
      <c r="A1271" s="4">
        <v>1270</v>
      </c>
      <c r="B1271" s="5" t="s">
        <v>5142</v>
      </c>
      <c r="C1271" s="5" t="s">
        <v>5143</v>
      </c>
      <c r="D1271" s="5" t="s">
        <v>1565</v>
      </c>
      <c r="E1271" s="5"/>
      <c r="F1271" s="5" t="s">
        <v>5137</v>
      </c>
      <c r="G1271" s="5" t="s">
        <v>4637</v>
      </c>
      <c r="H1271" s="5" t="s">
        <v>5138</v>
      </c>
      <c r="I1271" s="5" t="s">
        <v>20</v>
      </c>
      <c r="J1271" s="5">
        <v>5.98</v>
      </c>
      <c r="K1271" s="5" t="s">
        <v>21</v>
      </c>
      <c r="L1271" s="5" t="s">
        <v>5144</v>
      </c>
      <c r="M1271" s="5" t="s">
        <v>5140</v>
      </c>
      <c r="N1271" s="7" t="str">
        <f>HYPERLINK("C:\Users\alexa\YandexDisk\Книги\ИИ\Нейронные сети\Neuro NetWork.pdf","Neuro NetWork.pdf")</f>
        <v>Neuro NetWork.pdf</v>
      </c>
      <c r="O1271" s="5" t="s">
        <v>5145</v>
      </c>
    </row>
    <row r="1272" spans="1:15" ht="179.4" x14ac:dyDescent="0.3">
      <c r="A1272" s="2">
        <v>1271</v>
      </c>
      <c r="B1272" s="3" t="s">
        <v>5146</v>
      </c>
      <c r="C1272" s="3" t="s">
        <v>5147</v>
      </c>
      <c r="D1272" s="3" t="s">
        <v>161</v>
      </c>
      <c r="E1272" s="3" t="s">
        <v>5148</v>
      </c>
      <c r="F1272" s="3" t="s">
        <v>5137</v>
      </c>
      <c r="G1272" s="3" t="s">
        <v>4637</v>
      </c>
      <c r="H1272" s="3" t="s">
        <v>5138</v>
      </c>
      <c r="I1272" s="3" t="s">
        <v>20</v>
      </c>
      <c r="J1272" s="3">
        <v>4.17</v>
      </c>
      <c r="K1272" s="3" t="s">
        <v>21</v>
      </c>
      <c r="L1272" s="3" t="s">
        <v>5149</v>
      </c>
      <c r="M1272" s="3" t="s">
        <v>5140</v>
      </c>
      <c r="N1272" s="6" t="str">
        <f>HYPERLINK("C:\Users\alexa\YandexDisk\Книги\ИИ\Нейронные сети\Барский Нейронные сети 2004.pdf","Барский Нейронные сети 2004.pdf")</f>
        <v>Барский Нейронные сети 2004.pdf</v>
      </c>
      <c r="O1272" s="3" t="s">
        <v>5150</v>
      </c>
    </row>
    <row r="1273" spans="1:15" ht="179.4" x14ac:dyDescent="0.3">
      <c r="A1273" s="4">
        <v>1272</v>
      </c>
      <c r="B1273" s="5" t="s">
        <v>5151</v>
      </c>
      <c r="C1273" s="5" t="s">
        <v>5152</v>
      </c>
      <c r="D1273" s="5" t="s">
        <v>50</v>
      </c>
      <c r="E1273" s="5" t="s">
        <v>4289</v>
      </c>
      <c r="F1273" s="5" t="s">
        <v>5137</v>
      </c>
      <c r="G1273" s="5" t="s">
        <v>4637</v>
      </c>
      <c r="H1273" s="5" t="s">
        <v>5138</v>
      </c>
      <c r="I1273" s="5" t="s">
        <v>20</v>
      </c>
      <c r="J1273" s="5">
        <v>4.5999999999999996</v>
      </c>
      <c r="K1273" s="5" t="s">
        <v>21</v>
      </c>
      <c r="L1273" s="5" t="s">
        <v>5153</v>
      </c>
      <c r="M1273" s="5" t="s">
        <v>5140</v>
      </c>
      <c r="N1273" s="7" t="str">
        <f>HYPERLINK("C:\Users\alexa\YandexDisk\Книги\ИИ\Нейронные сети\Введение_в_нейросетевое_моделирование.pdf","Введение_в_нейросетевое_моделирование.pdf")</f>
        <v>Введение_в_нейросетевое_моделирование.pdf</v>
      </c>
      <c r="O1273" s="5" t="s">
        <v>5154</v>
      </c>
    </row>
    <row r="1274" spans="1:15" ht="151.80000000000001" x14ac:dyDescent="0.3">
      <c r="A1274" s="2">
        <v>1273</v>
      </c>
      <c r="B1274" s="3" t="s">
        <v>5155</v>
      </c>
      <c r="C1274" s="3" t="s">
        <v>5156</v>
      </c>
      <c r="D1274" s="3" t="s">
        <v>32</v>
      </c>
      <c r="E1274" s="3" t="s">
        <v>2714</v>
      </c>
      <c r="F1274" s="3" t="s">
        <v>5137</v>
      </c>
      <c r="G1274" s="3" t="s">
        <v>4637</v>
      </c>
      <c r="H1274" s="3" t="s">
        <v>5138</v>
      </c>
      <c r="I1274" s="3" t="s">
        <v>20</v>
      </c>
      <c r="J1274" s="3">
        <v>8.84</v>
      </c>
      <c r="K1274" s="3" t="s">
        <v>21</v>
      </c>
      <c r="L1274" s="3" t="s">
        <v>5157</v>
      </c>
      <c r="M1274" s="3" t="s">
        <v>5140</v>
      </c>
      <c r="N1274" s="6" t="str">
        <f>HYPERLINK("C:\Users\alexa\YandexDisk\Книги\ИИ\Нейронные сети\Кан_К_А_Нейронные_сети_Эволюция_2018.pdf","Кан_К_А_Нейронные_сети_Эволюция_2018.pdf")</f>
        <v>Кан_К_А_Нейронные_сети_Эволюция_2018.pdf</v>
      </c>
      <c r="O1274" s="3" t="s">
        <v>5158</v>
      </c>
    </row>
    <row r="1275" spans="1:15" ht="179.4" x14ac:dyDescent="0.3">
      <c r="A1275" s="4">
        <v>1274</v>
      </c>
      <c r="B1275" s="5" t="s">
        <v>5159</v>
      </c>
      <c r="C1275" s="5" t="s">
        <v>5160</v>
      </c>
      <c r="D1275" s="5" t="s">
        <v>17</v>
      </c>
      <c r="E1275" s="5" t="s">
        <v>18</v>
      </c>
      <c r="F1275" s="5" t="s">
        <v>5137</v>
      </c>
      <c r="G1275" s="5" t="s">
        <v>4637</v>
      </c>
      <c r="H1275" s="5" t="s">
        <v>5138</v>
      </c>
      <c r="I1275" s="5" t="s">
        <v>20</v>
      </c>
      <c r="J1275" s="5">
        <v>5.0599999999999996</v>
      </c>
      <c r="K1275" s="5" t="s">
        <v>21</v>
      </c>
      <c r="L1275" s="5" t="s">
        <v>5161</v>
      </c>
      <c r="M1275" s="5" t="s">
        <v>5140</v>
      </c>
      <c r="N1275" s="7" t="str">
        <f>HYPERLINK("C:\Users\alexa\YandexDisk\Книги\ИИ\Нейронные сети\Надежность_нейронных_сетей_Укрепляем_устойчивость_ИИ_к_обману_2021.pdf","Надежность_нейронных_сетей_Укрепляем_устойчивость_ИИ_к_обману_2021.pdf")</f>
        <v>Надежность_нейронных_сетей_Укрепляем_устойчивость_ИИ_к_обману_2021.pdf</v>
      </c>
      <c r="O1275" s="5" t="s">
        <v>5162</v>
      </c>
    </row>
    <row r="1276" spans="1:15" ht="193.2" x14ac:dyDescent="0.3">
      <c r="A1276" s="2">
        <v>1275</v>
      </c>
      <c r="B1276" s="3" t="s">
        <v>5163</v>
      </c>
      <c r="C1276" s="3" t="s">
        <v>5156</v>
      </c>
      <c r="D1276" s="3" t="s">
        <v>32</v>
      </c>
      <c r="E1276" s="3" t="s">
        <v>2714</v>
      </c>
      <c r="F1276" s="3" t="s">
        <v>5137</v>
      </c>
      <c r="G1276" s="3" t="s">
        <v>4637</v>
      </c>
      <c r="H1276" s="3" t="s">
        <v>5138</v>
      </c>
      <c r="I1276" s="3" t="s">
        <v>20</v>
      </c>
      <c r="J1276" s="3">
        <v>8.84</v>
      </c>
      <c r="K1276" s="3" t="s">
        <v>21</v>
      </c>
      <c r="L1276" s="3" t="s">
        <v>5164</v>
      </c>
      <c r="M1276" s="3" t="s">
        <v>5140</v>
      </c>
      <c r="N1276" s="6" t="str">
        <f>HYPERLINK("C:\Users\alexa\YandexDisk\Книги\ИИ\Нейронные сети\Нейронные сети. Эволюция.pdf","Нейронные сети. Эволюция.pdf")</f>
        <v>Нейронные сети. Эволюция.pdf</v>
      </c>
      <c r="O1276" s="3" t="s">
        <v>5165</v>
      </c>
    </row>
    <row r="1277" spans="1:15" ht="248.4" x14ac:dyDescent="0.3">
      <c r="A1277" s="4">
        <v>1276</v>
      </c>
      <c r="B1277" s="5" t="s">
        <v>5155</v>
      </c>
      <c r="C1277" s="5" t="s">
        <v>5156</v>
      </c>
      <c r="D1277" s="5"/>
      <c r="E1277" s="5"/>
      <c r="F1277" s="5" t="s">
        <v>5137</v>
      </c>
      <c r="G1277" s="5" t="s">
        <v>4637</v>
      </c>
      <c r="H1277" s="5" t="s">
        <v>5138</v>
      </c>
      <c r="I1277" s="5" t="s">
        <v>20</v>
      </c>
      <c r="J1277" s="5">
        <v>10.25</v>
      </c>
      <c r="K1277" s="5" t="s">
        <v>21</v>
      </c>
      <c r="L1277" s="5" t="s">
        <v>5166</v>
      </c>
      <c r="M1277" s="5" t="s">
        <v>5140</v>
      </c>
      <c r="N1277" s="7" t="str">
        <f>HYPERLINK("C:\Users\alexa\YandexDisk\Книги\ИИ\Нейронные сети\Нейронные сети.pdf","Нейронные сети.pdf")</f>
        <v>Нейронные сети.pdf</v>
      </c>
      <c r="O1277" s="5" t="s">
        <v>5167</v>
      </c>
    </row>
    <row r="1278" spans="1:15" ht="179.4" x14ac:dyDescent="0.3">
      <c r="A1278" s="2">
        <v>1277</v>
      </c>
      <c r="B1278" s="3" t="s">
        <v>5168</v>
      </c>
      <c r="C1278" s="3" t="s">
        <v>5169</v>
      </c>
      <c r="D1278" s="3" t="s">
        <v>59</v>
      </c>
      <c r="E1278" s="3" t="s">
        <v>2376</v>
      </c>
      <c r="F1278" s="3" t="s">
        <v>5137</v>
      </c>
      <c r="G1278" s="3" t="s">
        <v>4637</v>
      </c>
      <c r="H1278" s="3" t="s">
        <v>5138</v>
      </c>
      <c r="I1278" s="3" t="s">
        <v>20</v>
      </c>
      <c r="J1278" s="3">
        <v>4.49</v>
      </c>
      <c r="K1278" s="3" t="s">
        <v>21</v>
      </c>
      <c r="L1278" s="3" t="s">
        <v>5170</v>
      </c>
      <c r="M1278" s="3" t="s">
        <v>5140</v>
      </c>
      <c r="N1278" s="6" t="str">
        <f>HYPERLINK("C:\Users\alexa\YandexDisk\Книги\ИИ\Нейронные сети\Нейронные системы обработки информации.pdf","Нейронные системы обработки информации.pdf")</f>
        <v>Нейронные системы обработки информации.pdf</v>
      </c>
      <c r="O1278" s="3" t="s">
        <v>5171</v>
      </c>
    </row>
    <row r="1279" spans="1:15" ht="193.2" x14ac:dyDescent="0.3">
      <c r="A1279" s="4">
        <v>1278</v>
      </c>
      <c r="B1279" s="5" t="s">
        <v>5172</v>
      </c>
      <c r="C1279" s="5" t="s">
        <v>5173</v>
      </c>
      <c r="D1279" s="5" t="s">
        <v>335</v>
      </c>
      <c r="E1279" s="5" t="s">
        <v>5174</v>
      </c>
      <c r="F1279" s="5" t="s">
        <v>5137</v>
      </c>
      <c r="G1279" s="5" t="s">
        <v>4637</v>
      </c>
      <c r="H1279" s="5" t="s">
        <v>5138</v>
      </c>
      <c r="I1279" s="5" t="s">
        <v>20</v>
      </c>
      <c r="J1279" s="5">
        <v>27.17</v>
      </c>
      <c r="K1279" s="5" t="s">
        <v>21</v>
      </c>
      <c r="L1279" s="5" t="s">
        <v>5175</v>
      </c>
      <c r="M1279" s="5" t="s">
        <v>5140</v>
      </c>
      <c r="N1279" s="7" t="str">
        <f>HYPERLINK("C:\Users\alexa\YandexDisk\Книги\ИИ\Нейронные сети\Нейросети на Python.pdf","Нейросети на Python.pdf")</f>
        <v>Нейросети на Python.pdf</v>
      </c>
      <c r="O1279" s="5" t="s">
        <v>5176</v>
      </c>
    </row>
    <row r="1280" spans="1:15" ht="220.8" x14ac:dyDescent="0.3">
      <c r="A1280" s="2">
        <v>1279</v>
      </c>
      <c r="B1280" s="3" t="s">
        <v>5138</v>
      </c>
      <c r="C1280" s="3" t="s">
        <v>5177</v>
      </c>
      <c r="D1280" s="3"/>
      <c r="E1280" s="3"/>
      <c r="F1280" s="3" t="s">
        <v>5137</v>
      </c>
      <c r="G1280" s="3" t="s">
        <v>4637</v>
      </c>
      <c r="H1280" s="3" t="s">
        <v>5138</v>
      </c>
      <c r="I1280" s="3" t="s">
        <v>20</v>
      </c>
      <c r="J1280" s="3">
        <v>18.45</v>
      </c>
      <c r="K1280" s="3" t="s">
        <v>21</v>
      </c>
      <c r="L1280" s="3" t="s">
        <v>5178</v>
      </c>
      <c r="M1280" s="3" t="s">
        <v>5140</v>
      </c>
      <c r="N1280" s="6" t="str">
        <f>HYPERLINK("C:\Users\alexa\YandexDisk\Книги\ИИ\Нейронные сети\Саймон Хайкин Нейронные сети.pdf","Саймон Хайкин Нейронные сети.pdf")</f>
        <v>Саймон Хайкин Нейронные сети.pdf</v>
      </c>
      <c r="O1280" s="3" t="s">
        <v>5179</v>
      </c>
    </row>
    <row r="1281" spans="1:15" ht="165.6" x14ac:dyDescent="0.3">
      <c r="A1281" s="4">
        <v>1280</v>
      </c>
      <c r="B1281" s="5" t="s">
        <v>5180</v>
      </c>
      <c r="C1281" s="5" t="s">
        <v>5181</v>
      </c>
      <c r="D1281" s="5" t="s">
        <v>50</v>
      </c>
      <c r="E1281" s="5" t="s">
        <v>5182</v>
      </c>
      <c r="F1281" s="5" t="s">
        <v>5137</v>
      </c>
      <c r="G1281" s="5" t="s">
        <v>4637</v>
      </c>
      <c r="H1281" s="5" t="s">
        <v>5138</v>
      </c>
      <c r="I1281" s="5" t="s">
        <v>20</v>
      </c>
      <c r="J1281" s="5">
        <v>43.52</v>
      </c>
      <c r="K1281" s="5" t="s">
        <v>21</v>
      </c>
      <c r="L1281" s="5" t="s">
        <v>5183</v>
      </c>
      <c r="M1281" s="5" t="s">
        <v>5140</v>
      </c>
      <c r="N1281" s="7" t="str">
        <f>HYPERLINK("C:\Users\alexa\YandexDisk\Книги\ИИ\Нейронные сети\Создаем нейронную сеть.pdf","Создаем нейронную сеть.pdf")</f>
        <v>Создаем нейронную сеть.pdf</v>
      </c>
      <c r="O1281" s="5" t="s">
        <v>5184</v>
      </c>
    </row>
    <row r="1282" spans="1:15" ht="207" x14ac:dyDescent="0.3">
      <c r="A1282" s="2">
        <v>1281</v>
      </c>
      <c r="B1282" s="3" t="s">
        <v>5185</v>
      </c>
      <c r="C1282" s="3"/>
      <c r="D1282" s="3"/>
      <c r="E1282" s="3" t="s">
        <v>102</v>
      </c>
      <c r="F1282" s="3" t="s">
        <v>5137</v>
      </c>
      <c r="G1282" s="3" t="s">
        <v>4637</v>
      </c>
      <c r="H1282" s="3" t="s">
        <v>5138</v>
      </c>
      <c r="I1282" s="3" t="s">
        <v>20</v>
      </c>
      <c r="J1282" s="3">
        <v>7.26</v>
      </c>
      <c r="K1282" s="3" t="s">
        <v>21</v>
      </c>
      <c r="L1282" s="3" t="s">
        <v>5186</v>
      </c>
      <c r="M1282" s="3" t="s">
        <v>5140</v>
      </c>
      <c r="N1282" s="6" t="str">
        <f>HYPERLINK("C:\Users\alexa\YandexDisk\Книги\ИИ\Нейронные сети\Состязательные сети.pdf","Состязательные сети.pdf")</f>
        <v>Состязательные сети.pdf</v>
      </c>
      <c r="O1282" s="3" t="s">
        <v>5187</v>
      </c>
    </row>
    <row r="1283" spans="1:15" ht="138" x14ac:dyDescent="0.3">
      <c r="A1283" s="4">
        <v>1282</v>
      </c>
      <c r="B1283" s="5" t="s">
        <v>5188</v>
      </c>
      <c r="C1283" s="5" t="s">
        <v>5189</v>
      </c>
      <c r="D1283" s="5" t="s">
        <v>59</v>
      </c>
      <c r="E1283" s="5" t="s">
        <v>102</v>
      </c>
      <c r="F1283" s="5" t="s">
        <v>5137</v>
      </c>
      <c r="G1283" s="5" t="s">
        <v>4637</v>
      </c>
      <c r="H1283" s="5" t="s">
        <v>5138</v>
      </c>
      <c r="I1283" s="5" t="s">
        <v>20</v>
      </c>
      <c r="J1283" s="5">
        <v>18.420000000000002</v>
      </c>
      <c r="K1283" s="5" t="s">
        <v>21</v>
      </c>
      <c r="L1283" s="5" t="s">
        <v>5190</v>
      </c>
      <c r="M1283" s="5" t="s">
        <v>5140</v>
      </c>
      <c r="N1283" s="7" t="str">
        <f>HYPERLINK("C:\Users\alexa\YandexDisk\Книги\ИИ\Нейронные сети\Эволюционные нейросети на Python 2020.pdf","Эволюционные нейросети на Python 2020.pdf")</f>
        <v>Эволюционные нейросети на Python 2020.pdf</v>
      </c>
      <c r="O1283" s="5" t="s">
        <v>5191</v>
      </c>
    </row>
    <row r="1284" spans="1:15" ht="165.6" x14ac:dyDescent="0.3">
      <c r="A1284" s="2">
        <v>1283</v>
      </c>
      <c r="B1284" s="3" t="s">
        <v>5192</v>
      </c>
      <c r="C1284" s="3"/>
      <c r="D1284" s="3"/>
      <c r="E1284" s="3"/>
      <c r="F1284" s="3" t="s">
        <v>5193</v>
      </c>
      <c r="G1284" s="3" t="s">
        <v>4637</v>
      </c>
      <c r="H1284" s="3" t="s">
        <v>199</v>
      </c>
      <c r="I1284" s="3" t="s">
        <v>20</v>
      </c>
      <c r="J1284" s="3">
        <v>8.73</v>
      </c>
      <c r="K1284" s="3" t="s">
        <v>21</v>
      </c>
      <c r="L1284" s="3" t="s">
        <v>5194</v>
      </c>
      <c r="M1284" s="3" t="s">
        <v>5195</v>
      </c>
      <c r="N1284" s="6" t="str">
        <f>HYPERLINK("C:\Users\alexa\YandexDisk\Книги\ИИ\Общие вопросы\!!!Грокаем алгоритмы ИИ.pdf","!!!Грокаем алгоритмы ИИ.pdf")</f>
        <v>!!!Грокаем алгоритмы ИИ.pdf</v>
      </c>
      <c r="O1284" s="3" t="s">
        <v>5196</v>
      </c>
    </row>
    <row r="1285" spans="1:15" ht="220.8" x14ac:dyDescent="0.3">
      <c r="A1285" s="4">
        <v>1284</v>
      </c>
      <c r="B1285" s="5" t="s">
        <v>5197</v>
      </c>
      <c r="C1285" s="5" t="s">
        <v>5198</v>
      </c>
      <c r="D1285" s="5"/>
      <c r="E1285" s="5"/>
      <c r="F1285" s="5" t="s">
        <v>5193</v>
      </c>
      <c r="G1285" s="5" t="s">
        <v>4637</v>
      </c>
      <c r="H1285" s="5" t="s">
        <v>199</v>
      </c>
      <c r="I1285" s="5" t="s">
        <v>20</v>
      </c>
      <c r="J1285" s="5">
        <v>2.44</v>
      </c>
      <c r="K1285" s="5" t="s">
        <v>21</v>
      </c>
      <c r="L1285" s="5" t="s">
        <v>5199</v>
      </c>
      <c r="M1285" s="5" t="s">
        <v>5195</v>
      </c>
      <c r="N1285" s="7" t="str">
        <f>HYPERLINK("C:\Users\alexa\YandexDisk\Книги\ИИ\Общие вопросы\!Chat GPT и Революция ИИ.pdf","!Chat GPT и Революция ИИ.pdf")</f>
        <v>!Chat GPT и Революция ИИ.pdf</v>
      </c>
      <c r="O1285" s="5" t="s">
        <v>5200</v>
      </c>
    </row>
    <row r="1286" spans="1:15" ht="193.2" x14ac:dyDescent="0.3">
      <c r="A1286" s="2">
        <v>1285</v>
      </c>
      <c r="B1286" s="3" t="s">
        <v>5201</v>
      </c>
      <c r="C1286" s="3" t="s">
        <v>5202</v>
      </c>
      <c r="D1286" s="3"/>
      <c r="E1286" s="3"/>
      <c r="F1286" s="3" t="s">
        <v>5193</v>
      </c>
      <c r="G1286" s="3" t="s">
        <v>4637</v>
      </c>
      <c r="H1286" s="3" t="s">
        <v>199</v>
      </c>
      <c r="I1286" s="3" t="s">
        <v>20</v>
      </c>
      <c r="J1286" s="3">
        <v>9.77</v>
      </c>
      <c r="K1286" s="3" t="s">
        <v>21</v>
      </c>
      <c r="L1286" s="3" t="s">
        <v>5203</v>
      </c>
      <c r="M1286" s="3" t="s">
        <v>5195</v>
      </c>
      <c r="N1286" s="6" t="str">
        <f>HYPERLINK("C:\Users\alexa\YandexDisk\Книги\ИИ\Общие вопросы\!Искусственный_интеллект,_аналитика_и_новые_технологии.pdf","!Искусственный_интеллект,_аналитика_и_новые_технологии.pdf")</f>
        <v>!Искусственный_интеллект,_аналитика_и_новые_технологии.pdf</v>
      </c>
      <c r="O1286" s="3" t="s">
        <v>5204</v>
      </c>
    </row>
    <row r="1287" spans="1:15" ht="207" x14ac:dyDescent="0.3">
      <c r="A1287" s="4">
        <v>1286</v>
      </c>
      <c r="B1287" s="5" t="s">
        <v>5205</v>
      </c>
      <c r="C1287" s="5" t="s">
        <v>5206</v>
      </c>
      <c r="D1287" s="5" t="s">
        <v>17</v>
      </c>
      <c r="E1287" s="5" t="s">
        <v>4236</v>
      </c>
      <c r="F1287" s="5" t="s">
        <v>5193</v>
      </c>
      <c r="G1287" s="5" t="s">
        <v>4637</v>
      </c>
      <c r="H1287" s="5" t="s">
        <v>199</v>
      </c>
      <c r="I1287" s="5" t="s">
        <v>20</v>
      </c>
      <c r="J1287" s="5">
        <v>7.52</v>
      </c>
      <c r="K1287" s="5" t="s">
        <v>21</v>
      </c>
      <c r="L1287" s="5" t="s">
        <v>5207</v>
      </c>
      <c r="M1287" s="5" t="s">
        <v>5195</v>
      </c>
      <c r="N1287" s="7" t="str">
        <f>HYPERLINK("C:\Users\alexa\YandexDisk\Книги\ИИ\Общие вопросы\A First Course in Artificial Intelligence.pdf","A First Course in Artificial Intelligence.pdf")</f>
        <v>A First Course in Artificial Intelligence.pdf</v>
      </c>
      <c r="O1287" s="5" t="s">
        <v>5208</v>
      </c>
    </row>
    <row r="1288" spans="1:15" ht="207" x14ac:dyDescent="0.3">
      <c r="A1288" s="2">
        <v>1287</v>
      </c>
      <c r="B1288" s="3" t="s">
        <v>5209</v>
      </c>
      <c r="C1288" s="3" t="s">
        <v>5210</v>
      </c>
      <c r="D1288" s="3"/>
      <c r="E1288" s="3"/>
      <c r="F1288" s="3" t="s">
        <v>5193</v>
      </c>
      <c r="G1288" s="3" t="s">
        <v>4637</v>
      </c>
      <c r="H1288" s="3" t="s">
        <v>199</v>
      </c>
      <c r="I1288" s="3" t="s">
        <v>20</v>
      </c>
      <c r="J1288" s="3">
        <v>10.87</v>
      </c>
      <c r="K1288" s="3" t="s">
        <v>21</v>
      </c>
      <c r="L1288" s="3" t="s">
        <v>5211</v>
      </c>
      <c r="M1288" s="3" t="s">
        <v>5195</v>
      </c>
      <c r="N1288" s="6" t="str">
        <f>HYPERLINK("C:\Users\alexa\YandexDisk\Книги\ИИ\Общие вопросы\AI-Assisted Programming.pdf","AI-Assisted Programming.pdf")</f>
        <v>AI-Assisted Programming.pdf</v>
      </c>
      <c r="O1288" s="3" t="s">
        <v>5212</v>
      </c>
    </row>
    <row r="1289" spans="1:15" ht="179.4" x14ac:dyDescent="0.3">
      <c r="A1289" s="4">
        <v>1288</v>
      </c>
      <c r="B1289" s="5" t="s">
        <v>5213</v>
      </c>
      <c r="C1289" s="5" t="s">
        <v>5214</v>
      </c>
      <c r="D1289" s="5" t="s">
        <v>109</v>
      </c>
      <c r="E1289" s="5" t="s">
        <v>296</v>
      </c>
      <c r="F1289" s="5" t="s">
        <v>5193</v>
      </c>
      <c r="G1289" s="5" t="s">
        <v>4637</v>
      </c>
      <c r="H1289" s="5" t="s">
        <v>199</v>
      </c>
      <c r="I1289" s="5" t="s">
        <v>280</v>
      </c>
      <c r="J1289" s="5">
        <v>7.45</v>
      </c>
      <c r="K1289" s="5" t="s">
        <v>21</v>
      </c>
      <c r="L1289" s="5" t="s">
        <v>5215</v>
      </c>
      <c r="M1289" s="5" t="s">
        <v>5195</v>
      </c>
      <c r="N1289" s="7" t="str">
        <f>HYPERLINK("C:\Users\alexa\YandexDisk\Книги\ИИ\Общие вопросы\ai-in-strategy-games.epub","ai-in-strategy-games.epub")</f>
        <v>ai-in-strategy-games.epub</v>
      </c>
      <c r="O1289" s="5" t="s">
        <v>5216</v>
      </c>
    </row>
    <row r="1290" spans="1:15" ht="138" x14ac:dyDescent="0.3">
      <c r="A1290" s="2">
        <v>1289</v>
      </c>
      <c r="B1290" s="3" t="s">
        <v>5213</v>
      </c>
      <c r="C1290" s="3" t="s">
        <v>5214</v>
      </c>
      <c r="D1290" s="3" t="s">
        <v>109</v>
      </c>
      <c r="E1290" s="3" t="s">
        <v>296</v>
      </c>
      <c r="F1290" s="3" t="s">
        <v>5193</v>
      </c>
      <c r="G1290" s="3" t="s">
        <v>4637</v>
      </c>
      <c r="H1290" s="3" t="s">
        <v>199</v>
      </c>
      <c r="I1290" s="3" t="s">
        <v>20</v>
      </c>
      <c r="J1290" s="3">
        <v>8.0299999999999994</v>
      </c>
      <c r="K1290" s="3" t="s">
        <v>21</v>
      </c>
      <c r="L1290" s="3" t="s">
        <v>5217</v>
      </c>
      <c r="M1290" s="3" t="s">
        <v>5195</v>
      </c>
      <c r="N1290" s="6" t="str">
        <f>HYPERLINK("C:\Users\alexa\YandexDisk\Книги\ИИ\Общие вопросы\ai-in-strategy-games.pdf","ai-in-strategy-games.pdf")</f>
        <v>ai-in-strategy-games.pdf</v>
      </c>
      <c r="O1290" s="3" t="s">
        <v>5218</v>
      </c>
    </row>
    <row r="1291" spans="1:15" ht="151.80000000000001" x14ac:dyDescent="0.3">
      <c r="A1291" s="4">
        <v>1290</v>
      </c>
      <c r="B1291" s="5" t="s">
        <v>5219</v>
      </c>
      <c r="C1291" s="5" t="s">
        <v>5220</v>
      </c>
      <c r="D1291" s="5" t="s">
        <v>335</v>
      </c>
      <c r="E1291" s="5" t="s">
        <v>336</v>
      </c>
      <c r="F1291" s="5" t="s">
        <v>5193</v>
      </c>
      <c r="G1291" s="5" t="s">
        <v>4637</v>
      </c>
      <c r="H1291" s="5" t="s">
        <v>199</v>
      </c>
      <c r="I1291" s="5" t="s">
        <v>20</v>
      </c>
      <c r="J1291" s="5">
        <v>13.83</v>
      </c>
      <c r="K1291" s="5" t="s">
        <v>21</v>
      </c>
      <c r="L1291" s="5" t="s">
        <v>5221</v>
      </c>
      <c r="M1291" s="5" t="s">
        <v>5195</v>
      </c>
      <c r="N1291" s="7" t="str">
        <f>HYPERLINK("C:\Users\alexa\YandexDisk\Книги\ИИ\Общие вопросы\AI-инженерия. Построение приложений с использованием базовых моделей.pdf","AI-инженерия. Построение приложений с использованием базовых моделей.pdf")</f>
        <v>AI-инженерия. Построение приложений с использованием базовых моделей.pdf</v>
      </c>
      <c r="O1291" s="5" t="s">
        <v>5222</v>
      </c>
    </row>
    <row r="1292" spans="1:15" ht="179.4" x14ac:dyDescent="0.3">
      <c r="A1292" s="2">
        <v>1291</v>
      </c>
      <c r="B1292" s="3" t="s">
        <v>4272</v>
      </c>
      <c r="C1292" s="3"/>
      <c r="D1292" s="3"/>
      <c r="E1292" s="3"/>
      <c r="F1292" s="3" t="s">
        <v>5193</v>
      </c>
      <c r="G1292" s="3" t="s">
        <v>4637</v>
      </c>
      <c r="H1292" s="3" t="s">
        <v>199</v>
      </c>
      <c r="I1292" s="3" t="s">
        <v>280</v>
      </c>
      <c r="J1292" s="3">
        <v>243.28</v>
      </c>
      <c r="K1292" s="3" t="s">
        <v>21</v>
      </c>
      <c r="L1292" s="3" t="s">
        <v>5223</v>
      </c>
      <c r="M1292" s="3" t="s">
        <v>5195</v>
      </c>
      <c r="N1292" s="6" t="str">
        <f>HYPERLINK("C:\Users\alexa\YandexDisk\Книги\ИИ\Общие вопросы\AI.at.the.Edge.epub","AI.at.the.Edge.epub")</f>
        <v>AI.at.the.Edge.epub</v>
      </c>
      <c r="O1292" s="3" t="s">
        <v>5224</v>
      </c>
    </row>
    <row r="1293" spans="1:15" ht="207" x14ac:dyDescent="0.3">
      <c r="A1293" s="4">
        <v>1292</v>
      </c>
      <c r="B1293" s="5" t="s">
        <v>5225</v>
      </c>
      <c r="C1293" s="5" t="s">
        <v>5226</v>
      </c>
      <c r="D1293" s="5"/>
      <c r="E1293" s="5"/>
      <c r="F1293" s="5" t="s">
        <v>5193</v>
      </c>
      <c r="G1293" s="5" t="s">
        <v>4637</v>
      </c>
      <c r="H1293" s="5" t="s">
        <v>199</v>
      </c>
      <c r="I1293" s="5" t="s">
        <v>20</v>
      </c>
      <c r="J1293" s="5">
        <v>7.54</v>
      </c>
      <c r="K1293" s="5" t="s">
        <v>21</v>
      </c>
      <c r="L1293" s="5" t="s">
        <v>5227</v>
      </c>
      <c r="M1293" s="5" t="s">
        <v>5195</v>
      </c>
      <c r="N1293" s="7" t="str">
        <f>HYPERLINK("C:\Users\alexa\YandexDisk\Книги\ИИ\Общие вопросы\Algorithms, Humans, and Interactions.pdf","Algorithms, Humans, and Interactions.pdf")</f>
        <v>Algorithms, Humans, and Interactions.pdf</v>
      </c>
      <c r="O1293" s="5" t="s">
        <v>5228</v>
      </c>
    </row>
    <row r="1294" spans="1:15" ht="165.6" x14ac:dyDescent="0.3">
      <c r="A1294" s="2">
        <v>1293</v>
      </c>
      <c r="B1294" s="3" t="s">
        <v>5229</v>
      </c>
      <c r="C1294" s="3" t="s">
        <v>4647</v>
      </c>
      <c r="D1294" s="3" t="s">
        <v>32</v>
      </c>
      <c r="E1294" s="3" t="s">
        <v>205</v>
      </c>
      <c r="F1294" s="3" t="s">
        <v>5193</v>
      </c>
      <c r="G1294" s="3" t="s">
        <v>4637</v>
      </c>
      <c r="H1294" s="3" t="s">
        <v>199</v>
      </c>
      <c r="I1294" s="3" t="s">
        <v>20</v>
      </c>
      <c r="J1294" s="3">
        <v>12.18</v>
      </c>
      <c r="K1294" s="3" t="s">
        <v>21</v>
      </c>
      <c r="L1294" s="3" t="s">
        <v>5230</v>
      </c>
      <c r="M1294" s="3" t="s">
        <v>5195</v>
      </c>
      <c r="N1294" s="6" t="str">
        <f>HYPERLINK("C:\Users\alexa\YandexDisk\Книги\ИИ\Общие вопросы\Artificial Intellige... by example.pdf","Artificial Intellige... by example.pdf")</f>
        <v>Artificial Intellige... by example.pdf</v>
      </c>
      <c r="O1294" s="3" t="s">
        <v>5231</v>
      </c>
    </row>
    <row r="1295" spans="1:15" ht="151.80000000000001" x14ac:dyDescent="0.3">
      <c r="A1295" s="4">
        <v>1294</v>
      </c>
      <c r="B1295" s="5" t="s">
        <v>5232</v>
      </c>
      <c r="C1295" s="5" t="s">
        <v>5233</v>
      </c>
      <c r="D1295" s="5"/>
      <c r="E1295" s="5" t="s">
        <v>37</v>
      </c>
      <c r="F1295" s="5" t="s">
        <v>5193</v>
      </c>
      <c r="G1295" s="5" t="s">
        <v>4637</v>
      </c>
      <c r="H1295" s="5" t="s">
        <v>199</v>
      </c>
      <c r="I1295" s="5" t="s">
        <v>20</v>
      </c>
      <c r="J1295" s="5">
        <v>2.35</v>
      </c>
      <c r="K1295" s="5" t="s">
        <v>21</v>
      </c>
      <c r="L1295" s="5" t="s">
        <v>5234</v>
      </c>
      <c r="M1295" s="5" t="s">
        <v>5195</v>
      </c>
      <c r="N1295" s="7" t="str">
        <f>HYPERLINK("C:\Users\alexa\YandexDisk\Книги\ИИ\Общие вопросы\Beyond the Algorithm_Final.pdf","Beyond the Algorithm_Final.pdf")</f>
        <v>Beyond the Algorithm_Final.pdf</v>
      </c>
      <c r="O1295" s="5" t="s">
        <v>5235</v>
      </c>
    </row>
    <row r="1296" spans="1:15" ht="151.80000000000001" x14ac:dyDescent="0.3">
      <c r="A1296" s="2">
        <v>1295</v>
      </c>
      <c r="B1296" s="3" t="s">
        <v>5236</v>
      </c>
      <c r="C1296" s="3" t="s">
        <v>5237</v>
      </c>
      <c r="D1296" s="3" t="s">
        <v>27</v>
      </c>
      <c r="E1296" s="3" t="s">
        <v>2183</v>
      </c>
      <c r="F1296" s="3" t="s">
        <v>5193</v>
      </c>
      <c r="G1296" s="3" t="s">
        <v>4637</v>
      </c>
      <c r="H1296" s="3" t="s">
        <v>199</v>
      </c>
      <c r="I1296" s="3" t="s">
        <v>20</v>
      </c>
      <c r="J1296" s="3">
        <v>3.11</v>
      </c>
      <c r="K1296" s="3" t="s">
        <v>21</v>
      </c>
      <c r="L1296" s="3" t="s">
        <v>5238</v>
      </c>
      <c r="M1296" s="3" t="s">
        <v>5195</v>
      </c>
      <c r="N1296" s="6" t="str">
        <f>HYPERLINK("C:\Users\alexa\YandexDisk\Книги\ИИ\Общие вопросы\Brain Computer Interface.pdf","Brain Computer Interface.pdf")</f>
        <v>Brain Computer Interface.pdf</v>
      </c>
      <c r="O1296" s="3" t="s">
        <v>5239</v>
      </c>
    </row>
    <row r="1297" spans="1:15" ht="220.8" x14ac:dyDescent="0.3">
      <c r="A1297" s="4">
        <v>1296</v>
      </c>
      <c r="B1297" s="5" t="s">
        <v>5197</v>
      </c>
      <c r="C1297" s="5" t="s">
        <v>5198</v>
      </c>
      <c r="D1297" s="5"/>
      <c r="E1297" s="5"/>
      <c r="F1297" s="5" t="s">
        <v>5193</v>
      </c>
      <c r="G1297" s="5" t="s">
        <v>4637</v>
      </c>
      <c r="H1297" s="5" t="s">
        <v>199</v>
      </c>
      <c r="I1297" s="5" t="s">
        <v>20</v>
      </c>
      <c r="J1297" s="5">
        <v>2.44</v>
      </c>
      <c r="K1297" s="5" t="s">
        <v>21</v>
      </c>
      <c r="L1297" s="5" t="s">
        <v>5240</v>
      </c>
      <c r="M1297" s="5" t="s">
        <v>5195</v>
      </c>
      <c r="N1297" s="7" t="str">
        <f>HYPERLINK("C:\Users\alexa\YandexDisk\Книги\ИИ\Общие вопросы\Chat GPT и Революция ИИ.pdf","Chat GPT и Революция ИИ.pdf")</f>
        <v>Chat GPT и Революция ИИ.pdf</v>
      </c>
      <c r="O1297" s="5" t="s">
        <v>5241</v>
      </c>
    </row>
    <row r="1298" spans="1:15" ht="276" x14ac:dyDescent="0.3">
      <c r="A1298" s="2">
        <v>1297</v>
      </c>
      <c r="B1298" s="3" t="s">
        <v>5242</v>
      </c>
      <c r="C1298" s="3" t="s">
        <v>5243</v>
      </c>
      <c r="D1298" s="3"/>
      <c r="E1298" s="3"/>
      <c r="F1298" s="3" t="s">
        <v>5193</v>
      </c>
      <c r="G1298" s="3" t="s">
        <v>4637</v>
      </c>
      <c r="H1298" s="3" t="s">
        <v>199</v>
      </c>
      <c r="I1298" s="3" t="s">
        <v>20</v>
      </c>
      <c r="J1298" s="3">
        <v>23.51</v>
      </c>
      <c r="K1298" s="3" t="s">
        <v>21</v>
      </c>
      <c r="L1298" s="3" t="s">
        <v>5244</v>
      </c>
      <c r="M1298" s="3" t="s">
        <v>5195</v>
      </c>
      <c r="N1298" s="6" t="str">
        <f>HYPERLINK("C:\Users\alexa\YandexDisk\Книги\ИИ\Общие вопросы\Computational_Intelligence_Applications_for_Software_Engineering.pdf","Computational_Intelligence_Applications_for_Software_Engineering.pdf")</f>
        <v>Computational_Intelligence_Applications_for_Software_Engineering.pdf</v>
      </c>
      <c r="O1298" s="3" t="s">
        <v>5245</v>
      </c>
    </row>
    <row r="1299" spans="1:15" ht="179.4" x14ac:dyDescent="0.3">
      <c r="A1299" s="4">
        <v>1298</v>
      </c>
      <c r="B1299" s="5" t="s">
        <v>5246</v>
      </c>
      <c r="C1299" s="5" t="s">
        <v>5247</v>
      </c>
      <c r="D1299" s="5" t="s">
        <v>59</v>
      </c>
      <c r="E1299" s="5" t="s">
        <v>701</v>
      </c>
      <c r="F1299" s="5" t="s">
        <v>5193</v>
      </c>
      <c r="G1299" s="5" t="s">
        <v>4637</v>
      </c>
      <c r="H1299" s="5" t="s">
        <v>199</v>
      </c>
      <c r="I1299" s="5" t="s">
        <v>20</v>
      </c>
      <c r="J1299" s="5">
        <v>4.71</v>
      </c>
      <c r="K1299" s="5" t="s">
        <v>21</v>
      </c>
      <c r="L1299" s="5" t="s">
        <v>5248</v>
      </c>
      <c r="M1299" s="5" t="s">
        <v>5195</v>
      </c>
      <c r="N1299" s="7" t="str">
        <f>HYPERLINK("C:\Users\alexa\YandexDisk\Книги\ИИ\Общие вопросы\Edge_AI_convergence_of_edge_computing.pdf","Edge_AI_convergence_of_edge_computing.pdf")</f>
        <v>Edge_AI_convergence_of_edge_computing.pdf</v>
      </c>
      <c r="O1299" s="5" t="s">
        <v>5249</v>
      </c>
    </row>
    <row r="1300" spans="1:15" ht="207" x14ac:dyDescent="0.3">
      <c r="A1300" s="2">
        <v>1299</v>
      </c>
      <c r="B1300" s="3" t="s">
        <v>5250</v>
      </c>
      <c r="C1300" s="3" t="s">
        <v>5251</v>
      </c>
      <c r="D1300" s="3"/>
      <c r="E1300" s="3"/>
      <c r="F1300" s="3" t="s">
        <v>5193</v>
      </c>
      <c r="G1300" s="3" t="s">
        <v>4637</v>
      </c>
      <c r="H1300" s="3" t="s">
        <v>199</v>
      </c>
      <c r="I1300" s="3" t="s">
        <v>20</v>
      </c>
      <c r="J1300" s="3">
        <v>19.29</v>
      </c>
      <c r="K1300" s="3" t="s">
        <v>21</v>
      </c>
      <c r="L1300" s="3" t="s">
        <v>5252</v>
      </c>
      <c r="M1300" s="3" t="s">
        <v>5195</v>
      </c>
      <c r="N1300" s="6" t="str">
        <f>HYPERLINK("C:\Users\alexa\YandexDisk\Книги\ИИ\Общие вопросы\Foundation, Architecture, and Prototyping of Humanized AI.pdf","Foundation, Architecture, and Prototyping of Humanized AI.pdf")</f>
        <v>Foundation, Architecture, and Prototyping of Humanized AI.pdf</v>
      </c>
      <c r="O1300" s="3" t="s">
        <v>5253</v>
      </c>
    </row>
    <row r="1301" spans="1:15" ht="193.2" x14ac:dyDescent="0.3">
      <c r="A1301" s="4">
        <v>1300</v>
      </c>
      <c r="B1301" s="5" t="s">
        <v>5254</v>
      </c>
      <c r="C1301" s="5" t="s">
        <v>5255</v>
      </c>
      <c r="D1301" s="5" t="s">
        <v>172</v>
      </c>
      <c r="E1301" s="5" t="s">
        <v>5256</v>
      </c>
      <c r="F1301" s="5" t="s">
        <v>5193</v>
      </c>
      <c r="G1301" s="5" t="s">
        <v>4637</v>
      </c>
      <c r="H1301" s="5" t="s">
        <v>199</v>
      </c>
      <c r="I1301" s="5" t="s">
        <v>20</v>
      </c>
      <c r="J1301" s="5">
        <v>3.86</v>
      </c>
      <c r="K1301" s="5" t="s">
        <v>21</v>
      </c>
      <c r="L1301" s="5" t="s">
        <v>5257</v>
      </c>
      <c r="M1301" s="5" t="s">
        <v>5195</v>
      </c>
      <c r="N1301" s="7" t="str">
        <f>HYPERLINK("C:\Users\alexa\YandexDisk\Книги\ИИ\Общие вопросы\Gaussian_Processes_for_Machine_Learning_proglib 2006.pdf","Gaussian_Processes_for_Machine_Learning_proglib 2006.pdf")</f>
        <v>Gaussian_Processes_for_Machine_Learning_proglib 2006.pdf</v>
      </c>
      <c r="O1301" s="5" t="s">
        <v>5258</v>
      </c>
    </row>
    <row r="1302" spans="1:15" ht="151.80000000000001" x14ac:dyDescent="0.3">
      <c r="A1302" s="2">
        <v>1301</v>
      </c>
      <c r="B1302" s="3" t="s">
        <v>5259</v>
      </c>
      <c r="C1302" s="3" t="s">
        <v>5260</v>
      </c>
      <c r="D1302" s="3" t="s">
        <v>50</v>
      </c>
      <c r="E1302" s="3" t="s">
        <v>442</v>
      </c>
      <c r="F1302" s="3" t="s">
        <v>5193</v>
      </c>
      <c r="G1302" s="3" t="s">
        <v>4637</v>
      </c>
      <c r="H1302" s="3" t="s">
        <v>199</v>
      </c>
      <c r="I1302" s="3" t="s">
        <v>20</v>
      </c>
      <c r="J1302" s="3">
        <v>15.42</v>
      </c>
      <c r="K1302" s="3" t="s">
        <v>21</v>
      </c>
      <c r="L1302" s="3" t="s">
        <v>5261</v>
      </c>
      <c r="M1302" s="3" t="s">
        <v>5195</v>
      </c>
      <c r="N1302" s="6" t="str">
        <f>HYPERLINK("C:\Users\alexa\YandexDisk\Книги\ИИ\Общие вопросы\Geron Hands on Machine Learning with Scikit Learn and Tensorflow.pdf","Geron Hands on Machine Learning with Scikit Learn and Tensorflow.pdf")</f>
        <v>Geron Hands on Machine Learning with Scikit Learn and Tensorflow.pdf</v>
      </c>
      <c r="O1302" s="3" t="s">
        <v>5262</v>
      </c>
    </row>
    <row r="1303" spans="1:15" ht="151.80000000000001" x14ac:dyDescent="0.3">
      <c r="A1303" s="4">
        <v>1302</v>
      </c>
      <c r="B1303" s="5" t="s">
        <v>5263</v>
      </c>
      <c r="C1303" s="5" t="s">
        <v>5264</v>
      </c>
      <c r="D1303" s="5" t="s">
        <v>600</v>
      </c>
      <c r="E1303" s="5" t="s">
        <v>336</v>
      </c>
      <c r="F1303" s="5" t="s">
        <v>5193</v>
      </c>
      <c r="G1303" s="5" t="s">
        <v>4637</v>
      </c>
      <c r="H1303" s="5" t="s">
        <v>199</v>
      </c>
      <c r="I1303" s="5" t="s">
        <v>20</v>
      </c>
      <c r="J1303" s="5">
        <v>14.24</v>
      </c>
      <c r="K1303" s="5" t="s">
        <v>21</v>
      </c>
      <c r="L1303" s="5" t="s">
        <v>5265</v>
      </c>
      <c r="M1303" s="5" t="s">
        <v>5195</v>
      </c>
      <c r="N1303" s="7" t="str">
        <f>HYPERLINK("C:\Users\alexa\YandexDisk\Книги\ИИ\Общие вопросы\GitHub Copilot.pdf","GitHub Copilot.pdf")</f>
        <v>GitHub Copilot.pdf</v>
      </c>
      <c r="O1303" s="5" t="s">
        <v>5266</v>
      </c>
    </row>
    <row r="1304" spans="1:15" ht="165.6" x14ac:dyDescent="0.3">
      <c r="A1304" s="2">
        <v>1303</v>
      </c>
      <c r="B1304" s="3" t="s">
        <v>5267</v>
      </c>
      <c r="C1304" s="3" t="s">
        <v>5268</v>
      </c>
      <c r="D1304" s="3"/>
      <c r="E1304" s="3"/>
      <c r="F1304" s="3" t="s">
        <v>5193</v>
      </c>
      <c r="G1304" s="3" t="s">
        <v>4637</v>
      </c>
      <c r="H1304" s="3" t="s">
        <v>199</v>
      </c>
      <c r="I1304" s="3" t="s">
        <v>20</v>
      </c>
      <c r="J1304" s="3">
        <v>0.4</v>
      </c>
      <c r="K1304" s="3" t="s">
        <v>21</v>
      </c>
      <c r="L1304" s="3" t="s">
        <v>5269</v>
      </c>
      <c r="M1304" s="3" t="s">
        <v>5195</v>
      </c>
      <c r="N1304" s="6" t="str">
        <f>HYPERLINK("C:\Users\alexa\YandexDisk\Книги\ИИ\Общие вопросы\Glossary_Terms_v2.pdf","Glossary_Terms_v2.pdf")</f>
        <v>Glossary_Terms_v2.pdf</v>
      </c>
      <c r="O1304" s="3" t="s">
        <v>5270</v>
      </c>
    </row>
    <row r="1305" spans="1:15" ht="179.4" x14ac:dyDescent="0.3">
      <c r="A1305" s="4">
        <v>1304</v>
      </c>
      <c r="B1305" s="5" t="s">
        <v>5098</v>
      </c>
      <c r="C1305" s="5" t="s">
        <v>5271</v>
      </c>
      <c r="D1305" s="5" t="s">
        <v>27</v>
      </c>
      <c r="E1305" s="5" t="s">
        <v>102</v>
      </c>
      <c r="F1305" s="5" t="s">
        <v>5193</v>
      </c>
      <c r="G1305" s="5" t="s">
        <v>4637</v>
      </c>
      <c r="H1305" s="5" t="s">
        <v>199</v>
      </c>
      <c r="I1305" s="5" t="s">
        <v>20</v>
      </c>
      <c r="J1305" s="5">
        <v>3.64</v>
      </c>
      <c r="K1305" s="5" t="s">
        <v>21</v>
      </c>
      <c r="L1305" s="5" t="s">
        <v>5272</v>
      </c>
      <c r="M1305" s="5" t="s">
        <v>5195</v>
      </c>
      <c r="N1305" s="7" t="str">
        <f>HYPERLINK("C:\Users\alexa\YandexDisk\Книги\ИИ\Общие вопросы\GPT 3.pdf","GPT 3.pdf")</f>
        <v>GPT 3.pdf</v>
      </c>
      <c r="O1305" s="5" t="s">
        <v>5273</v>
      </c>
    </row>
    <row r="1306" spans="1:15" ht="151.80000000000001" x14ac:dyDescent="0.3">
      <c r="A1306" s="2">
        <v>1305</v>
      </c>
      <c r="B1306" s="3" t="s">
        <v>5274</v>
      </c>
      <c r="C1306" s="3" t="s">
        <v>5275</v>
      </c>
      <c r="D1306" s="3" t="s">
        <v>17</v>
      </c>
      <c r="E1306" s="3" t="s">
        <v>3356</v>
      </c>
      <c r="F1306" s="3" t="s">
        <v>5193</v>
      </c>
      <c r="G1306" s="3" t="s">
        <v>4637</v>
      </c>
      <c r="H1306" s="3" t="s">
        <v>199</v>
      </c>
      <c r="I1306" s="3" t="s">
        <v>20</v>
      </c>
      <c r="J1306" s="3">
        <v>1.47</v>
      </c>
      <c r="K1306" s="3" t="s">
        <v>21</v>
      </c>
      <c r="L1306" s="3" t="s">
        <v>5276</v>
      </c>
      <c r="M1306" s="3" t="s">
        <v>5195</v>
      </c>
      <c r="N1306" s="6" t="str">
        <f>HYPERLINK("C:\Users\alexa\YandexDisk\Книги\ИИ\Общие вопросы\Hello_World_Как_быть_человеком_в_эпоху_машин.pdf","Hello_World_Как_быть_человеком_в_эпоху_машин.pdf")</f>
        <v>Hello_World_Как_быть_человеком_в_эпоху_машин.pdf</v>
      </c>
      <c r="O1306" s="3" t="s">
        <v>5277</v>
      </c>
    </row>
    <row r="1307" spans="1:15" ht="193.2" x14ac:dyDescent="0.3">
      <c r="A1307" s="4">
        <v>1306</v>
      </c>
      <c r="B1307" s="5" t="s">
        <v>5278</v>
      </c>
      <c r="C1307" s="5" t="s">
        <v>5279</v>
      </c>
      <c r="D1307" s="5" t="s">
        <v>2881</v>
      </c>
      <c r="E1307" s="5" t="s">
        <v>97</v>
      </c>
      <c r="F1307" s="5" t="s">
        <v>5193</v>
      </c>
      <c r="G1307" s="5" t="s">
        <v>4637</v>
      </c>
      <c r="H1307" s="5" t="s">
        <v>199</v>
      </c>
      <c r="I1307" s="5" t="s">
        <v>20</v>
      </c>
      <c r="J1307" s="5">
        <v>11.13</v>
      </c>
      <c r="K1307" s="5" t="s">
        <v>21</v>
      </c>
      <c r="L1307" s="5" t="s">
        <v>5280</v>
      </c>
      <c r="M1307" s="5" t="s">
        <v>5195</v>
      </c>
      <c r="N1307" s="7" t="str">
        <f>HYPERLINK("C:\Users\alexa\YandexDisk\Книги\ИИ\Общие вопросы\Information_Theory_Inference_and_Learning_Algorithms_proglib - 2003.pdf","Information_Theory_Inference_and_Learning_Algorithms_proglib - 2003.pdf")</f>
        <v>Information_Theory_Inference_and_Learning_Algorithms_proglib - 2003.pdf</v>
      </c>
      <c r="O1307" s="5" t="s">
        <v>5281</v>
      </c>
    </row>
    <row r="1308" spans="1:15" ht="220.8" x14ac:dyDescent="0.3">
      <c r="A1308" s="2">
        <v>1307</v>
      </c>
      <c r="B1308" s="3" t="s">
        <v>5282</v>
      </c>
      <c r="C1308" s="3" t="s">
        <v>5283</v>
      </c>
      <c r="D1308" s="3" t="s">
        <v>5284</v>
      </c>
      <c r="E1308" s="3"/>
      <c r="F1308" s="3" t="s">
        <v>5193</v>
      </c>
      <c r="G1308" s="3" t="s">
        <v>4637</v>
      </c>
      <c r="H1308" s="3" t="s">
        <v>199</v>
      </c>
      <c r="I1308" s="3" t="s">
        <v>20</v>
      </c>
      <c r="J1308" s="3">
        <v>1.7</v>
      </c>
      <c r="K1308" s="3" t="s">
        <v>21</v>
      </c>
      <c r="L1308" s="3" t="s">
        <v>5285</v>
      </c>
      <c r="M1308" s="3" t="s">
        <v>5195</v>
      </c>
      <c r="N1308" s="6" t="str">
        <f>HYPERLINK("C:\Users\alexa\YandexDisk\Книги\ИИ\Общие вопросы\Machine_Learning_Neural_And_Statistical_Classification 1994.pdf","Machine_Learning_Neural_And_Statistical_Classification 1994.pdf")</f>
        <v>Machine_Learning_Neural_And_Statistical_Classification 1994.pdf</v>
      </c>
      <c r="O1308" s="3" t="s">
        <v>5286</v>
      </c>
    </row>
    <row r="1309" spans="1:15" ht="151.80000000000001" x14ac:dyDescent="0.3">
      <c r="A1309" s="4">
        <v>1308</v>
      </c>
      <c r="B1309" s="5" t="s">
        <v>5287</v>
      </c>
      <c r="C1309" s="5" t="s">
        <v>5288</v>
      </c>
      <c r="D1309" s="5" t="s">
        <v>71</v>
      </c>
      <c r="E1309" s="5" t="s">
        <v>227</v>
      </c>
      <c r="F1309" s="5" t="s">
        <v>5193</v>
      </c>
      <c r="G1309" s="5" t="s">
        <v>4637</v>
      </c>
      <c r="H1309" s="5" t="s">
        <v>199</v>
      </c>
      <c r="I1309" s="5" t="s">
        <v>20</v>
      </c>
      <c r="J1309" s="5">
        <v>9.61</v>
      </c>
      <c r="K1309" s="5" t="s">
        <v>21</v>
      </c>
      <c r="L1309" s="5" t="s">
        <v>5289</v>
      </c>
      <c r="M1309" s="5" t="s">
        <v>5195</v>
      </c>
      <c r="N1309" s="7" t="str">
        <f>HYPERLINK("C:\Users\alexa\YandexDisk\Книги\ИИ\Общие вопросы\Managing.AI.in.the.Enterprise.pdf","Managing.AI.in.the.Enterprise.pdf")</f>
        <v>Managing.AI.in.the.Enterprise.pdf</v>
      </c>
      <c r="O1309" s="5" t="s">
        <v>5290</v>
      </c>
    </row>
    <row r="1310" spans="1:15" ht="179.4" x14ac:dyDescent="0.3">
      <c r="A1310" s="2">
        <v>1309</v>
      </c>
      <c r="B1310" s="3" t="s">
        <v>5291</v>
      </c>
      <c r="C1310" s="3" t="s">
        <v>5099</v>
      </c>
      <c r="D1310" s="3" t="s">
        <v>27</v>
      </c>
      <c r="E1310" s="3" t="s">
        <v>296</v>
      </c>
      <c r="F1310" s="3" t="s">
        <v>5193</v>
      </c>
      <c r="G1310" s="3" t="s">
        <v>4637</v>
      </c>
      <c r="H1310" s="3" t="s">
        <v>199</v>
      </c>
      <c r="I1310" s="3" t="s">
        <v>20</v>
      </c>
      <c r="J1310" s="3">
        <v>9.5299999999999994</v>
      </c>
      <c r="K1310" s="3" t="s">
        <v>21</v>
      </c>
      <c r="L1310" s="3" t="s">
        <v>5292</v>
      </c>
      <c r="M1310" s="3" t="s">
        <v>5195</v>
      </c>
      <c r="N1310" s="6" t="str">
        <f>HYPERLINK("C:\Users\alexa\YandexDisk\Книги\ИИ\Общие вопросы\OpenAI GPT For Python Developers (2).pdf","OpenAI GPT For Python Developers (2).pdf")</f>
        <v>OpenAI GPT For Python Developers (2).pdf</v>
      </c>
      <c r="O1310" s="3" t="s">
        <v>5293</v>
      </c>
    </row>
    <row r="1311" spans="1:15" ht="193.2" x14ac:dyDescent="0.3">
      <c r="A1311" s="4">
        <v>1310</v>
      </c>
      <c r="B1311" s="5" t="s">
        <v>5291</v>
      </c>
      <c r="C1311" s="5" t="s">
        <v>5294</v>
      </c>
      <c r="D1311" s="5" t="s">
        <v>27</v>
      </c>
      <c r="E1311" s="5" t="s">
        <v>296</v>
      </c>
      <c r="F1311" s="5" t="s">
        <v>5193</v>
      </c>
      <c r="G1311" s="5" t="s">
        <v>4637</v>
      </c>
      <c r="H1311" s="5" t="s">
        <v>199</v>
      </c>
      <c r="I1311" s="5" t="s">
        <v>20</v>
      </c>
      <c r="J1311" s="5">
        <v>9.5299999999999994</v>
      </c>
      <c r="K1311" s="5" t="s">
        <v>21</v>
      </c>
      <c r="L1311" s="5" t="s">
        <v>5295</v>
      </c>
      <c r="M1311" s="5" t="s">
        <v>5195</v>
      </c>
      <c r="N1311" s="7" t="str">
        <f>HYPERLINK("C:\Users\alexa\YandexDisk\Книги\ИИ\Общие вопросы\OpenAI GPT For Python Developers.pdf","OpenAI GPT For Python Developers.pdf")</f>
        <v>OpenAI GPT For Python Developers.pdf</v>
      </c>
      <c r="O1311" s="5" t="s">
        <v>5296</v>
      </c>
    </row>
    <row r="1312" spans="1:15" ht="179.4" x14ac:dyDescent="0.3">
      <c r="A1312" s="2">
        <v>1311</v>
      </c>
      <c r="B1312" s="3" t="s">
        <v>5297</v>
      </c>
      <c r="C1312" s="3" t="s">
        <v>3544</v>
      </c>
      <c r="D1312" s="3" t="s">
        <v>17</v>
      </c>
      <c r="E1312" s="3" t="s">
        <v>402</v>
      </c>
      <c r="F1312" s="3" t="s">
        <v>5193</v>
      </c>
      <c r="G1312" s="3" t="s">
        <v>4637</v>
      </c>
      <c r="H1312" s="3" t="s">
        <v>199</v>
      </c>
      <c r="I1312" s="3" t="s">
        <v>20</v>
      </c>
      <c r="J1312" s="3">
        <v>49.9</v>
      </c>
      <c r="K1312" s="3" t="s">
        <v>21</v>
      </c>
      <c r="L1312" s="3" t="s">
        <v>5298</v>
      </c>
      <c r="M1312" s="3" t="s">
        <v>5195</v>
      </c>
      <c r="N1312" s="6" t="str">
        <f>HYPERLINK("C:\Users\alexa\YandexDisk\Книги\ИИ\Общие вопросы\Osnovy_iskusstvennogo_intellekta_v_primerakh_na_Python_2021_Postolit.pdf","Osnovy_iskusstvennogo_intellekta_v_primerakh_na_Python_2021_Postolit.pdf")</f>
        <v>Osnovy_iskusstvennogo_intellekta_v_primerakh_na_Python_2021_Postolit.pdf</v>
      </c>
      <c r="O1312" s="3" t="s">
        <v>5299</v>
      </c>
    </row>
    <row r="1313" spans="1:15" ht="207" x14ac:dyDescent="0.3">
      <c r="A1313" s="4">
        <v>1312</v>
      </c>
      <c r="B1313" s="5" t="s">
        <v>5300</v>
      </c>
      <c r="C1313" s="5" t="s">
        <v>5301</v>
      </c>
      <c r="D1313" s="5" t="s">
        <v>3158</v>
      </c>
      <c r="E1313" s="5" t="s">
        <v>1566</v>
      </c>
      <c r="F1313" s="5" t="s">
        <v>5193</v>
      </c>
      <c r="G1313" s="5" t="s">
        <v>4637</v>
      </c>
      <c r="H1313" s="5" t="s">
        <v>199</v>
      </c>
      <c r="I1313" s="5" t="s">
        <v>20</v>
      </c>
      <c r="J1313" s="5">
        <v>2.89</v>
      </c>
      <c r="K1313" s="5" t="s">
        <v>21</v>
      </c>
      <c r="L1313" s="5" t="s">
        <v>5302</v>
      </c>
      <c r="M1313" s="5" t="s">
        <v>5195</v>
      </c>
      <c r="N1313" s="7" t="str">
        <f>HYPERLINK("C:\Users\alexa\YandexDisk\Книги\ИИ\Общие вопросы\Programmiruem_kollektivny_razum.pdf","Programmiruem_kollektivny_razum.pdf")</f>
        <v>Programmiruem_kollektivny_razum.pdf</v>
      </c>
      <c r="O1313" s="5" t="s">
        <v>5303</v>
      </c>
    </row>
    <row r="1314" spans="1:15" ht="151.80000000000001" x14ac:dyDescent="0.3">
      <c r="A1314" s="2">
        <v>1313</v>
      </c>
      <c r="B1314" s="3" t="s">
        <v>5304</v>
      </c>
      <c r="C1314" s="3" t="s">
        <v>5305</v>
      </c>
      <c r="D1314" s="3" t="s">
        <v>32</v>
      </c>
      <c r="E1314" s="3" t="s">
        <v>205</v>
      </c>
      <c r="F1314" s="3" t="s">
        <v>5193</v>
      </c>
      <c r="G1314" s="3" t="s">
        <v>4637</v>
      </c>
      <c r="H1314" s="3" t="s">
        <v>199</v>
      </c>
      <c r="I1314" s="3" t="s">
        <v>20</v>
      </c>
      <c r="J1314" s="3">
        <v>16.12</v>
      </c>
      <c r="K1314" s="3" t="s">
        <v>21</v>
      </c>
      <c r="L1314" s="3" t="s">
        <v>5306</v>
      </c>
      <c r="M1314" s="3" t="s">
        <v>5195</v>
      </c>
      <c r="N1314" s="6" t="str">
        <f>HYPERLINK("C:\Users\alexa\YandexDisk\Книги\ИИ\Общие вопросы\Python_Artificial_Intelligence_Projects_for_Beginners_Get_up_and.pdf","Python_Artificial_Intelligence_Projects_for_Beginners_Get_up_and.pdf")</f>
        <v>Python_Artificial_Intelligence_Projects_for_Beginners_Get_up_and.pdf</v>
      </c>
      <c r="O1314" s="3" t="s">
        <v>5307</v>
      </c>
    </row>
    <row r="1315" spans="1:15" ht="165.6" x14ac:dyDescent="0.3">
      <c r="A1315" s="4">
        <v>1314</v>
      </c>
      <c r="B1315" s="5" t="s">
        <v>5308</v>
      </c>
      <c r="C1315" s="5"/>
      <c r="D1315" s="5"/>
      <c r="E1315" s="5"/>
      <c r="F1315" s="5" t="s">
        <v>5193</v>
      </c>
      <c r="G1315" s="5" t="s">
        <v>4637</v>
      </c>
      <c r="H1315" s="5" t="s">
        <v>199</v>
      </c>
      <c r="I1315" s="5" t="s">
        <v>20</v>
      </c>
      <c r="J1315" s="5">
        <v>21.43</v>
      </c>
      <c r="K1315" s="5" t="s">
        <v>21</v>
      </c>
      <c r="L1315" s="5" t="s">
        <v>5308</v>
      </c>
      <c r="M1315" s="5" t="s">
        <v>5195</v>
      </c>
      <c r="N1315" s="7" t="str">
        <f>HYPERLINK("C:\Users\alexa\YandexDisk\Книги\ИИ\Общие вопросы\Rassel_S__Norvig_P4ed-figs.pdf","Rassel_S__Norvig_P4ed-figs.pdf")</f>
        <v>Rassel_S__Norvig_P4ed-figs.pdf</v>
      </c>
      <c r="O1315" s="5" t="s">
        <v>5309</v>
      </c>
    </row>
    <row r="1316" spans="1:15" ht="179.4" x14ac:dyDescent="0.3">
      <c r="A1316" s="2">
        <v>1315</v>
      </c>
      <c r="B1316" s="3" t="s">
        <v>5310</v>
      </c>
      <c r="C1316" s="3" t="s">
        <v>4809</v>
      </c>
      <c r="D1316" s="3" t="s">
        <v>71</v>
      </c>
      <c r="E1316" s="3" t="s">
        <v>536</v>
      </c>
      <c r="F1316" s="3" t="s">
        <v>5193</v>
      </c>
      <c r="G1316" s="3" t="s">
        <v>4637</v>
      </c>
      <c r="H1316" s="3" t="s">
        <v>199</v>
      </c>
      <c r="I1316" s="3" t="s">
        <v>20</v>
      </c>
      <c r="J1316" s="3">
        <v>31.8</v>
      </c>
      <c r="K1316" s="3" t="s">
        <v>21</v>
      </c>
      <c r="L1316" s="3" t="s">
        <v>5311</v>
      </c>
      <c r="M1316" s="3" t="s">
        <v>5195</v>
      </c>
      <c r="N1316" s="6" t="str">
        <f>HYPERLINK("C:\Users\alexa\YandexDisk\Книги\ИИ\Общие вопросы\Software_Engineers_Guide_to_DL_System_Design.pdf","Software_Engineers_Guide_to_DL_System_Design.pdf")</f>
        <v>Software_Engineers_Guide_to_DL_System_Design.pdf</v>
      </c>
      <c r="O1316" s="3" t="s">
        <v>5312</v>
      </c>
    </row>
    <row r="1317" spans="1:15" ht="193.2" x14ac:dyDescent="0.3">
      <c r="A1317" s="4">
        <v>1316</v>
      </c>
      <c r="B1317" s="5" t="s">
        <v>5313</v>
      </c>
      <c r="C1317" s="5" t="s">
        <v>5314</v>
      </c>
      <c r="D1317" s="5"/>
      <c r="E1317" s="5" t="s">
        <v>37</v>
      </c>
      <c r="F1317" s="5" t="s">
        <v>5193</v>
      </c>
      <c r="G1317" s="5" t="s">
        <v>4637</v>
      </c>
      <c r="H1317" s="5" t="s">
        <v>199</v>
      </c>
      <c r="I1317" s="5" t="s">
        <v>20</v>
      </c>
      <c r="J1317" s="5">
        <v>36.74</v>
      </c>
      <c r="K1317" s="5" t="s">
        <v>21</v>
      </c>
      <c r="L1317" s="5" t="s">
        <v>5315</v>
      </c>
      <c r="M1317" s="5" t="s">
        <v>5195</v>
      </c>
      <c r="N1317" s="7" t="str">
        <f>HYPERLINK("C:\Users\alexa\YandexDisk\Книги\ИИ\Общие вопросы\Stuart_Russel_Peter_Norwig_Artificial_Intelligence_a_Modern_Approach.pdf","Stuart_Russel_Peter_Norwig_Artificial_Intelligence_a_Modern_Approach.pdf")</f>
        <v>Stuart_Russel_Peter_Norwig_Artificial_Intelligence_a_Modern_Approach.pdf</v>
      </c>
      <c r="O1317" s="5" t="s">
        <v>5316</v>
      </c>
    </row>
    <row r="1318" spans="1:15" ht="207" x14ac:dyDescent="0.3">
      <c r="A1318" s="2">
        <v>1317</v>
      </c>
      <c r="B1318" s="3" t="s">
        <v>5317</v>
      </c>
      <c r="C1318" s="3" t="s">
        <v>5318</v>
      </c>
      <c r="D1318" s="3" t="s">
        <v>109</v>
      </c>
      <c r="E1318" s="3" t="s">
        <v>192</v>
      </c>
      <c r="F1318" s="3" t="s">
        <v>5193</v>
      </c>
      <c r="G1318" s="3" t="s">
        <v>4637</v>
      </c>
      <c r="H1318" s="3" t="s">
        <v>199</v>
      </c>
      <c r="I1318" s="3" t="s">
        <v>20</v>
      </c>
      <c r="J1318" s="3">
        <v>18.170000000000002</v>
      </c>
      <c r="K1318" s="3" t="s">
        <v>21</v>
      </c>
      <c r="L1318" s="3" t="s">
        <v>5319</v>
      </c>
      <c r="M1318" s="3" t="s">
        <v>5195</v>
      </c>
      <c r="N1318" s="6" t="str">
        <f>HYPERLINK("C:\Users\alexa\YandexDisk\Книги\ИИ\Общие вопросы\Synthetic Data and Generative AI_True.pdf","Synthetic Data and Generative AI_True.pdf")</f>
        <v>Synthetic Data and Generative AI_True.pdf</v>
      </c>
      <c r="O1318" s="3" t="s">
        <v>5320</v>
      </c>
    </row>
    <row r="1319" spans="1:15" ht="193.2" x14ac:dyDescent="0.3">
      <c r="A1319" s="4">
        <v>1318</v>
      </c>
      <c r="B1319" s="5" t="s">
        <v>5321</v>
      </c>
      <c r="C1319" s="5" t="s">
        <v>5322</v>
      </c>
      <c r="D1319" s="5" t="s">
        <v>71</v>
      </c>
      <c r="E1319" s="5" t="s">
        <v>5323</v>
      </c>
      <c r="F1319" s="5" t="s">
        <v>5193</v>
      </c>
      <c r="G1319" s="5" t="s">
        <v>4637</v>
      </c>
      <c r="H1319" s="5" t="s">
        <v>199</v>
      </c>
      <c r="I1319" s="5" t="s">
        <v>20</v>
      </c>
      <c r="J1319" s="5">
        <v>1.95</v>
      </c>
      <c r="K1319" s="5" t="s">
        <v>21</v>
      </c>
      <c r="L1319" s="5" t="s">
        <v>5324</v>
      </c>
      <c r="M1319" s="5" t="s">
        <v>5195</v>
      </c>
      <c r="N1319" s="7" t="str">
        <f>HYPERLINK("C:\Users\alexa\YandexDisk\Книги\ИИ\Общие вопросы\The Smiling Chatbot.pdf","The Smiling Chatbot.pdf")</f>
        <v>The Smiling Chatbot.pdf</v>
      </c>
      <c r="O1319" s="5" t="s">
        <v>5325</v>
      </c>
    </row>
    <row r="1320" spans="1:15" ht="165.6" x14ac:dyDescent="0.3">
      <c r="A1320" s="2">
        <v>1319</v>
      </c>
      <c r="B1320" s="3" t="s">
        <v>5326</v>
      </c>
      <c r="C1320" s="3" t="s">
        <v>5327</v>
      </c>
      <c r="D1320" s="3" t="s">
        <v>335</v>
      </c>
      <c r="E1320" s="3" t="s">
        <v>536</v>
      </c>
      <c r="F1320" s="3" t="s">
        <v>5193</v>
      </c>
      <c r="G1320" s="3" t="s">
        <v>4637</v>
      </c>
      <c r="H1320" s="3" t="s">
        <v>199</v>
      </c>
      <c r="I1320" s="3" t="s">
        <v>20</v>
      </c>
      <c r="J1320" s="3">
        <v>46.3</v>
      </c>
      <c r="K1320" s="3" t="s">
        <v>21</v>
      </c>
      <c r="L1320" s="3" t="s">
        <v>5328</v>
      </c>
      <c r="M1320" s="3" t="s">
        <v>5195</v>
      </c>
      <c r="N1320" s="6" t="str">
        <f>HYPERLINK("C:\Users\alexa\YandexDisk\Книги\ИИ\Общие вопросы\The_Art_of_AI_Product_Development_Delivering_business_value_with.pdf","The_Art_of_AI_Product_Development_Delivering_business_value_with.pdf")</f>
        <v>The_Art_of_AI_Product_Development_Delivering_business_value_with.pdf</v>
      </c>
      <c r="O1320" s="3" t="s">
        <v>5329</v>
      </c>
    </row>
    <row r="1321" spans="1:15" ht="193.2" x14ac:dyDescent="0.3">
      <c r="A1321" s="4">
        <v>1320</v>
      </c>
      <c r="B1321" s="5" t="s">
        <v>5330</v>
      </c>
      <c r="C1321" s="5" t="s">
        <v>5331</v>
      </c>
      <c r="D1321" s="5"/>
      <c r="E1321" s="5" t="s">
        <v>678</v>
      </c>
      <c r="F1321" s="5" t="s">
        <v>5193</v>
      </c>
      <c r="G1321" s="5" t="s">
        <v>4637</v>
      </c>
      <c r="H1321" s="5" t="s">
        <v>199</v>
      </c>
      <c r="I1321" s="5" t="s">
        <v>20</v>
      </c>
      <c r="J1321" s="5">
        <v>12.69</v>
      </c>
      <c r="K1321" s="5" t="s">
        <v>21</v>
      </c>
      <c r="L1321" s="5" t="s">
        <v>5332</v>
      </c>
      <c r="M1321" s="5" t="s">
        <v>5195</v>
      </c>
      <c r="N1321" s="7" t="str">
        <f>HYPERLINK("C:\Users\alexa\YandexDisk\Книги\ИИ\Общие вопросы\The_Elements_Of_Statistical_Learning_Data_Mining_Inference_and_Prediction.pdf","The_Elements_Of_Statistical_Learning_Data_Mining_Inference_and_Prediction.pdf")</f>
        <v>The_Elements_Of_Statistical_Learning_Data_Mining_Inference_and_Prediction.pdf</v>
      </c>
      <c r="O1321" s="5" t="s">
        <v>5333</v>
      </c>
    </row>
    <row r="1322" spans="1:15" ht="193.2" x14ac:dyDescent="0.3">
      <c r="A1322" s="2">
        <v>1321</v>
      </c>
      <c r="B1322" s="3" t="s">
        <v>5334</v>
      </c>
      <c r="C1322" s="3" t="s">
        <v>5335</v>
      </c>
      <c r="D1322" s="3" t="s">
        <v>59</v>
      </c>
      <c r="E1322" s="3" t="s">
        <v>726</v>
      </c>
      <c r="F1322" s="3" t="s">
        <v>5193</v>
      </c>
      <c r="G1322" s="3" t="s">
        <v>4637</v>
      </c>
      <c r="H1322" s="3" t="s">
        <v>199</v>
      </c>
      <c r="I1322" s="3" t="s">
        <v>20</v>
      </c>
      <c r="J1322" s="3">
        <v>5.5</v>
      </c>
      <c r="K1322" s="3" t="s">
        <v>21</v>
      </c>
      <c r="L1322" s="3" t="s">
        <v>5336</v>
      </c>
      <c r="M1322" s="3" t="s">
        <v>5195</v>
      </c>
      <c r="N1322" s="6" t="str">
        <f>HYPERLINK("C:\Users\alexa\YandexDisk\Книги\ИИ\Общие вопросы\Автономный ИИ.pdf","Автономный ИИ.pdf")</f>
        <v>Автономный ИИ.pdf</v>
      </c>
      <c r="O1322" s="3" t="s">
        <v>5337</v>
      </c>
    </row>
    <row r="1323" spans="1:15" ht="193.2" x14ac:dyDescent="0.3">
      <c r="A1323" s="4">
        <v>1322</v>
      </c>
      <c r="B1323" s="5" t="s">
        <v>5338</v>
      </c>
      <c r="C1323" s="5" t="s">
        <v>5339</v>
      </c>
      <c r="D1323" s="5" t="s">
        <v>335</v>
      </c>
      <c r="E1323" s="5" t="s">
        <v>102</v>
      </c>
      <c r="F1323" s="5" t="s">
        <v>5193</v>
      </c>
      <c r="G1323" s="5" t="s">
        <v>4637</v>
      </c>
      <c r="H1323" s="5" t="s">
        <v>199</v>
      </c>
      <c r="I1323" s="5" t="s">
        <v>20</v>
      </c>
      <c r="J1323" s="5">
        <v>12.74</v>
      </c>
      <c r="K1323" s="5" t="s">
        <v>21</v>
      </c>
      <c r="L1323" s="5" t="s">
        <v>5340</v>
      </c>
      <c r="M1323" s="5" t="s">
        <v>5195</v>
      </c>
      <c r="N1323" s="7" t="str">
        <f>HYPERLINK("C:\Users\alexa\YandexDisk\Книги\ИИ\Общие вопросы\Агентный искусственный интеллект..pdf","Агентный искусственный интеллект..pdf")</f>
        <v>Агентный искусственный интеллект..pdf</v>
      </c>
      <c r="O1323" s="5" t="s">
        <v>5341</v>
      </c>
    </row>
    <row r="1324" spans="1:15" ht="317.39999999999998" x14ac:dyDescent="0.3">
      <c r="A1324" s="2">
        <v>1323</v>
      </c>
      <c r="B1324" s="3" t="s">
        <v>5342</v>
      </c>
      <c r="C1324" s="3" t="s">
        <v>5343</v>
      </c>
      <c r="D1324" s="3" t="s">
        <v>274</v>
      </c>
      <c r="E1324" s="3"/>
      <c r="F1324" s="3" t="s">
        <v>5193</v>
      </c>
      <c r="G1324" s="3" t="s">
        <v>4637</v>
      </c>
      <c r="H1324" s="3" t="s">
        <v>199</v>
      </c>
      <c r="I1324" s="3" t="s">
        <v>20</v>
      </c>
      <c r="J1324" s="3">
        <v>12.79</v>
      </c>
      <c r="K1324" s="3" t="s">
        <v>21</v>
      </c>
      <c r="L1324" s="3" t="s">
        <v>5344</v>
      </c>
      <c r="M1324" s="3" t="s">
        <v>5195</v>
      </c>
      <c r="N1324" s="6" t="str">
        <f>HYPERLINK("C:\Users\alexa\YandexDisk\Книги\ИИ\Общие вопросы\Барбер Bayesian_Reasoning_and_Machine_Learning2007-2010.pdf","Барбер Bayesian_Reasoning_and_Machine_Learning2007-2010.pdf")</f>
        <v>Барбер Bayesian_Reasoning_and_Machine_Learning2007-2010.pdf</v>
      </c>
      <c r="O1324" s="3" t="s">
        <v>5345</v>
      </c>
    </row>
    <row r="1325" spans="1:15" ht="165.6" x14ac:dyDescent="0.3">
      <c r="A1325" s="4">
        <v>1324</v>
      </c>
      <c r="B1325" s="5" t="s">
        <v>5346</v>
      </c>
      <c r="C1325" s="5" t="s">
        <v>5347</v>
      </c>
      <c r="D1325" s="5"/>
      <c r="E1325" s="5"/>
      <c r="F1325" s="5" t="s">
        <v>5193</v>
      </c>
      <c r="G1325" s="5" t="s">
        <v>4637</v>
      </c>
      <c r="H1325" s="5" t="s">
        <v>199</v>
      </c>
      <c r="I1325" s="5" t="s">
        <v>20</v>
      </c>
      <c r="J1325" s="5">
        <v>59.89</v>
      </c>
      <c r="K1325" s="5" t="s">
        <v>21</v>
      </c>
      <c r="L1325" s="5" t="s">
        <v>5348</v>
      </c>
      <c r="M1325" s="5" t="s">
        <v>5195</v>
      </c>
      <c r="N1325" s="7" t="str">
        <f>HYPERLINK("C:\Users\alexa\YandexDisk\Книги\ИИ\Общие вопросы\Белда Razum_mashiny_i_matematika_Iskusstvenny_intel.pdf","Белда Razum_mashiny_i_matematika_Iskusstvenny_intel.pdf")</f>
        <v>Белда Razum_mashiny_i_matematika_Iskusstvenny_intel.pdf</v>
      </c>
      <c r="O1325" s="5" t="s">
        <v>5349</v>
      </c>
    </row>
    <row r="1326" spans="1:15" ht="207" x14ac:dyDescent="0.3">
      <c r="A1326" s="2">
        <v>1325</v>
      </c>
      <c r="B1326" s="3" t="s">
        <v>5350</v>
      </c>
      <c r="C1326" s="3" t="s">
        <v>5351</v>
      </c>
      <c r="D1326" s="3" t="s">
        <v>59</v>
      </c>
      <c r="E1326" s="3" t="s">
        <v>5352</v>
      </c>
      <c r="F1326" s="3" t="s">
        <v>5193</v>
      </c>
      <c r="G1326" s="3" t="s">
        <v>4637</v>
      </c>
      <c r="H1326" s="3" t="s">
        <v>199</v>
      </c>
      <c r="I1326" s="3" t="s">
        <v>20</v>
      </c>
      <c r="J1326" s="3">
        <v>24.92</v>
      </c>
      <c r="K1326" s="3" t="s">
        <v>21</v>
      </c>
      <c r="L1326" s="3" t="s">
        <v>5353</v>
      </c>
      <c r="M1326" s="3" t="s">
        <v>5195</v>
      </c>
      <c r="N1326" s="6" t="str">
        <f>HYPERLINK("C:\Users\alexa\YandexDisk\Книги\ИИ\Общие вопросы\Введение в ИИ.pdf","Введение в ИИ.pdf")</f>
        <v>Введение в ИИ.pdf</v>
      </c>
      <c r="O1326" s="3" t="s">
        <v>5354</v>
      </c>
    </row>
    <row r="1327" spans="1:15" ht="179.4" x14ac:dyDescent="0.3">
      <c r="A1327" s="4">
        <v>1326</v>
      </c>
      <c r="B1327" s="5" t="s">
        <v>5355</v>
      </c>
      <c r="C1327" s="5" t="s">
        <v>5356</v>
      </c>
      <c r="D1327" s="5" t="s">
        <v>71</v>
      </c>
      <c r="E1327" s="5" t="s">
        <v>5357</v>
      </c>
      <c r="F1327" s="5" t="s">
        <v>5193</v>
      </c>
      <c r="G1327" s="5" t="s">
        <v>4637</v>
      </c>
      <c r="H1327" s="5" t="s">
        <v>199</v>
      </c>
      <c r="I1327" s="5" t="s">
        <v>20</v>
      </c>
      <c r="J1327" s="5">
        <v>9.39</v>
      </c>
      <c r="K1327" s="5" t="s">
        <v>21</v>
      </c>
      <c r="L1327" s="5" t="s">
        <v>5358</v>
      </c>
      <c r="M1327" s="5" t="s">
        <v>5195</v>
      </c>
      <c r="N1327" s="7" t="str">
        <f>HYPERLINK("C:\Users\alexa\YandexDisk\Книги\ИИ\Общие вопросы\Виртуальная реальность.pdf","Виртуальная реальность.pdf")</f>
        <v>Виртуальная реальность.pdf</v>
      </c>
      <c r="O1327" s="5" t="s">
        <v>5359</v>
      </c>
    </row>
    <row r="1328" spans="1:15" ht="165.6" x14ac:dyDescent="0.3">
      <c r="A1328" s="2">
        <v>1327</v>
      </c>
      <c r="B1328" s="3" t="s">
        <v>5360</v>
      </c>
      <c r="C1328" s="3" t="s">
        <v>5361</v>
      </c>
      <c r="D1328" s="3" t="s">
        <v>335</v>
      </c>
      <c r="E1328" s="3" t="s">
        <v>102</v>
      </c>
      <c r="F1328" s="3" t="s">
        <v>5193</v>
      </c>
      <c r="G1328" s="3" t="s">
        <v>4637</v>
      </c>
      <c r="H1328" s="3" t="s">
        <v>199</v>
      </c>
      <c r="I1328" s="3" t="s">
        <v>20</v>
      </c>
      <c r="J1328" s="3">
        <v>10.81</v>
      </c>
      <c r="K1328" s="3" t="s">
        <v>21</v>
      </c>
      <c r="L1328" s="3" t="s">
        <v>5362</v>
      </c>
      <c r="M1328" s="3" t="s">
        <v>5195</v>
      </c>
      <c r="N1328" s="6" t="str">
        <f>HYPERLINK("C:\Users\alexa\YandexDisk\Книги\ИИ\Общие вопросы\Генеративный искусственный интеллект.pdf","Генеративный искусственный интеллект.pdf")</f>
        <v>Генеративный искусственный интеллект.pdf</v>
      </c>
      <c r="O1328" s="3" t="s">
        <v>5363</v>
      </c>
    </row>
    <row r="1329" spans="1:15" ht="165.6" x14ac:dyDescent="0.3">
      <c r="A1329" s="4">
        <v>1328</v>
      </c>
      <c r="B1329" s="5" t="s">
        <v>5364</v>
      </c>
      <c r="C1329" s="5" t="s">
        <v>5365</v>
      </c>
      <c r="D1329" s="5" t="s">
        <v>59</v>
      </c>
      <c r="E1329" s="5" t="s">
        <v>102</v>
      </c>
      <c r="F1329" s="5" t="s">
        <v>5193</v>
      </c>
      <c r="G1329" s="5" t="s">
        <v>4637</v>
      </c>
      <c r="H1329" s="5" t="s">
        <v>199</v>
      </c>
      <c r="I1329" s="5" t="s">
        <v>20</v>
      </c>
      <c r="J1329" s="5">
        <v>7.18</v>
      </c>
      <c r="K1329" s="5" t="s">
        <v>21</v>
      </c>
      <c r="L1329" s="5" t="s">
        <v>5366</v>
      </c>
      <c r="M1329" s="5" t="s">
        <v>5195</v>
      </c>
      <c r="N1329" s="7" t="str">
        <f>HYPERLINK("C:\Users\alexa\YandexDisk\Книги\ИИ\Общие вопросы\Генетические_алгоритмы_на_Python 2020.pdf","Генетические_алгоритмы_на_Python 2020.pdf")</f>
        <v>Генетические_алгоритмы_на_Python 2020.pdf</v>
      </c>
      <c r="O1329" s="5" t="s">
        <v>5367</v>
      </c>
    </row>
    <row r="1330" spans="1:15" ht="151.80000000000001" x14ac:dyDescent="0.3">
      <c r="A1330" s="2">
        <v>1329</v>
      </c>
      <c r="B1330" s="3" t="s">
        <v>5192</v>
      </c>
      <c r="C1330" s="3"/>
      <c r="D1330" s="3"/>
      <c r="E1330" s="3"/>
      <c r="F1330" s="3" t="s">
        <v>5193</v>
      </c>
      <c r="G1330" s="3" t="s">
        <v>4637</v>
      </c>
      <c r="H1330" s="3" t="s">
        <v>199</v>
      </c>
      <c r="I1330" s="3" t="s">
        <v>20</v>
      </c>
      <c r="J1330" s="3">
        <v>8.73</v>
      </c>
      <c r="K1330" s="3" t="s">
        <v>21</v>
      </c>
      <c r="L1330" s="3" t="s">
        <v>5368</v>
      </c>
      <c r="M1330" s="3" t="s">
        <v>5195</v>
      </c>
      <c r="N1330" s="6" t="str">
        <f>HYPERLINK("C:\Users\alexa\YandexDisk\Книги\ИИ\Общие вопросы\Грокаем алгоритмы искусственного интеллекта.pdf","Грокаем алгоритмы искусственного интеллекта.pdf")</f>
        <v>Грокаем алгоритмы искусственного интеллекта.pdf</v>
      </c>
      <c r="O1330" s="3" t="s">
        <v>5369</v>
      </c>
    </row>
    <row r="1331" spans="1:15" ht="207" x14ac:dyDescent="0.3">
      <c r="A1331" s="4">
        <v>1330</v>
      </c>
      <c r="B1331" s="5" t="s">
        <v>5334</v>
      </c>
      <c r="C1331" s="5" t="s">
        <v>5335</v>
      </c>
      <c r="D1331" s="5" t="s">
        <v>1022</v>
      </c>
      <c r="E1331" s="5" t="s">
        <v>5370</v>
      </c>
      <c r="F1331" s="5" t="s">
        <v>5193</v>
      </c>
      <c r="G1331" s="5" t="s">
        <v>4637</v>
      </c>
      <c r="H1331" s="5" t="s">
        <v>199</v>
      </c>
      <c r="I1331" s="5" t="s">
        <v>20</v>
      </c>
      <c r="J1331" s="5">
        <v>3.8</v>
      </c>
      <c r="K1331" s="5" t="s">
        <v>21</v>
      </c>
      <c r="L1331" s="5" t="s">
        <v>5371</v>
      </c>
      <c r="M1331" s="5" t="s">
        <v>5195</v>
      </c>
      <c r="N1331" s="7" t="str">
        <f>HYPERLINK("C:\Users\alexa\YandexDisk\Книги\ИИ\Общие вопросы\Жданов_А_Автономный_искусственный_интеллект_4_е_издание_Адаптивные.pdf","Жданов_А_Автономный_искусственный_интеллект_4_е_издание_Адаптивные.pdf")</f>
        <v>Жданов_А_Автономный_искусственный_интеллект_4_е_издание_Адаптивные.pdf</v>
      </c>
      <c r="O1331" s="5" t="s">
        <v>5372</v>
      </c>
    </row>
    <row r="1332" spans="1:15" ht="220.8" x14ac:dyDescent="0.3">
      <c r="A1332" s="2">
        <v>1331</v>
      </c>
      <c r="B1332" s="3" t="s">
        <v>5373</v>
      </c>
      <c r="C1332" s="3" t="s">
        <v>5374</v>
      </c>
      <c r="D1332" s="3" t="s">
        <v>71</v>
      </c>
      <c r="E1332" s="3" t="s">
        <v>303</v>
      </c>
      <c r="F1332" s="3" t="s">
        <v>5193</v>
      </c>
      <c r="G1332" s="3" t="s">
        <v>4637</v>
      </c>
      <c r="H1332" s="3" t="s">
        <v>199</v>
      </c>
      <c r="I1332" s="3" t="s">
        <v>20</v>
      </c>
      <c r="J1332" s="3">
        <v>11.78</v>
      </c>
      <c r="K1332" s="3" t="s">
        <v>21</v>
      </c>
      <c r="L1332" s="3" t="s">
        <v>5375</v>
      </c>
      <c r="M1332" s="3" t="s">
        <v>5195</v>
      </c>
      <c r="N1332" s="6" t="str">
        <f>HYPERLINK("C:\Users\alexa\YandexDisk\Книги\ИИ\Общие вопросы\ИИ 10 образов нашего будущего.pdf","ИИ 10 образов нашего будущего.pdf")</f>
        <v>ИИ 10 образов нашего будущего.pdf</v>
      </c>
      <c r="O1332" s="3" t="s">
        <v>5376</v>
      </c>
    </row>
    <row r="1333" spans="1:15" ht="179.4" x14ac:dyDescent="0.3">
      <c r="A1333" s="4">
        <v>1332</v>
      </c>
      <c r="B1333" s="5" t="s">
        <v>5377</v>
      </c>
      <c r="C1333" s="5" t="s">
        <v>5378</v>
      </c>
      <c r="D1333" s="5"/>
      <c r="E1333" s="5" t="s">
        <v>2183</v>
      </c>
      <c r="F1333" s="5" t="s">
        <v>5193</v>
      </c>
      <c r="G1333" s="5" t="s">
        <v>4637</v>
      </c>
      <c r="H1333" s="5" t="s">
        <v>199</v>
      </c>
      <c r="I1333" s="5" t="s">
        <v>20</v>
      </c>
      <c r="J1333" s="5">
        <v>43.16</v>
      </c>
      <c r="K1333" s="5" t="s">
        <v>21</v>
      </c>
      <c r="L1333" s="5" t="s">
        <v>5379</v>
      </c>
      <c r="M1333" s="5" t="s">
        <v>5195</v>
      </c>
      <c r="N1333" s="7" t="str">
        <f>HYPERLINK("C:\Users\alexa\YandexDisk\Книги\ИИ\Общие вопросы\ИИ в обучении (англ).pdf","ИИ в обучении (англ).pdf")</f>
        <v>ИИ в обучении (англ).pdf</v>
      </c>
      <c r="O1333" s="5" t="s">
        <v>5380</v>
      </c>
    </row>
    <row r="1334" spans="1:15" ht="179.4" x14ac:dyDescent="0.3">
      <c r="A1334" s="2">
        <v>1333</v>
      </c>
      <c r="B1334" s="3" t="s">
        <v>5381</v>
      </c>
      <c r="C1334" s="3" t="s">
        <v>4923</v>
      </c>
      <c r="D1334" s="3" t="s">
        <v>77</v>
      </c>
      <c r="E1334" s="3" t="s">
        <v>1431</v>
      </c>
      <c r="F1334" s="3" t="s">
        <v>5193</v>
      </c>
      <c r="G1334" s="3" t="s">
        <v>4637</v>
      </c>
      <c r="H1334" s="3" t="s">
        <v>199</v>
      </c>
      <c r="I1334" s="3" t="s">
        <v>20</v>
      </c>
      <c r="J1334" s="3">
        <v>18.02</v>
      </c>
      <c r="K1334" s="3" t="s">
        <v>21</v>
      </c>
      <c r="L1334" s="3" t="s">
        <v>5382</v>
      </c>
      <c r="M1334" s="3" t="s">
        <v>5195</v>
      </c>
      <c r="N1334" s="6" t="str">
        <f>HYPERLINK("C:\Users\alexa\YandexDisk\Книги\ИИ\Общие вопросы\ИИ для чайников.pdf","ИИ для чайников.pdf")</f>
        <v>ИИ для чайников.pdf</v>
      </c>
      <c r="O1334" s="3" t="s">
        <v>5383</v>
      </c>
    </row>
    <row r="1335" spans="1:15" ht="179.4" x14ac:dyDescent="0.3">
      <c r="A1335" s="4">
        <v>1334</v>
      </c>
      <c r="B1335" s="5" t="s">
        <v>5384</v>
      </c>
      <c r="C1335" s="5" t="s">
        <v>5385</v>
      </c>
      <c r="D1335" s="5" t="s">
        <v>77</v>
      </c>
      <c r="E1335" s="5" t="s">
        <v>205</v>
      </c>
      <c r="F1335" s="5" t="s">
        <v>5193</v>
      </c>
      <c r="G1335" s="5" t="s">
        <v>4637</v>
      </c>
      <c r="H1335" s="5" t="s">
        <v>199</v>
      </c>
      <c r="I1335" s="5" t="s">
        <v>20</v>
      </c>
      <c r="J1335" s="5">
        <v>69.7</v>
      </c>
      <c r="K1335" s="5" t="s">
        <v>21</v>
      </c>
      <c r="L1335" s="5" t="s">
        <v>5386</v>
      </c>
      <c r="M1335" s="5" t="s">
        <v>5195</v>
      </c>
      <c r="N1335" s="7" t="str">
        <f>HYPERLINK("C:\Users\alexa\YandexDisk\Книги\ИИ\Общие вопросы\ИИ с примерами на_Python_2019.pdf","ИИ с примерами на_Python_2019.pdf")</f>
        <v>ИИ с примерами на_Python_2019.pdf</v>
      </c>
      <c r="O1335" s="5" t="s">
        <v>5387</v>
      </c>
    </row>
    <row r="1336" spans="1:15" ht="151.80000000000001" x14ac:dyDescent="0.3">
      <c r="A1336" s="2">
        <v>1335</v>
      </c>
      <c r="B1336" s="3" t="s">
        <v>5388</v>
      </c>
      <c r="C1336" s="3"/>
      <c r="D1336" s="3"/>
      <c r="E1336" s="3"/>
      <c r="F1336" s="3" t="s">
        <v>5193</v>
      </c>
      <c r="G1336" s="3" t="s">
        <v>4637</v>
      </c>
      <c r="H1336" s="3" t="s">
        <v>199</v>
      </c>
      <c r="I1336" s="3" t="s">
        <v>519</v>
      </c>
      <c r="J1336" s="3">
        <v>256.25</v>
      </c>
      <c r="K1336" s="3" t="s">
        <v>21</v>
      </c>
      <c r="L1336" s="3" t="s">
        <v>5389</v>
      </c>
      <c r="M1336" s="3" t="s">
        <v>5195</v>
      </c>
      <c r="N1336" s="6" t="str">
        <f>HYPERLINK("C:\Users\alexa\YandexDisk\Книги\ИИ\Общие вопросы\ИИ современный подход, 4-е изд. в 3-х томах.zip","ИИ современный подход, 4-е изд. в 3-х томах.zip")</f>
        <v>ИИ современный подход, 4-е изд. в 3-х томах.zip</v>
      </c>
      <c r="O1336" s="3" t="s">
        <v>5390</v>
      </c>
    </row>
    <row r="1337" spans="1:15" ht="151.80000000000001" x14ac:dyDescent="0.3">
      <c r="A1337" s="4">
        <v>1336</v>
      </c>
      <c r="B1337" s="5" t="s">
        <v>5391</v>
      </c>
      <c r="C1337" s="5" t="s">
        <v>5392</v>
      </c>
      <c r="D1337" s="5" t="s">
        <v>59</v>
      </c>
      <c r="E1337" s="5" t="s">
        <v>726</v>
      </c>
      <c r="F1337" s="5" t="s">
        <v>5193</v>
      </c>
      <c r="G1337" s="5" t="s">
        <v>4637</v>
      </c>
      <c r="H1337" s="5" t="s">
        <v>199</v>
      </c>
      <c r="I1337" s="5" t="s">
        <v>20</v>
      </c>
      <c r="J1337" s="5">
        <v>7.79</v>
      </c>
      <c r="K1337" s="5" t="s">
        <v>21</v>
      </c>
      <c r="L1337" s="5" t="s">
        <v>5393</v>
      </c>
      <c r="M1337" s="5" t="s">
        <v>5195</v>
      </c>
      <c r="N1337" s="7" t="str">
        <f>HYPERLINK("C:\Users\alexa\YandexDisk\Книги\ИИ\Общие вопросы\Интеллектуальные системы.pdf","Интеллектуальные системы.pdf")</f>
        <v>Интеллектуальные системы.pdf</v>
      </c>
      <c r="O1337" s="5" t="s">
        <v>5394</v>
      </c>
    </row>
    <row r="1338" spans="1:15" ht="179.4" x14ac:dyDescent="0.3">
      <c r="A1338" s="2">
        <v>1337</v>
      </c>
      <c r="B1338" s="3" t="s">
        <v>5395</v>
      </c>
      <c r="C1338" s="3" t="s">
        <v>5396</v>
      </c>
      <c r="D1338" s="3" t="s">
        <v>71</v>
      </c>
      <c r="E1338" s="3" t="s">
        <v>5397</v>
      </c>
      <c r="F1338" s="3" t="s">
        <v>5193</v>
      </c>
      <c r="G1338" s="3" t="s">
        <v>4637</v>
      </c>
      <c r="H1338" s="3" t="s">
        <v>199</v>
      </c>
      <c r="I1338" s="3" t="s">
        <v>20</v>
      </c>
      <c r="J1338" s="3">
        <v>96.65</v>
      </c>
      <c r="K1338" s="3" t="s">
        <v>21</v>
      </c>
      <c r="L1338" s="3" t="s">
        <v>5398</v>
      </c>
      <c r="M1338" s="3" t="s">
        <v>5195</v>
      </c>
      <c r="N1338" s="6" t="str">
        <f>HYPERLINK("C:\Users\alexa\YandexDisk\Книги\ИИ\Общие вопросы\Интеллектуальные_технологии_проектирования_ИИ.pdf","Интеллектуальные_технологии_проектирования_ИИ.pdf")</f>
        <v>Интеллектуальные_технологии_проектирования_ИИ.pdf</v>
      </c>
      <c r="O1338" s="3" t="s">
        <v>5399</v>
      </c>
    </row>
    <row r="1339" spans="1:15" ht="179.4" x14ac:dyDescent="0.3">
      <c r="A1339" s="4">
        <v>1338</v>
      </c>
      <c r="B1339" s="5" t="s">
        <v>5400</v>
      </c>
      <c r="C1339" s="5" t="s">
        <v>5401</v>
      </c>
      <c r="D1339" s="5" t="s">
        <v>32</v>
      </c>
      <c r="E1339" s="5" t="s">
        <v>1023</v>
      </c>
      <c r="F1339" s="5" t="s">
        <v>5193</v>
      </c>
      <c r="G1339" s="5" t="s">
        <v>4637</v>
      </c>
      <c r="H1339" s="5" t="s">
        <v>199</v>
      </c>
      <c r="I1339" s="5" t="s">
        <v>20</v>
      </c>
      <c r="J1339" s="5">
        <v>33.75</v>
      </c>
      <c r="K1339" s="5" t="s">
        <v>21</v>
      </c>
      <c r="L1339" s="5" t="s">
        <v>5402</v>
      </c>
      <c r="M1339" s="5" t="s">
        <v>5195</v>
      </c>
      <c r="N1339" s="7" t="str">
        <f>HYPERLINK("C:\Users\alexa\YandexDisk\Книги\ИИ\Общие вопросы\Искусственный_интеллект_в_комиксах.pdf","Искусственный_интеллект_в_комиксах.pdf")</f>
        <v>Искусственный_интеллект_в_комиксах.pdf</v>
      </c>
      <c r="O1339" s="5" t="s">
        <v>5403</v>
      </c>
    </row>
    <row r="1340" spans="1:15" ht="151.80000000000001" x14ac:dyDescent="0.3">
      <c r="A1340" s="2">
        <v>1339</v>
      </c>
      <c r="B1340" s="3" t="s">
        <v>5404</v>
      </c>
      <c r="C1340" s="3" t="s">
        <v>692</v>
      </c>
      <c r="D1340" s="3" t="s">
        <v>77</v>
      </c>
      <c r="E1340" s="3" t="s">
        <v>308</v>
      </c>
      <c r="F1340" s="3" t="s">
        <v>5193</v>
      </c>
      <c r="G1340" s="3" t="s">
        <v>4637</v>
      </c>
      <c r="H1340" s="3" t="s">
        <v>199</v>
      </c>
      <c r="I1340" s="3" t="s">
        <v>20</v>
      </c>
      <c r="J1340" s="3">
        <v>18.03</v>
      </c>
      <c r="K1340" s="3" t="s">
        <v>21</v>
      </c>
      <c r="L1340" s="3" t="s">
        <v>5405</v>
      </c>
      <c r="M1340" s="3" t="s">
        <v>5195</v>
      </c>
      <c r="N1340" s="6" t="str">
        <f>HYPERLINK("C:\Users\alexa\YandexDisk\Книги\ИИ\Общие вопросы\Искусственный иттеллект для_чайников.pdf","Искусственный иттеллект для_чайников.pdf")</f>
        <v>Искусственный иттеллект для_чайников.pdf</v>
      </c>
      <c r="O1340" s="3" t="s">
        <v>5406</v>
      </c>
    </row>
    <row r="1341" spans="1:15" ht="248.4" x14ac:dyDescent="0.3">
      <c r="A1341" s="4">
        <v>1340</v>
      </c>
      <c r="B1341" s="5" t="s">
        <v>5407</v>
      </c>
      <c r="C1341" s="5" t="s">
        <v>5408</v>
      </c>
      <c r="D1341" s="5" t="s">
        <v>59</v>
      </c>
      <c r="E1341" s="5" t="s">
        <v>303</v>
      </c>
      <c r="F1341" s="5" t="s">
        <v>5193</v>
      </c>
      <c r="G1341" s="5" t="s">
        <v>4637</v>
      </c>
      <c r="H1341" s="5" t="s">
        <v>199</v>
      </c>
      <c r="I1341" s="5" t="s">
        <v>20</v>
      </c>
      <c r="J1341" s="5">
        <v>1.8</v>
      </c>
      <c r="K1341" s="5" t="s">
        <v>21</v>
      </c>
      <c r="L1341" s="5" t="s">
        <v>5409</v>
      </c>
      <c r="M1341" s="5" t="s">
        <v>5195</v>
      </c>
      <c r="N1341" s="7" t="str">
        <f>HYPERLINK("C:\Users\alexa\YandexDisk\Книги\ИИ\Общие вопросы\Искусственный_интеллект_на_практике_50_кейсов.pdf","Искусственный_интеллект_на_практике_50_кейсов.pdf")</f>
        <v>Искусственный_интеллект_на_практике_50_кейсов.pdf</v>
      </c>
      <c r="O1341" s="5" t="s">
        <v>5410</v>
      </c>
    </row>
    <row r="1342" spans="1:15" ht="248.4" x14ac:dyDescent="0.3">
      <c r="A1342" s="2">
        <v>1341</v>
      </c>
      <c r="B1342" s="3" t="s">
        <v>5411</v>
      </c>
      <c r="C1342" s="3" t="s">
        <v>5412</v>
      </c>
      <c r="D1342" s="3"/>
      <c r="E1342" s="3"/>
      <c r="F1342" s="3" t="s">
        <v>5193</v>
      </c>
      <c r="G1342" s="3" t="s">
        <v>4637</v>
      </c>
      <c r="H1342" s="3" t="s">
        <v>199</v>
      </c>
      <c r="I1342" s="3" t="s">
        <v>20</v>
      </c>
      <c r="J1342" s="3">
        <v>10.199999999999999</v>
      </c>
      <c r="K1342" s="3" t="s">
        <v>21</v>
      </c>
      <c r="L1342" s="3" t="s">
        <v>5413</v>
      </c>
      <c r="M1342" s="3" t="s">
        <v>5195</v>
      </c>
      <c r="N1342" s="6" t="str">
        <f>HYPERLINK("C:\Users\alexa\YandexDisk\Книги\ИИ\Общие вопросы\Искусственный_интеллект_Перезагрузка.pdf","Искусственный_интеллект_Перезагрузка.pdf")</f>
        <v>Искусственный_интеллект_Перезагрузка.pdf</v>
      </c>
      <c r="O1342" s="3" t="s">
        <v>5414</v>
      </c>
    </row>
    <row r="1343" spans="1:15" ht="165.6" x14ac:dyDescent="0.3">
      <c r="A1343" s="4">
        <v>1342</v>
      </c>
      <c r="B1343" s="5" t="s">
        <v>5384</v>
      </c>
      <c r="C1343" s="5" t="s">
        <v>5385</v>
      </c>
      <c r="D1343" s="5" t="s">
        <v>77</v>
      </c>
      <c r="E1343" s="5" t="s">
        <v>205</v>
      </c>
      <c r="F1343" s="5" t="s">
        <v>5193</v>
      </c>
      <c r="G1343" s="5" t="s">
        <v>4637</v>
      </c>
      <c r="H1343" s="5" t="s">
        <v>199</v>
      </c>
      <c r="I1343" s="5" t="s">
        <v>20</v>
      </c>
      <c r="J1343" s="5">
        <v>69.7</v>
      </c>
      <c r="K1343" s="5" t="s">
        <v>21</v>
      </c>
      <c r="L1343" s="5" t="s">
        <v>5415</v>
      </c>
      <c r="M1343" s="5" t="s">
        <v>5195</v>
      </c>
      <c r="N1343" s="7" t="str">
        <f>HYPERLINK("C:\Users\alexa\YandexDisk\Книги\ИИ\Общие вопросы\Искусственный_интеллект_с_примерами_на_Python.pdf","Искусственный_интеллект_с_примерами_на_Python.pdf")</f>
        <v>Искусственный_интеллект_с_примерами_на_Python.pdf</v>
      </c>
      <c r="O1343" s="5" t="s">
        <v>5416</v>
      </c>
    </row>
    <row r="1344" spans="1:15" ht="179.4" x14ac:dyDescent="0.3">
      <c r="A1344" s="2">
        <v>1343</v>
      </c>
      <c r="B1344" s="3" t="s">
        <v>5417</v>
      </c>
      <c r="C1344" s="3"/>
      <c r="D1344" s="3"/>
      <c r="E1344" s="3"/>
      <c r="F1344" s="3" t="s">
        <v>5193</v>
      </c>
      <c r="G1344" s="3" t="s">
        <v>4637</v>
      </c>
      <c r="H1344" s="3" t="s">
        <v>199</v>
      </c>
      <c r="I1344" s="3" t="s">
        <v>20</v>
      </c>
      <c r="J1344" s="3">
        <v>10.11</v>
      </c>
      <c r="K1344" s="3" t="s">
        <v>21</v>
      </c>
      <c r="L1344" s="3" t="s">
        <v>5418</v>
      </c>
      <c r="M1344" s="3" t="s">
        <v>5195</v>
      </c>
      <c r="N1344" s="6" t="str">
        <f>HYPERLINK("C:\Users\alexa\YandexDisk\Книги\ИИ\Общие вопросы\Искусственный_интеллект_–_для_вашего_бизнеса_.pdf","Искусственный_интеллект_–_для_вашего_бизнеса_.pdf")</f>
        <v>Искусственный_интеллект_–_для_вашего_бизнеса_.pdf</v>
      </c>
      <c r="O1344" s="3" t="s">
        <v>5419</v>
      </c>
    </row>
    <row r="1345" spans="1:15" ht="207" x14ac:dyDescent="0.3">
      <c r="A1345" s="4">
        <v>1344</v>
      </c>
      <c r="B1345" s="5" t="s">
        <v>5420</v>
      </c>
      <c r="C1345" s="5" t="s">
        <v>5421</v>
      </c>
      <c r="D1345" s="5" t="s">
        <v>77</v>
      </c>
      <c r="E1345" s="5" t="s">
        <v>102</v>
      </c>
      <c r="F1345" s="5" t="s">
        <v>5193</v>
      </c>
      <c r="G1345" s="5" t="s">
        <v>4637</v>
      </c>
      <c r="H1345" s="5" t="s">
        <v>199</v>
      </c>
      <c r="I1345" s="5" t="s">
        <v>20</v>
      </c>
      <c r="J1345" s="5">
        <v>3.3</v>
      </c>
      <c r="K1345" s="5" t="s">
        <v>21</v>
      </c>
      <c r="L1345" s="5" t="s">
        <v>5422</v>
      </c>
      <c r="M1345" s="5" t="s">
        <v>5195</v>
      </c>
      <c r="N1345" s="7" t="str">
        <f>HYPERLINK("C:\Users\alexa\YandexDisk\Книги\ИИ\Общие вопросы\Исусственный интеллект Душкин 2019.pdf","Исусственный интеллект Душкин 2019.pdf")</f>
        <v>Исусственный интеллект Душкин 2019.pdf</v>
      </c>
      <c r="O1345" s="5" t="s">
        <v>5423</v>
      </c>
    </row>
    <row r="1346" spans="1:15" ht="165.6" x14ac:dyDescent="0.3">
      <c r="A1346" s="2">
        <v>1345</v>
      </c>
      <c r="B1346" s="3" t="s">
        <v>5391</v>
      </c>
      <c r="C1346" s="3" t="s">
        <v>5392</v>
      </c>
      <c r="D1346" s="3" t="s">
        <v>59</v>
      </c>
      <c r="E1346" s="3" t="s">
        <v>726</v>
      </c>
      <c r="F1346" s="3" t="s">
        <v>5193</v>
      </c>
      <c r="G1346" s="3" t="s">
        <v>4637</v>
      </c>
      <c r="H1346" s="3" t="s">
        <v>199</v>
      </c>
      <c r="I1346" s="3" t="s">
        <v>20</v>
      </c>
      <c r="J1346" s="3">
        <v>7.79</v>
      </c>
      <c r="K1346" s="3" t="s">
        <v>21</v>
      </c>
      <c r="L1346" s="3" t="s">
        <v>5424</v>
      </c>
      <c r="M1346" s="3" t="s">
        <v>5195</v>
      </c>
      <c r="N1346" s="6" t="str">
        <f>HYPERLINK("C:\Users\alexa\YandexDisk\Книги\ИИ\Общие вопросы\Книга Интеллектуальные системы.pdf","Книга Интеллектуальные системы.pdf")</f>
        <v>Книга Интеллектуальные системы.pdf</v>
      </c>
      <c r="O1346" s="3" t="s">
        <v>5425</v>
      </c>
    </row>
    <row r="1347" spans="1:15" ht="165.6" x14ac:dyDescent="0.3">
      <c r="A1347" s="4">
        <v>1346</v>
      </c>
      <c r="B1347" s="5" t="s">
        <v>5426</v>
      </c>
      <c r="C1347" s="5" t="s">
        <v>5427</v>
      </c>
      <c r="D1347" s="5" t="s">
        <v>71</v>
      </c>
      <c r="E1347" s="5" t="s">
        <v>102</v>
      </c>
      <c r="F1347" s="5" t="s">
        <v>5193</v>
      </c>
      <c r="G1347" s="5" t="s">
        <v>4637</v>
      </c>
      <c r="H1347" s="5" t="s">
        <v>199</v>
      </c>
      <c r="I1347" s="5" t="s">
        <v>20</v>
      </c>
      <c r="J1347" s="5">
        <v>13.57</v>
      </c>
      <c r="K1347" s="5" t="s">
        <v>21</v>
      </c>
      <c r="L1347" s="5" t="s">
        <v>5428</v>
      </c>
      <c r="M1347" s="5" t="s">
        <v>5195</v>
      </c>
      <c r="N1347" s="7" t="str">
        <f>HYPERLINK("C:\Users\alexa\YandexDisk\Книги\ИИ\Общие вопросы\Машинное_обучение_с_участием_человека_2022_Роберт_Манро_Монарх.pdf","Машинное_обучение_с_участием_человека_2022_Роберт_Манро_Монарх.pdf")</f>
        <v>Машинное_обучение_с_участием_человека_2022_Роберт_Манро_Монарх.pdf</v>
      </c>
      <c r="O1347" s="5" t="s">
        <v>5429</v>
      </c>
    </row>
    <row r="1348" spans="1:15" ht="110.4" x14ac:dyDescent="0.3">
      <c r="A1348" s="2">
        <v>1347</v>
      </c>
      <c r="B1348" s="3" t="s">
        <v>5430</v>
      </c>
      <c r="C1348" s="3"/>
      <c r="D1348" s="3"/>
      <c r="E1348" s="3"/>
      <c r="F1348" s="3" t="s">
        <v>5193</v>
      </c>
      <c r="G1348" s="3" t="s">
        <v>4637</v>
      </c>
      <c r="H1348" s="3" t="s">
        <v>199</v>
      </c>
      <c r="I1348" s="3" t="s">
        <v>20</v>
      </c>
      <c r="J1348" s="3">
        <v>78.75</v>
      </c>
      <c r="K1348" s="3" t="s">
        <v>21</v>
      </c>
      <c r="L1348" s="3" t="s">
        <v>5431</v>
      </c>
      <c r="M1348" s="3" t="s">
        <v>5195</v>
      </c>
      <c r="N1348" s="6" t="str">
        <f>HYPERLINK("C:\Users\alexa\YandexDisk\Книги\ИИ\Общие вопросы\Машинный интеллект.pdf","Машинный интеллект.pdf")</f>
        <v>Машинный интеллект.pdf</v>
      </c>
      <c r="O1348" s="3" t="s">
        <v>5432</v>
      </c>
    </row>
    <row r="1349" spans="1:15" ht="207" x14ac:dyDescent="0.3">
      <c r="A1349" s="4">
        <v>1348</v>
      </c>
      <c r="B1349" s="5" t="s">
        <v>5433</v>
      </c>
      <c r="C1349" s="5" t="s">
        <v>5434</v>
      </c>
      <c r="D1349" s="5" t="s">
        <v>114</v>
      </c>
      <c r="E1349" s="5" t="s">
        <v>303</v>
      </c>
      <c r="F1349" s="5" t="s">
        <v>5193</v>
      </c>
      <c r="G1349" s="5" t="s">
        <v>4637</v>
      </c>
      <c r="H1349" s="5" t="s">
        <v>199</v>
      </c>
      <c r="I1349" s="5" t="s">
        <v>20</v>
      </c>
      <c r="J1349" s="5">
        <v>3.61</v>
      </c>
      <c r="K1349" s="5" t="s">
        <v>21</v>
      </c>
      <c r="L1349" s="5" t="s">
        <v>5435</v>
      </c>
      <c r="M1349" s="5" t="s">
        <v>5195</v>
      </c>
      <c r="N1349" s="7" t="str">
        <f>HYPERLINK("C:\Users\alexa\YandexDisk\Книги\ИИ\Общие вопросы\Ник Бостром Искусственный интеллект.pdf","Ник Бостром Искусственный интеллект.pdf")</f>
        <v>Ник Бостром Искусственный интеллект.pdf</v>
      </c>
      <c r="O1349" s="5" t="s">
        <v>5436</v>
      </c>
    </row>
    <row r="1350" spans="1:15" ht="151.80000000000001" x14ac:dyDescent="0.3">
      <c r="A1350" s="2">
        <v>1349</v>
      </c>
      <c r="B1350" s="3" t="s">
        <v>5437</v>
      </c>
      <c r="C1350" s="3" t="s">
        <v>5438</v>
      </c>
      <c r="D1350" s="3" t="s">
        <v>5439</v>
      </c>
      <c r="E1350" s="3"/>
      <c r="F1350" s="3" t="s">
        <v>5193</v>
      </c>
      <c r="G1350" s="3" t="s">
        <v>4637</v>
      </c>
      <c r="H1350" s="3" t="s">
        <v>199</v>
      </c>
      <c r="I1350" s="3" t="s">
        <v>20</v>
      </c>
      <c r="J1350" s="3">
        <v>1.81</v>
      </c>
      <c r="K1350" s="3" t="s">
        <v>21</v>
      </c>
      <c r="L1350" s="3" t="s">
        <v>5440</v>
      </c>
      <c r="M1350" s="3" t="s">
        <v>5195</v>
      </c>
      <c r="N1350" s="6" t="str">
        <f>HYPERLINK("C:\Users\alexa\YandexDisk\Книги\ИИ\Общие вопросы\Нильсон Introduction_To_Machine_Learning_proglib-1998.pdf","Нильсон Introduction_To_Machine_Learning_proglib-1998.pdf")</f>
        <v>Нильсон Introduction_To_Machine_Learning_proglib-1998.pdf</v>
      </c>
      <c r="O1350" s="3" t="s">
        <v>5441</v>
      </c>
    </row>
    <row r="1351" spans="1:15" ht="138" x14ac:dyDescent="0.3">
      <c r="A1351" s="4">
        <v>1350</v>
      </c>
      <c r="B1351" s="5" t="s">
        <v>5442</v>
      </c>
      <c r="C1351" s="5"/>
      <c r="D1351" s="5"/>
      <c r="E1351" s="5"/>
      <c r="F1351" s="5" t="s">
        <v>5193</v>
      </c>
      <c r="G1351" s="5" t="s">
        <v>4637</v>
      </c>
      <c r="H1351" s="5" t="s">
        <v>199</v>
      </c>
      <c r="I1351" s="5" t="s">
        <v>20</v>
      </c>
      <c r="J1351" s="5">
        <v>48.48</v>
      </c>
      <c r="K1351" s="5" t="s">
        <v>21</v>
      </c>
      <c r="L1351" s="5" t="s">
        <v>5443</v>
      </c>
      <c r="M1351" s="5" t="s">
        <v>5195</v>
      </c>
      <c r="N1351" s="7" t="str">
        <f>HYPERLINK("C:\Users\alexa\YandexDisk\Книги\ИИ\Общие вопросы\Основы ИИ.pdf","Основы ИИ.pdf")</f>
        <v>Основы ИИ.pdf</v>
      </c>
      <c r="O1351" s="5" t="s">
        <v>5444</v>
      </c>
    </row>
    <row r="1352" spans="1:15" ht="151.80000000000001" x14ac:dyDescent="0.3">
      <c r="A1352" s="2">
        <v>1351</v>
      </c>
      <c r="B1352" s="3" t="s">
        <v>5297</v>
      </c>
      <c r="C1352" s="3" t="s">
        <v>3544</v>
      </c>
      <c r="D1352" s="3" t="s">
        <v>17</v>
      </c>
      <c r="E1352" s="3" t="s">
        <v>402</v>
      </c>
      <c r="F1352" s="3" t="s">
        <v>5193</v>
      </c>
      <c r="G1352" s="3" t="s">
        <v>4637</v>
      </c>
      <c r="H1352" s="3" t="s">
        <v>199</v>
      </c>
      <c r="I1352" s="3" t="s">
        <v>20</v>
      </c>
      <c r="J1352" s="3">
        <v>49.9</v>
      </c>
      <c r="K1352" s="3" t="s">
        <v>21</v>
      </c>
      <c r="L1352" s="3" t="s">
        <v>5445</v>
      </c>
      <c r="M1352" s="3" t="s">
        <v>5195</v>
      </c>
      <c r="N1352" s="6" t="str">
        <f>HYPERLINK("C:\Users\alexa\YandexDisk\Книги\ИИ\Общие вопросы\Основы искусственного интеллекта в примерах на Python_2021_Postolit.pdf","Основы искусственного интеллекта в примерах на Python_2021_Postolit.pdf")</f>
        <v>Основы искусственного интеллекта в примерах на Python_2021_Postolit.pdf</v>
      </c>
      <c r="O1352" s="3" t="s">
        <v>5446</v>
      </c>
    </row>
    <row r="1353" spans="1:15" ht="207" x14ac:dyDescent="0.3">
      <c r="A1353" s="4">
        <v>1352</v>
      </c>
      <c r="B1353" s="5" t="s">
        <v>5447</v>
      </c>
      <c r="C1353" s="5" t="s">
        <v>5448</v>
      </c>
      <c r="D1353" s="5" t="s">
        <v>335</v>
      </c>
      <c r="E1353" s="5" t="s">
        <v>102</v>
      </c>
      <c r="F1353" s="5" t="s">
        <v>5193</v>
      </c>
      <c r="G1353" s="5" t="s">
        <v>4637</v>
      </c>
      <c r="H1353" s="5" t="s">
        <v>199</v>
      </c>
      <c r="I1353" s="5" t="s">
        <v>20</v>
      </c>
      <c r="J1353" s="5">
        <v>38.229999999999997</v>
      </c>
      <c r="K1353" s="5" t="s">
        <v>21</v>
      </c>
      <c r="L1353" s="5" t="s">
        <v>5449</v>
      </c>
      <c r="M1353" s="5" t="s">
        <v>5195</v>
      </c>
      <c r="N1353" s="7" t="str">
        <f>HYPERLINK("C:\Users\alexa\YandexDisk\Книги\ИИ\Общие вопросы\Поиск на основе искусственного интеллекта.pdf","Поиск на основе искусственного интеллекта.pdf")</f>
        <v>Поиск на основе искусственного интеллекта.pdf</v>
      </c>
      <c r="O1353" s="5" t="s">
        <v>5450</v>
      </c>
    </row>
    <row r="1354" spans="1:15" ht="179.4" x14ac:dyDescent="0.3">
      <c r="A1354" s="2">
        <v>1353</v>
      </c>
      <c r="B1354" s="3" t="s">
        <v>5451</v>
      </c>
      <c r="C1354" s="3" t="s">
        <v>5452</v>
      </c>
      <c r="D1354" s="3" t="s">
        <v>50</v>
      </c>
      <c r="E1354" s="3" t="s">
        <v>102</v>
      </c>
      <c r="F1354" s="3" t="s">
        <v>5193</v>
      </c>
      <c r="G1354" s="3" t="s">
        <v>4637</v>
      </c>
      <c r="H1354" s="3" t="s">
        <v>199</v>
      </c>
      <c r="I1354" s="3" t="s">
        <v>20</v>
      </c>
      <c r="J1354" s="3">
        <v>6.6</v>
      </c>
      <c r="K1354" s="3" t="s">
        <v>21</v>
      </c>
      <c r="L1354" s="3" t="s">
        <v>5453</v>
      </c>
      <c r="M1354" s="3" t="s">
        <v>5195</v>
      </c>
      <c r="N1354" s="6" t="str">
        <f>HYPERLINK("C:\Users\alexa\YandexDisk\Книги\ИИ\Общие вопросы\Потопахин Романтика искусственного интеллекта.pdf","Потопахин Романтика искусственного интеллекта.pdf")</f>
        <v>Потопахин Романтика искусственного интеллекта.pdf</v>
      </c>
      <c r="O1354" s="3" t="s">
        <v>5454</v>
      </c>
    </row>
    <row r="1355" spans="1:15" ht="193.2" x14ac:dyDescent="0.3">
      <c r="A1355" s="4">
        <v>1354</v>
      </c>
      <c r="B1355" s="5" t="s">
        <v>5127</v>
      </c>
      <c r="C1355" s="5" t="s">
        <v>5128</v>
      </c>
      <c r="D1355" s="5" t="s">
        <v>109</v>
      </c>
      <c r="E1355" s="5" t="s">
        <v>336</v>
      </c>
      <c r="F1355" s="5" t="s">
        <v>5193</v>
      </c>
      <c r="G1355" s="5" t="s">
        <v>4637</v>
      </c>
      <c r="H1355" s="5" t="s">
        <v>199</v>
      </c>
      <c r="I1355" s="5" t="s">
        <v>20</v>
      </c>
      <c r="J1355" s="5">
        <v>4.9800000000000004</v>
      </c>
      <c r="K1355" s="5" t="s">
        <v>21</v>
      </c>
      <c r="L1355" s="5" t="s">
        <v>5455</v>
      </c>
      <c r="M1355" s="5" t="s">
        <v>5195</v>
      </c>
      <c r="N1355" s="7" t="str">
        <f>HYPERLINK("C:\Users\alexa\YandexDisk\Книги\ИИ\Общие вопросы\Разработка+приложений+на+базе+GPT-4+и+ChatGPT.pdf","Разработка+приложений+на+базе+GPT-4+и+ChatGPT.pdf")</f>
        <v>Разработка+приложений+на+базе+GPT-4+и+ChatGPT.pdf</v>
      </c>
      <c r="O1355" s="5" t="s">
        <v>5456</v>
      </c>
    </row>
    <row r="1356" spans="1:15" ht="179.4" x14ac:dyDescent="0.3">
      <c r="A1356" s="2">
        <v>1355</v>
      </c>
      <c r="B1356" s="3" t="s">
        <v>5457</v>
      </c>
      <c r="C1356" s="3" t="s">
        <v>5458</v>
      </c>
      <c r="D1356" s="3" t="s">
        <v>1022</v>
      </c>
      <c r="E1356" s="3" t="s">
        <v>205</v>
      </c>
      <c r="F1356" s="3" t="s">
        <v>5459</v>
      </c>
      <c r="G1356" s="3" t="s">
        <v>4637</v>
      </c>
      <c r="H1356" s="3" t="s">
        <v>5460</v>
      </c>
      <c r="I1356" s="3" t="s">
        <v>20</v>
      </c>
      <c r="J1356" s="3">
        <v>6.49</v>
      </c>
      <c r="K1356" s="3" t="s">
        <v>21</v>
      </c>
      <c r="L1356" s="3" t="s">
        <v>5461</v>
      </c>
      <c r="M1356" s="3" t="s">
        <v>5195</v>
      </c>
      <c r="N1356" s="6" t="str">
        <f>HYPERLINK("C:\Users\alexa\YandexDisk\Книги\ИИ\Общие вопросы\Ричерт Луис Педро Building-machine-learning-systems-with-python_proglib 2013-2015.pdf","Ричерт Луис Педро Building-machine-learning-systems-with-python_proglib 2013-2015.pdf")</f>
        <v>Ричерт Луис Педро Building-machine-learning-systems-with-python_proglib 2013-2015.pdf</v>
      </c>
      <c r="O1356" s="3" t="s">
        <v>5462</v>
      </c>
    </row>
    <row r="1357" spans="1:15" ht="193.2" x14ac:dyDescent="0.3">
      <c r="A1357" s="4">
        <v>1356</v>
      </c>
      <c r="B1357" s="5" t="s">
        <v>5463</v>
      </c>
      <c r="C1357" s="5" t="s">
        <v>5464</v>
      </c>
      <c r="D1357" s="5" t="s">
        <v>17</v>
      </c>
      <c r="E1357" s="5" t="s">
        <v>5465</v>
      </c>
      <c r="F1357" s="5" t="s">
        <v>5193</v>
      </c>
      <c r="G1357" s="5" t="s">
        <v>4637</v>
      </c>
      <c r="H1357" s="5" t="s">
        <v>199</v>
      </c>
      <c r="I1357" s="5" t="s">
        <v>20</v>
      </c>
      <c r="J1357" s="5">
        <v>11.16</v>
      </c>
      <c r="K1357" s="5" t="s">
        <v>21</v>
      </c>
      <c r="L1357" s="5" t="s">
        <v>5466</v>
      </c>
      <c r="M1357" s="5" t="s">
        <v>5195</v>
      </c>
      <c r="N1357" s="7" t="str">
        <f>HYPERLINK("C:\Users\alexa\YandexDisk\Книги\ИИ\Общие вопросы\Сильный ИИ.pdf","Сильный ИИ.pdf")</f>
        <v>Сильный ИИ.pdf</v>
      </c>
      <c r="O1357" s="5" t="s">
        <v>5467</v>
      </c>
    </row>
    <row r="1358" spans="1:15" ht="151.80000000000001" x14ac:dyDescent="0.3">
      <c r="A1358" s="2">
        <v>1357</v>
      </c>
      <c r="B1358" s="3" t="s">
        <v>5468</v>
      </c>
      <c r="C1358" s="3"/>
      <c r="D1358" s="3"/>
      <c r="E1358" s="3"/>
      <c r="F1358" s="3" t="s">
        <v>5193</v>
      </c>
      <c r="G1358" s="3" t="s">
        <v>4637</v>
      </c>
      <c r="H1358" s="3" t="s">
        <v>199</v>
      </c>
      <c r="I1358" s="3" t="s">
        <v>20</v>
      </c>
      <c r="J1358" s="3">
        <v>89.91</v>
      </c>
      <c r="K1358" s="3" t="s">
        <v>21</v>
      </c>
      <c r="L1358" s="3" t="s">
        <v>5469</v>
      </c>
      <c r="M1358" s="3" t="s">
        <v>5195</v>
      </c>
      <c r="N1358" s="6" t="str">
        <f>HYPERLINK("C:\Users\alexa\YandexDisk\Книги\ИИ\Общие вопросы\Системы ИИ.pdf","Системы ИИ.pdf")</f>
        <v>Системы ИИ.pdf</v>
      </c>
      <c r="O1358" s="3" t="s">
        <v>5470</v>
      </c>
    </row>
    <row r="1359" spans="1:15" ht="193.2" x14ac:dyDescent="0.3">
      <c r="A1359" s="4">
        <v>1358</v>
      </c>
      <c r="B1359" s="5" t="s">
        <v>5471</v>
      </c>
      <c r="C1359" s="5" t="s">
        <v>5472</v>
      </c>
      <c r="D1359" s="5" t="s">
        <v>1022</v>
      </c>
      <c r="E1359" s="5"/>
      <c r="F1359" s="5" t="s">
        <v>5193</v>
      </c>
      <c r="G1359" s="5" t="s">
        <v>4637</v>
      </c>
      <c r="H1359" s="5" t="s">
        <v>199</v>
      </c>
      <c r="I1359" s="5" t="s">
        <v>20</v>
      </c>
      <c r="J1359" s="5">
        <v>61.97</v>
      </c>
      <c r="K1359" s="5" t="s">
        <v>21</v>
      </c>
      <c r="L1359" s="5" t="s">
        <v>5473</v>
      </c>
      <c r="M1359" s="5" t="s">
        <v>5195</v>
      </c>
      <c r="N1359" s="7" t="str">
        <f>HYPERLINK("C:\Users\alexa\YandexDisk\Книги\ИИ\Общие вопросы\Флах П. - Машинное обучение. Наука и искусство построения алгоритмов - знания из данных - 2015.PDF","Флах П. - Машинное обучение. Наука и искусство построения алгоритмов - знания из данных - 2015.PDF")</f>
        <v>Флах П. - Машинное обучение. Наука и искусство построения алгоритмов - знания из данных - 2015.PDF</v>
      </c>
      <c r="O1359" s="5" t="s">
        <v>5474</v>
      </c>
    </row>
    <row r="1360" spans="1:15" ht="193.2" x14ac:dyDescent="0.3">
      <c r="A1360" s="2">
        <v>1359</v>
      </c>
      <c r="B1360" s="3" t="s">
        <v>5475</v>
      </c>
      <c r="C1360" s="3" t="s">
        <v>5476</v>
      </c>
      <c r="D1360" s="3" t="s">
        <v>17</v>
      </c>
      <c r="E1360" s="3" t="s">
        <v>5477</v>
      </c>
      <c r="F1360" s="3" t="s">
        <v>5193</v>
      </c>
      <c r="G1360" s="3" t="s">
        <v>4637</v>
      </c>
      <c r="H1360" s="3" t="s">
        <v>199</v>
      </c>
      <c r="I1360" s="3" t="s">
        <v>20</v>
      </c>
      <c r="J1360" s="3">
        <v>2.42</v>
      </c>
      <c r="K1360" s="3" t="s">
        <v>21</v>
      </c>
      <c r="L1360" s="3" t="s">
        <v>5478</v>
      </c>
      <c r="M1360" s="3" t="s">
        <v>5195</v>
      </c>
      <c r="N1360" s="6" t="str">
        <f>HYPERLINK("C:\Users\alexa\YandexDisk\Книги\ИИ\Общие вопросы\Шнуренко_Демон внутри_2020.pdf","Шнуренко_Демон внутри_2020.pdf")</f>
        <v>Шнуренко_Демон внутри_2020.pdf</v>
      </c>
      <c r="O1360" s="3" t="s">
        <v>5479</v>
      </c>
    </row>
    <row r="1361" spans="1:15" ht="179.4" x14ac:dyDescent="0.3">
      <c r="A1361" s="4">
        <v>1360</v>
      </c>
      <c r="B1361" s="5" t="s">
        <v>5391</v>
      </c>
      <c r="C1361" s="5" t="s">
        <v>5392</v>
      </c>
      <c r="D1361" s="5" t="s">
        <v>59</v>
      </c>
      <c r="E1361" s="5" t="s">
        <v>726</v>
      </c>
      <c r="F1361" s="5" t="s">
        <v>5193</v>
      </c>
      <c r="G1361" s="5" t="s">
        <v>4637</v>
      </c>
      <c r="H1361" s="5" t="s">
        <v>199</v>
      </c>
      <c r="I1361" s="5" t="s">
        <v>20</v>
      </c>
      <c r="J1361" s="5">
        <v>7.91</v>
      </c>
      <c r="K1361" s="5" t="s">
        <v>21</v>
      </c>
      <c r="L1361" s="5" t="s">
        <v>5480</v>
      </c>
      <c r="M1361" s="5" t="s">
        <v>5195</v>
      </c>
      <c r="N1361" s="7" t="str">
        <f>HYPERLINK("C:\Users\alexa\YandexDisk\Книги\ИИ\Общие вопросы\Ясницкий  Интеллектуальные системы.pdf","Ясницкий  Интеллектуальные системы.pdf")</f>
        <v>Ясницкий  Интеллектуальные системы.pdf</v>
      </c>
      <c r="O1361" s="5" t="s">
        <v>5481</v>
      </c>
    </row>
    <row r="1362" spans="1:15" ht="193.2" x14ac:dyDescent="0.3">
      <c r="A1362" s="2">
        <v>1361</v>
      </c>
      <c r="B1362" s="3" t="s">
        <v>5482</v>
      </c>
      <c r="C1362" s="3" t="s">
        <v>5483</v>
      </c>
      <c r="D1362" s="3" t="s">
        <v>71</v>
      </c>
      <c r="E1362" s="3" t="s">
        <v>402</v>
      </c>
      <c r="F1362" s="3" t="s">
        <v>5459</v>
      </c>
      <c r="G1362" s="3" t="s">
        <v>4637</v>
      </c>
      <c r="H1362" s="3" t="s">
        <v>5460</v>
      </c>
      <c r="I1362" s="3" t="s">
        <v>20</v>
      </c>
      <c r="J1362" s="3">
        <v>93.28</v>
      </c>
      <c r="K1362" s="3" t="s">
        <v>21</v>
      </c>
      <c r="L1362" s="3" t="s">
        <v>5484</v>
      </c>
      <c r="M1362" s="3" t="s">
        <v>5485</v>
      </c>
      <c r="N1362" s="6" t="str">
        <f>HYPERLINK("C:\Users\alexa\YandexDisk\Книги\ИИ\Основы ML\!!! Машинное_обучение_основы,_алгоритмы_и_практика_применения 2022.pdf","!!! Машинное_обучение_основы,_алгоритмы_и_практика_применения 2022.pdf")</f>
        <v>!!! Машинное_обучение_основы,_алгоритмы_и_практика_применения 2022.pdf</v>
      </c>
      <c r="O1362" s="3" t="s">
        <v>5486</v>
      </c>
    </row>
    <row r="1363" spans="1:15" ht="27.6" x14ac:dyDescent="0.3">
      <c r="A1363" s="4">
        <v>1362</v>
      </c>
      <c r="B1363" s="5" t="s">
        <v>5460</v>
      </c>
      <c r="C1363" s="5"/>
      <c r="D1363" s="5"/>
      <c r="E1363" s="5"/>
      <c r="F1363" s="5" t="s">
        <v>5459</v>
      </c>
      <c r="G1363" s="5" t="s">
        <v>4637</v>
      </c>
      <c r="H1363" s="5" t="s">
        <v>5460</v>
      </c>
      <c r="I1363" s="5" t="s">
        <v>1147</v>
      </c>
      <c r="J1363" s="5">
        <v>9.3000000000000007</v>
      </c>
      <c r="K1363" s="5" t="s">
        <v>21</v>
      </c>
      <c r="L1363" s="5" t="s">
        <v>5487</v>
      </c>
      <c r="M1363" s="5" t="s">
        <v>5485</v>
      </c>
      <c r="N1363" s="7" t="str">
        <f>HYPERLINK("C:\Users\alexa\YandexDisk\Книги\ИИ\Основы ML\!_ML_!.docx","!_ML_!.docx")</f>
        <v>!_ML_!.docx</v>
      </c>
      <c r="O1363" s="5" t="s">
        <v>1735</v>
      </c>
    </row>
    <row r="1364" spans="1:15" ht="207" x14ac:dyDescent="0.3">
      <c r="A1364" s="2">
        <v>1363</v>
      </c>
      <c r="B1364" s="3" t="s">
        <v>5488</v>
      </c>
      <c r="C1364" s="3" t="s">
        <v>5489</v>
      </c>
      <c r="D1364" s="3" t="s">
        <v>59</v>
      </c>
      <c r="E1364" s="3" t="s">
        <v>18</v>
      </c>
      <c r="F1364" s="3" t="s">
        <v>5459</v>
      </c>
      <c r="G1364" s="3" t="s">
        <v>4637</v>
      </c>
      <c r="H1364" s="3" t="s">
        <v>5460</v>
      </c>
      <c r="I1364" s="3" t="s">
        <v>20</v>
      </c>
      <c r="J1364" s="3">
        <v>6.32</v>
      </c>
      <c r="K1364" s="3" t="s">
        <v>21</v>
      </c>
      <c r="L1364" s="3" t="s">
        <v>5490</v>
      </c>
      <c r="M1364" s="3" t="s">
        <v>5485</v>
      </c>
      <c r="N1364" s="6" t="str">
        <f>HYPERLINK("C:\Users\alexa\YandexDisk\Книги\ИИ\Основы ML\!Машинное_обучение_без_лишних_слов_2020_Андрей_Бурков.pdf","!Машинное_обучение_без_лишних_слов_2020_Андрей_Бурков.pdf")</f>
        <v>!Машинное_обучение_без_лишних_слов_2020_Андрей_Бурков.pdf</v>
      </c>
      <c r="O1364" s="3" t="s">
        <v>5491</v>
      </c>
    </row>
    <row r="1365" spans="1:15" ht="138" x14ac:dyDescent="0.3">
      <c r="A1365" s="4">
        <v>1364</v>
      </c>
      <c r="B1365" s="5" t="s">
        <v>5492</v>
      </c>
      <c r="C1365" s="5"/>
      <c r="D1365" s="5"/>
      <c r="E1365" s="5"/>
      <c r="F1365" s="5" t="s">
        <v>5459</v>
      </c>
      <c r="G1365" s="5" t="s">
        <v>4637</v>
      </c>
      <c r="H1365" s="5" t="s">
        <v>5460</v>
      </c>
      <c r="I1365" s="5" t="s">
        <v>1147</v>
      </c>
      <c r="J1365" s="5">
        <v>7.0000000000000007E-2</v>
      </c>
      <c r="K1365" s="5" t="s">
        <v>21</v>
      </c>
      <c r="L1365" s="5" t="s">
        <v>5493</v>
      </c>
      <c r="M1365" s="5" t="s">
        <v>5485</v>
      </c>
      <c r="N1365" s="7" t="str">
        <f>HYPERLINK("C:\Users\alexa\YandexDisk\Книги\ИИ\Основы ML\6 шагов к успешному проекту машинного обучения.docx","6 шагов к успешному проекту машинного обучения.docx")</f>
        <v>6 шагов к успешному проекту машинного обучения.docx</v>
      </c>
      <c r="O1365" s="5" t="s">
        <v>5494</v>
      </c>
    </row>
    <row r="1366" spans="1:15" ht="234.6" x14ac:dyDescent="0.3">
      <c r="A1366" s="2">
        <v>1365</v>
      </c>
      <c r="B1366" s="3" t="s">
        <v>5495</v>
      </c>
      <c r="C1366" s="3" t="s">
        <v>5496</v>
      </c>
      <c r="D1366" s="3" t="s">
        <v>71</v>
      </c>
      <c r="E1366" s="3" t="s">
        <v>227</v>
      </c>
      <c r="F1366" s="3" t="s">
        <v>5459</v>
      </c>
      <c r="G1366" s="3" t="s">
        <v>4637</v>
      </c>
      <c r="H1366" s="3" t="s">
        <v>5460</v>
      </c>
      <c r="I1366" s="3" t="s">
        <v>20</v>
      </c>
      <c r="J1366" s="3">
        <v>9.35</v>
      </c>
      <c r="K1366" s="3" t="s">
        <v>21</v>
      </c>
      <c r="L1366" s="3" t="s">
        <v>5497</v>
      </c>
      <c r="M1366" s="3" t="s">
        <v>5485</v>
      </c>
      <c r="N1366" s="6" t="str">
        <f>HYPERLINK("C:\Users\alexa\YandexDisk\Книги\ИИ\Основы ML\Adaptive.Machine.Learning.Algorithms.pdf","Adaptive.Machine.Learning.Algorithms.pdf")</f>
        <v>Adaptive.Machine.Learning.Algorithms.pdf</v>
      </c>
      <c r="O1366" s="3" t="s">
        <v>5498</v>
      </c>
    </row>
    <row r="1367" spans="1:15" ht="165.6" x14ac:dyDescent="0.3">
      <c r="A1367" s="4">
        <v>1366</v>
      </c>
      <c r="B1367" s="5" t="s">
        <v>5499</v>
      </c>
      <c r="C1367" s="5" t="s">
        <v>5500</v>
      </c>
      <c r="D1367" s="5"/>
      <c r="E1367" s="5"/>
      <c r="F1367" s="5" t="s">
        <v>5459</v>
      </c>
      <c r="G1367" s="5" t="s">
        <v>4637</v>
      </c>
      <c r="H1367" s="5" t="s">
        <v>5460</v>
      </c>
      <c r="I1367" s="5" t="s">
        <v>519</v>
      </c>
      <c r="J1367" s="5">
        <v>20.36</v>
      </c>
      <c r="K1367" s="5" t="s">
        <v>21</v>
      </c>
      <c r="L1367" s="5" t="s">
        <v>5501</v>
      </c>
      <c r="M1367" s="5" t="s">
        <v>5485</v>
      </c>
      <c r="N1367" s="7" t="str">
        <f>HYPERLINK("C:\Users\alexa\YandexDisk\Книги\ИИ\Основы ML\Andrew Ng.zip","Andrew Ng.zip")</f>
        <v>Andrew Ng.zip</v>
      </c>
      <c r="O1367" s="5" t="s">
        <v>5502</v>
      </c>
    </row>
    <row r="1368" spans="1:15" ht="220.8" x14ac:dyDescent="0.3">
      <c r="A1368" s="2">
        <v>1367</v>
      </c>
      <c r="B1368" s="3" t="s">
        <v>5503</v>
      </c>
      <c r="C1368" s="3"/>
      <c r="D1368" s="3" t="s">
        <v>59</v>
      </c>
      <c r="E1368" s="3"/>
      <c r="F1368" s="3" t="s">
        <v>5459</v>
      </c>
      <c r="G1368" s="3" t="s">
        <v>4637</v>
      </c>
      <c r="H1368" s="3" t="s">
        <v>5460</v>
      </c>
      <c r="I1368" s="3" t="s">
        <v>20</v>
      </c>
      <c r="J1368" s="3">
        <v>11.82</v>
      </c>
      <c r="K1368" s="3" t="s">
        <v>21</v>
      </c>
      <c r="L1368" s="3" t="s">
        <v>5504</v>
      </c>
      <c r="M1368" s="3" t="s">
        <v>5485</v>
      </c>
      <c r="N1368" s="6" t="str">
        <f>HYPERLINK("C:\Users\alexa\YandexDisk\Книги\ИИ\Основы ML\Approaching_Almost_Any_Machine_Learning_Problem_2020.pdf","Approaching_Almost_Any_Machine_Learning_Problem_2020.pdf")</f>
        <v>Approaching_Almost_Any_Machine_Learning_Problem_2020.pdf</v>
      </c>
      <c r="O1368" s="3" t="s">
        <v>5505</v>
      </c>
    </row>
    <row r="1369" spans="1:15" ht="165.6" x14ac:dyDescent="0.3">
      <c r="A1369" s="4">
        <v>1368</v>
      </c>
      <c r="B1369" s="5" t="s">
        <v>5506</v>
      </c>
      <c r="C1369" s="5" t="s">
        <v>4892</v>
      </c>
      <c r="D1369" s="5" t="s">
        <v>27</v>
      </c>
      <c r="E1369" s="5" t="s">
        <v>227</v>
      </c>
      <c r="F1369" s="5" t="s">
        <v>5459</v>
      </c>
      <c r="G1369" s="5" t="s">
        <v>4637</v>
      </c>
      <c r="H1369" s="5" t="s">
        <v>5460</v>
      </c>
      <c r="I1369" s="5" t="s">
        <v>20</v>
      </c>
      <c r="J1369" s="5">
        <v>9.67</v>
      </c>
      <c r="K1369" s="5" t="s">
        <v>21</v>
      </c>
      <c r="L1369" s="5" t="s">
        <v>5507</v>
      </c>
      <c r="M1369" s="5" t="s">
        <v>5485</v>
      </c>
      <c r="N1369" s="7" t="str">
        <f>HYPERLINK("C:\Users\alexa\YandexDisk\Книги\ИИ\Основы ML\Apress_Bayesian_Optimization_Theory_and_Practice_Using_Python (2).pdf","Apress_Bayesian_Optimization_Theory_and_Practice_Using_Python (2).pdf")</f>
        <v>Apress_Bayesian_Optimization_Theory_and_Practice_Using_Python (2).pdf</v>
      </c>
      <c r="O1369" s="5" t="s">
        <v>5508</v>
      </c>
    </row>
    <row r="1370" spans="1:15" ht="220.8" x14ac:dyDescent="0.3">
      <c r="A1370" s="2">
        <v>1369</v>
      </c>
      <c r="B1370" s="3" t="s">
        <v>5509</v>
      </c>
      <c r="C1370" s="3" t="s">
        <v>5510</v>
      </c>
      <c r="D1370" s="3"/>
      <c r="E1370" s="3" t="s">
        <v>557</v>
      </c>
      <c r="F1370" s="3" t="s">
        <v>5459</v>
      </c>
      <c r="G1370" s="3" t="s">
        <v>4637</v>
      </c>
      <c r="H1370" s="3" t="s">
        <v>5460</v>
      </c>
      <c r="I1370" s="3" t="s">
        <v>20</v>
      </c>
      <c r="J1370" s="3">
        <v>22.88</v>
      </c>
      <c r="K1370" s="3" t="s">
        <v>21</v>
      </c>
      <c r="L1370" s="3" t="s">
        <v>5511</v>
      </c>
      <c r="M1370" s="3" t="s">
        <v>5485</v>
      </c>
      <c r="N1370" s="6" t="str">
        <f>HYPERLINK("C:\Users\alexa\YandexDisk\Книги\ИИ\Основы ML\Automated Machine Learning in Action.pdf","Automated Machine Learning in Action.pdf")</f>
        <v>Automated Machine Learning in Action.pdf</v>
      </c>
      <c r="O1370" s="3" t="s">
        <v>5512</v>
      </c>
    </row>
    <row r="1371" spans="1:15" ht="193.2" x14ac:dyDescent="0.3">
      <c r="A1371" s="4">
        <v>1370</v>
      </c>
      <c r="B1371" s="5" t="s">
        <v>5513</v>
      </c>
      <c r="C1371" s="5" t="s">
        <v>5514</v>
      </c>
      <c r="D1371" s="5" t="s">
        <v>114</v>
      </c>
      <c r="E1371" s="5" t="s">
        <v>442</v>
      </c>
      <c r="F1371" s="5" t="s">
        <v>5459</v>
      </c>
      <c r="G1371" s="5" t="s">
        <v>4637</v>
      </c>
      <c r="H1371" s="5" t="s">
        <v>5460</v>
      </c>
      <c r="I1371" s="5" t="s">
        <v>20</v>
      </c>
      <c r="J1371" s="5">
        <v>31.71</v>
      </c>
      <c r="K1371" s="5" t="s">
        <v>21</v>
      </c>
      <c r="L1371" s="5" t="s">
        <v>5515</v>
      </c>
      <c r="M1371" s="5" t="s">
        <v>5485</v>
      </c>
      <c r="N1371" s="7" t="str">
        <f>HYPERLINK("C:\Users\alexa\YandexDisk\Книги\ИИ\Основы ML\A_C_Muller_and_S_Guido_Introduction to ML with Python.pdf","A_C_Muller_and_S_Guido_Introduction to ML with Python.pdf")</f>
        <v>A_C_Muller_and_S_Guido_Introduction to ML with Python.pdf</v>
      </c>
      <c r="O1371" s="5" t="s">
        <v>5516</v>
      </c>
    </row>
    <row r="1372" spans="1:15" ht="207" x14ac:dyDescent="0.3">
      <c r="A1372" s="2">
        <v>1371</v>
      </c>
      <c r="B1372" s="3" t="s">
        <v>5517</v>
      </c>
      <c r="C1372" s="3" t="s">
        <v>5518</v>
      </c>
      <c r="D1372" s="3" t="s">
        <v>71</v>
      </c>
      <c r="E1372" s="3" t="s">
        <v>536</v>
      </c>
      <c r="F1372" s="3" t="s">
        <v>5459</v>
      </c>
      <c r="G1372" s="3" t="s">
        <v>4637</v>
      </c>
      <c r="H1372" s="3" t="s">
        <v>5460</v>
      </c>
      <c r="I1372" s="3" t="s">
        <v>20</v>
      </c>
      <c r="J1372" s="3">
        <v>11.18</v>
      </c>
      <c r="K1372" s="3" t="s">
        <v>21</v>
      </c>
      <c r="L1372" s="3" t="s">
        <v>5519</v>
      </c>
      <c r="M1372" s="3" t="s">
        <v>5485</v>
      </c>
      <c r="N1372" s="6" t="str">
        <f>HYPERLINK("C:\Users\alexa\YandexDisk\Книги\ИИ\Основы ML\Bayesian_Optimization_in_Action_MEAP.pdf","Bayesian_Optimization_in_Action_MEAP.pdf")</f>
        <v>Bayesian_Optimization_in_Action_MEAP.pdf</v>
      </c>
      <c r="O1372" s="3" t="s">
        <v>5520</v>
      </c>
    </row>
    <row r="1373" spans="1:15" ht="165.6" x14ac:dyDescent="0.3">
      <c r="A1373" s="4">
        <v>1372</v>
      </c>
      <c r="B1373" s="5" t="s">
        <v>5521</v>
      </c>
      <c r="C1373" s="5" t="s">
        <v>5522</v>
      </c>
      <c r="D1373" s="5" t="s">
        <v>59</v>
      </c>
      <c r="E1373" s="5"/>
      <c r="F1373" s="5" t="s">
        <v>5459</v>
      </c>
      <c r="G1373" s="5" t="s">
        <v>4637</v>
      </c>
      <c r="H1373" s="5" t="s">
        <v>5460</v>
      </c>
      <c r="I1373" s="5" t="s">
        <v>280</v>
      </c>
      <c r="J1373" s="5">
        <v>50.4</v>
      </c>
      <c r="K1373" s="5" t="s">
        <v>21</v>
      </c>
      <c r="L1373" s="5" t="s">
        <v>5523</v>
      </c>
      <c r="M1373" s="5" t="s">
        <v>5485</v>
      </c>
      <c r="N1373" s="7" t="str">
        <f>HYPERLINK("C:\Users\alexa\YandexDisk\Книги\ИИ\Основы ML\Dale Lane - Machine Learning for Kids (2020).epub","Dale Lane - Machine Learning for Kids (2020).epub")</f>
        <v>Dale Lane - Machine Learning for Kids (2020).epub</v>
      </c>
      <c r="O1373" s="5" t="s">
        <v>5524</v>
      </c>
    </row>
    <row r="1374" spans="1:15" ht="165.6" x14ac:dyDescent="0.3">
      <c r="A1374" s="2">
        <v>1373</v>
      </c>
      <c r="B1374" s="3" t="s">
        <v>5525</v>
      </c>
      <c r="C1374" s="3" t="s">
        <v>5526</v>
      </c>
      <c r="D1374" s="3"/>
      <c r="E1374" s="3" t="s">
        <v>557</v>
      </c>
      <c r="F1374" s="3" t="s">
        <v>5459</v>
      </c>
      <c r="G1374" s="3" t="s">
        <v>4637</v>
      </c>
      <c r="H1374" s="3" t="s">
        <v>5460</v>
      </c>
      <c r="I1374" s="3" t="s">
        <v>20</v>
      </c>
      <c r="J1374" s="3">
        <v>38.83</v>
      </c>
      <c r="K1374" s="3" t="s">
        <v>21</v>
      </c>
      <c r="L1374" s="3" t="s">
        <v>5527</v>
      </c>
      <c r="M1374" s="3" t="s">
        <v>5485</v>
      </c>
      <c r="N1374" s="6" t="str">
        <f>HYPERLINK("C:\Users\alexa\YandexDisk\Книги\ИИ\Основы ML\Data Without Labels.pdf","Data Without Labels.pdf")</f>
        <v>Data Without Labels.pdf</v>
      </c>
      <c r="O1374" s="3" t="s">
        <v>5528</v>
      </c>
    </row>
    <row r="1375" spans="1:15" ht="207" x14ac:dyDescent="0.3">
      <c r="A1375" s="4">
        <v>1374</v>
      </c>
      <c r="B1375" s="5" t="s">
        <v>5529</v>
      </c>
      <c r="C1375" s="5" t="s">
        <v>5220</v>
      </c>
      <c r="D1375" s="5"/>
      <c r="E1375" s="5"/>
      <c r="F1375" s="5" t="s">
        <v>5459</v>
      </c>
      <c r="G1375" s="5" t="s">
        <v>4637</v>
      </c>
      <c r="H1375" s="5" t="s">
        <v>5460</v>
      </c>
      <c r="I1375" s="5" t="s">
        <v>20</v>
      </c>
      <c r="J1375" s="5">
        <v>13.9</v>
      </c>
      <c r="K1375" s="5" t="s">
        <v>21</v>
      </c>
      <c r="L1375" s="5" t="s">
        <v>5530</v>
      </c>
      <c r="M1375" s="5" t="s">
        <v>5485</v>
      </c>
      <c r="N1375" s="7" t="str">
        <f>HYPERLINK("C:\Users\alexa\YandexDisk\Книги\ИИ\Основы ML\Designing Machine Learning Systems.pdf","Designing Machine Learning Systems.pdf")</f>
        <v>Designing Machine Learning Systems.pdf</v>
      </c>
      <c r="O1375" s="5" t="s">
        <v>5531</v>
      </c>
    </row>
    <row r="1376" spans="1:15" ht="165.6" x14ac:dyDescent="0.3">
      <c r="A1376" s="2">
        <v>1375</v>
      </c>
      <c r="B1376" s="3" t="s">
        <v>5437</v>
      </c>
      <c r="C1376" s="3" t="s">
        <v>5532</v>
      </c>
      <c r="D1376" s="3" t="s">
        <v>186</v>
      </c>
      <c r="E1376" s="3" t="s">
        <v>86</v>
      </c>
      <c r="F1376" s="3" t="s">
        <v>5459</v>
      </c>
      <c r="G1376" s="3" t="s">
        <v>4637</v>
      </c>
      <c r="H1376" s="3" t="s">
        <v>5460</v>
      </c>
      <c r="I1376" s="3" t="s">
        <v>20</v>
      </c>
      <c r="J1376" s="3">
        <v>12.35</v>
      </c>
      <c r="K1376" s="3" t="s">
        <v>21</v>
      </c>
      <c r="L1376" s="3" t="s">
        <v>5533</v>
      </c>
      <c r="M1376" s="3" t="s">
        <v>5485</v>
      </c>
      <c r="N1376" s="6" t="str">
        <f>HYPERLINK("C:\Users\alexa\YandexDisk\Книги\ИИ\Основы ML\Ethem_Alpaydin_Introduction_to_Machine_Learning_The_MIT_Press_2014.pdf","Ethem_Alpaydin_Introduction_to_Machine_Learning_The_MIT_Press_2014.pdf")</f>
        <v>Ethem_Alpaydin_Introduction_to_Machine_Learning_The_MIT_Press_2014.pdf</v>
      </c>
      <c r="O1376" s="3" t="s">
        <v>5534</v>
      </c>
    </row>
    <row r="1377" spans="1:15" ht="207" x14ac:dyDescent="0.3">
      <c r="A1377" s="4">
        <v>1376</v>
      </c>
      <c r="B1377" s="5" t="s">
        <v>5535</v>
      </c>
      <c r="C1377" s="5" t="s">
        <v>536</v>
      </c>
      <c r="D1377" s="5" t="s">
        <v>71</v>
      </c>
      <c r="E1377" s="5" t="s">
        <v>536</v>
      </c>
      <c r="F1377" s="5" t="s">
        <v>5459</v>
      </c>
      <c r="G1377" s="5" t="s">
        <v>4637</v>
      </c>
      <c r="H1377" s="5" t="s">
        <v>5460</v>
      </c>
      <c r="I1377" s="5" t="s">
        <v>20</v>
      </c>
      <c r="J1377" s="5">
        <v>5.46</v>
      </c>
      <c r="K1377" s="5" t="s">
        <v>21</v>
      </c>
      <c r="L1377" s="5" t="s">
        <v>5536</v>
      </c>
      <c r="M1377" s="5" t="s">
        <v>5485</v>
      </c>
      <c r="N1377" s="7" t="str">
        <f>HYPERLINK("C:\Users\alexa\YandexDisk\Книги\ИИ\Основы ML\Experimentation for Engineers MEAP V08.pdf","Experimentation for Engineers MEAP V08.pdf")</f>
        <v>Experimentation for Engineers MEAP V08.pdf</v>
      </c>
      <c r="O1377" s="5" t="s">
        <v>5537</v>
      </c>
    </row>
    <row r="1378" spans="1:15" ht="151.80000000000001" x14ac:dyDescent="0.3">
      <c r="A1378" s="2">
        <v>1377</v>
      </c>
      <c r="B1378" s="3" t="s">
        <v>5538</v>
      </c>
      <c r="C1378" s="3" t="s">
        <v>5539</v>
      </c>
      <c r="D1378" s="3"/>
      <c r="E1378" s="3"/>
      <c r="F1378" s="3" t="s">
        <v>5459</v>
      </c>
      <c r="G1378" s="3" t="s">
        <v>4637</v>
      </c>
      <c r="H1378" s="3" t="s">
        <v>5460</v>
      </c>
      <c r="I1378" s="3" t="s">
        <v>20</v>
      </c>
      <c r="J1378" s="3">
        <v>12.68</v>
      </c>
      <c r="K1378" s="3" t="s">
        <v>21</v>
      </c>
      <c r="L1378" s="3" t="s">
        <v>5540</v>
      </c>
      <c r="M1378" s="3" t="s">
        <v>5485</v>
      </c>
      <c r="N1378" s="6" t="str">
        <f>HYPERLINK("C:\Users\alexa\YandexDisk\Книги\ИИ\Основы ML\Hamiltonian Monte Carlo Methods in ML.pdf","Hamiltonian Monte Carlo Methods in ML.pdf")</f>
        <v>Hamiltonian Monte Carlo Methods in ML.pdf</v>
      </c>
      <c r="O1378" s="3" t="s">
        <v>5541</v>
      </c>
    </row>
    <row r="1379" spans="1:15" ht="165.6" x14ac:dyDescent="0.3">
      <c r="A1379" s="4">
        <v>1378</v>
      </c>
      <c r="B1379" s="5" t="s">
        <v>5542</v>
      </c>
      <c r="C1379" s="5" t="s">
        <v>5543</v>
      </c>
      <c r="D1379" s="5" t="s">
        <v>17</v>
      </c>
      <c r="E1379" s="5" t="s">
        <v>102</v>
      </c>
      <c r="F1379" s="5" t="s">
        <v>5459</v>
      </c>
      <c r="G1379" s="5" t="s">
        <v>4637</v>
      </c>
      <c r="H1379" s="5" t="s">
        <v>5460</v>
      </c>
      <c r="I1379" s="5" t="s">
        <v>20</v>
      </c>
      <c r="J1379" s="5">
        <v>17.52</v>
      </c>
      <c r="K1379" s="5" t="s">
        <v>21</v>
      </c>
      <c r="L1379" s="5" t="s">
        <v>5544</v>
      </c>
      <c r="M1379" s="5" t="s">
        <v>5485</v>
      </c>
      <c r="N1379" s="7" t="str">
        <f>HYPERLINK("C:\Users\alexa\YandexDisk\Книги\ИИ\Основы ML\Hannes_Hapke_Razrabotka_konveyerov_mashinnogo_obucheniya_Avtomatizatsiya.pdf","Hannes_Hapke_Razrabotka_konveyerov_mashinnogo_obucheniya_Avtomatizatsiya.pdf")</f>
        <v>Hannes_Hapke_Razrabotka_konveyerov_mashinnogo_obucheniya_Avtomatizatsiya.pdf</v>
      </c>
      <c r="O1379" s="5" t="s">
        <v>5545</v>
      </c>
    </row>
    <row r="1380" spans="1:15" ht="193.2" x14ac:dyDescent="0.3">
      <c r="A1380" s="2">
        <v>1379</v>
      </c>
      <c r="B1380" s="3" t="s">
        <v>5546</v>
      </c>
      <c r="C1380" s="3" t="s">
        <v>5547</v>
      </c>
      <c r="D1380" s="3" t="s">
        <v>50</v>
      </c>
      <c r="E1380" s="3" t="s">
        <v>536</v>
      </c>
      <c r="F1380" s="3" t="s">
        <v>5459</v>
      </c>
      <c r="G1380" s="3" t="s">
        <v>4637</v>
      </c>
      <c r="H1380" s="3" t="s">
        <v>5460</v>
      </c>
      <c r="I1380" s="3" t="s">
        <v>20</v>
      </c>
      <c r="J1380" s="3">
        <v>15.66</v>
      </c>
      <c r="K1380" s="3" t="s">
        <v>21</v>
      </c>
      <c r="L1380" s="3" t="s">
        <v>5548</v>
      </c>
      <c r="M1380" s="3" t="s">
        <v>5485</v>
      </c>
      <c r="N1380" s="6" t="str">
        <f>HYPERLINK("C:\Users\alexa\YandexDisk\Книги\ИИ\Основы ML\Henri Brink - ML.pdf","Henri Brink - ML.pdf")</f>
        <v>Henri Brink - ML.pdf</v>
      </c>
      <c r="O1380" s="3" t="s">
        <v>5549</v>
      </c>
    </row>
    <row r="1381" spans="1:15" ht="179.4" x14ac:dyDescent="0.3">
      <c r="A1381" s="4">
        <v>1380</v>
      </c>
      <c r="B1381" s="5" t="s">
        <v>5550</v>
      </c>
      <c r="C1381" s="5" t="s">
        <v>5551</v>
      </c>
      <c r="D1381" s="5" t="s">
        <v>59</v>
      </c>
      <c r="E1381" s="5" t="s">
        <v>442</v>
      </c>
      <c r="F1381" s="5" t="s">
        <v>5459</v>
      </c>
      <c r="G1381" s="5" t="s">
        <v>4637</v>
      </c>
      <c r="H1381" s="5" t="s">
        <v>5460</v>
      </c>
      <c r="I1381" s="5" t="s">
        <v>20</v>
      </c>
      <c r="J1381" s="5">
        <v>13.67</v>
      </c>
      <c r="K1381" s="5" t="s">
        <v>21</v>
      </c>
      <c r="L1381" s="5" t="s">
        <v>5552</v>
      </c>
      <c r="M1381" s="5" t="s">
        <v>5485</v>
      </c>
      <c r="N1381" s="7" t="str">
        <f>HYPERLINK("C:\Users\alexa\YandexDisk\Книги\ИИ\Основы ML\Introducing_MLOps_How_to_Scale_Machine_Learning_in_the_Enterprise.pdf","Introducing_MLOps_How_to_Scale_Machine_Learning_in_the_Enterprise.pdf")</f>
        <v>Introducing_MLOps_How_to_Scale_Machine_Learning_in_the_Enterprise.pdf</v>
      </c>
      <c r="O1381" s="5" t="s">
        <v>5553</v>
      </c>
    </row>
    <row r="1382" spans="1:15" ht="220.8" x14ac:dyDescent="0.3">
      <c r="A1382" s="2">
        <v>1381</v>
      </c>
      <c r="B1382" s="3" t="s">
        <v>5554</v>
      </c>
      <c r="C1382" s="3" t="s">
        <v>5555</v>
      </c>
      <c r="D1382" s="3"/>
      <c r="E1382" s="3"/>
      <c r="F1382" s="3" t="s">
        <v>5459</v>
      </c>
      <c r="G1382" s="3" t="s">
        <v>4637</v>
      </c>
      <c r="H1382" s="3" t="s">
        <v>5460</v>
      </c>
      <c r="I1382" s="3" t="s">
        <v>20</v>
      </c>
      <c r="J1382" s="3">
        <v>17.43</v>
      </c>
      <c r="K1382" s="3" t="s">
        <v>21</v>
      </c>
      <c r="L1382" s="3" t="s">
        <v>5556</v>
      </c>
      <c r="M1382" s="3" t="s">
        <v>5485</v>
      </c>
      <c r="N1382" s="6" t="str">
        <f>HYPERLINK("C:\Users\alexa\YandexDisk\Книги\ИИ\Основы ML\Introduction_to_Machine_Learning_with_Applications_in_Informatio.pdf","Introduction_to_Machine_Learning_with_Applications_in_Informatio.pdf")</f>
        <v>Introduction_to_Machine_Learning_with_Applications_in_Informatio.pdf</v>
      </c>
      <c r="O1382" s="3" t="s">
        <v>5557</v>
      </c>
    </row>
    <row r="1383" spans="1:15" ht="165.6" x14ac:dyDescent="0.3">
      <c r="A1383" s="4">
        <v>1382</v>
      </c>
      <c r="B1383" s="5" t="s">
        <v>5558</v>
      </c>
      <c r="C1383" s="5" t="s">
        <v>5559</v>
      </c>
      <c r="D1383" s="5"/>
      <c r="E1383" s="5" t="s">
        <v>2359</v>
      </c>
      <c r="F1383" s="5" t="s">
        <v>5459</v>
      </c>
      <c r="G1383" s="5" t="s">
        <v>4637</v>
      </c>
      <c r="H1383" s="5" t="s">
        <v>5460</v>
      </c>
      <c r="I1383" s="5" t="s">
        <v>20</v>
      </c>
      <c r="J1383" s="5">
        <v>15.05</v>
      </c>
      <c r="K1383" s="5" t="s">
        <v>21</v>
      </c>
      <c r="L1383" s="5" t="s">
        <v>5560</v>
      </c>
      <c r="M1383" s="5" t="s">
        <v>5485</v>
      </c>
      <c r="N1383" s="7" t="str">
        <f>HYPERLINK("C:\Users\alexa\YandexDisk\Книги\ИИ\Основы ML\Machine Learning and Data Science Fun....pdf","Machine Learning and Data Science Fun....pdf")</f>
        <v>Machine Learning and Data Science Fun....pdf</v>
      </c>
      <c r="O1383" s="5" t="s">
        <v>5561</v>
      </c>
    </row>
    <row r="1384" spans="1:15" ht="207" x14ac:dyDescent="0.3">
      <c r="A1384" s="2">
        <v>1383</v>
      </c>
      <c r="B1384" s="3" t="s">
        <v>5562</v>
      </c>
      <c r="C1384" s="3" t="s">
        <v>5563</v>
      </c>
      <c r="D1384" s="3" t="s">
        <v>335</v>
      </c>
      <c r="E1384" s="3" t="s">
        <v>308</v>
      </c>
      <c r="F1384" s="3" t="s">
        <v>5459</v>
      </c>
      <c r="G1384" s="3" t="s">
        <v>4637</v>
      </c>
      <c r="H1384" s="3" t="s">
        <v>5460</v>
      </c>
      <c r="I1384" s="3" t="s">
        <v>20</v>
      </c>
      <c r="J1384" s="3">
        <v>11.21</v>
      </c>
      <c r="K1384" s="3" t="s">
        <v>21</v>
      </c>
      <c r="L1384" s="3" t="s">
        <v>5564</v>
      </c>
      <c r="M1384" s="3" t="s">
        <v>5485</v>
      </c>
      <c r="N1384" s="6" t="str">
        <f>HYPERLINK("C:\Users\alexa\YandexDisk\Книги\ИИ\Основы ML\Machine Learning and Metaheuristic Computation.pdf","Machine Learning and Metaheuristic Computation.pdf")</f>
        <v>Machine Learning and Metaheuristic Computation.pdf</v>
      </c>
      <c r="O1384" s="3" t="s">
        <v>5565</v>
      </c>
    </row>
    <row r="1385" spans="1:15" ht="179.4" x14ac:dyDescent="0.3">
      <c r="A1385" s="4">
        <v>1384</v>
      </c>
      <c r="B1385" s="5" t="s">
        <v>5566</v>
      </c>
      <c r="C1385" s="5" t="s">
        <v>5567</v>
      </c>
      <c r="D1385" s="5" t="s">
        <v>71</v>
      </c>
      <c r="E1385" s="5" t="s">
        <v>269</v>
      </c>
      <c r="F1385" s="5" t="s">
        <v>5459</v>
      </c>
      <c r="G1385" s="5" t="s">
        <v>4637</v>
      </c>
      <c r="H1385" s="5" t="s">
        <v>5460</v>
      </c>
      <c r="I1385" s="5" t="s">
        <v>20</v>
      </c>
      <c r="J1385" s="5">
        <v>24.97</v>
      </c>
      <c r="K1385" s="5" t="s">
        <v>21</v>
      </c>
      <c r="L1385" s="5" t="s">
        <v>5568</v>
      </c>
      <c r="M1385" s="5" t="s">
        <v>5485</v>
      </c>
      <c r="N1385" s="7" t="str">
        <f>HYPERLINK("C:\Users\alexa\YandexDisk\Книги\ИИ\Основы ML\Machine Learning Engineering in Action (Final Release) 2022.pdf","Machine Learning Engineering in Action (Final Release) 2022.pdf")</f>
        <v>Machine Learning Engineering in Action (Final Release) 2022.pdf</v>
      </c>
      <c r="O1385" s="5" t="s">
        <v>5569</v>
      </c>
    </row>
    <row r="1386" spans="1:15" ht="165.6" x14ac:dyDescent="0.3">
      <c r="A1386" s="2">
        <v>1385</v>
      </c>
      <c r="B1386" s="3" t="s">
        <v>5570</v>
      </c>
      <c r="C1386" s="3" t="s">
        <v>5489</v>
      </c>
      <c r="D1386" s="3"/>
      <c r="E1386" s="3"/>
      <c r="F1386" s="3" t="s">
        <v>5459</v>
      </c>
      <c r="G1386" s="3" t="s">
        <v>4637</v>
      </c>
      <c r="H1386" s="3" t="s">
        <v>5460</v>
      </c>
      <c r="I1386" s="3" t="s">
        <v>20</v>
      </c>
      <c r="J1386" s="3">
        <v>38.42</v>
      </c>
      <c r="K1386" s="3" t="s">
        <v>21</v>
      </c>
      <c r="L1386" s="3" t="s">
        <v>5571</v>
      </c>
      <c r="M1386" s="3" t="s">
        <v>5485</v>
      </c>
      <c r="N1386" s="6" t="str">
        <f>HYPERLINK("C:\Users\alexa\YandexDisk\Книги\ИИ\Основы ML\Machine Learning Engineering.pdf","Machine Learning Engineering.pdf")</f>
        <v>Machine Learning Engineering.pdf</v>
      </c>
      <c r="O1386" s="3" t="s">
        <v>5572</v>
      </c>
    </row>
    <row r="1387" spans="1:15" ht="193.2" x14ac:dyDescent="0.3">
      <c r="A1387" s="4">
        <v>1386</v>
      </c>
      <c r="B1387" s="5" t="s">
        <v>4968</v>
      </c>
      <c r="C1387" s="5" t="s">
        <v>4969</v>
      </c>
      <c r="D1387" s="5" t="s">
        <v>71</v>
      </c>
      <c r="E1387" s="5" t="s">
        <v>205</v>
      </c>
      <c r="F1387" s="5" t="s">
        <v>5459</v>
      </c>
      <c r="G1387" s="5" t="s">
        <v>4637</v>
      </c>
      <c r="H1387" s="5" t="s">
        <v>5460</v>
      </c>
      <c r="I1387" s="5" t="s">
        <v>20</v>
      </c>
      <c r="J1387" s="5">
        <v>29.32</v>
      </c>
      <c r="K1387" s="5" t="s">
        <v>21</v>
      </c>
      <c r="L1387" s="5" t="s">
        <v>5573</v>
      </c>
      <c r="M1387" s="5" t="s">
        <v>5485</v>
      </c>
      <c r="N1387" s="7" t="str">
        <f>HYPERLINK("C:\Users\alexa\YandexDisk\Книги\ИИ\Основы ML\Machine Learning With PyTorch and Scikit-Learn.pdf","Machine Learning With PyTorch and Scikit-Learn.pdf")</f>
        <v>Machine Learning With PyTorch and Scikit-Learn.pdf</v>
      </c>
      <c r="O1387" s="5" t="s">
        <v>5574</v>
      </c>
    </row>
    <row r="1388" spans="1:15" ht="165.6" x14ac:dyDescent="0.3">
      <c r="A1388" s="2">
        <v>1387</v>
      </c>
      <c r="B1388" s="3" t="s">
        <v>5575</v>
      </c>
      <c r="C1388" s="3" t="s">
        <v>5576</v>
      </c>
      <c r="D1388" s="3" t="s">
        <v>50</v>
      </c>
      <c r="E1388" s="3"/>
      <c r="F1388" s="3" t="s">
        <v>5459</v>
      </c>
      <c r="G1388" s="3" t="s">
        <v>4637</v>
      </c>
      <c r="H1388" s="3" t="s">
        <v>5460</v>
      </c>
      <c r="I1388" s="3" t="s">
        <v>20</v>
      </c>
      <c r="J1388" s="3">
        <v>2.64</v>
      </c>
      <c r="K1388" s="3" t="s">
        <v>21</v>
      </c>
      <c r="L1388" s="3" t="s">
        <v>5577</v>
      </c>
      <c r="M1388" s="3" t="s">
        <v>5485</v>
      </c>
      <c r="N1388" s="6" t="str">
        <f>HYPERLINK("C:\Users\alexa\YandexDisk\Книги\ИИ\Основы ML\Machine_Learning_for_Absolute_Beginner.pdf","Machine_Learning_for_Absolute_Beginner.pdf")</f>
        <v>Machine_Learning_for_Absolute_Beginner.pdf</v>
      </c>
      <c r="O1388" s="3" t="s">
        <v>5578</v>
      </c>
    </row>
    <row r="1389" spans="1:15" ht="179.4" x14ac:dyDescent="0.3">
      <c r="A1389" s="4">
        <v>1388</v>
      </c>
      <c r="B1389" s="5" t="s">
        <v>5579</v>
      </c>
      <c r="C1389" s="5" t="s">
        <v>5580</v>
      </c>
      <c r="D1389" s="5" t="s">
        <v>77</v>
      </c>
      <c r="E1389" s="5"/>
      <c r="F1389" s="5" t="s">
        <v>5459</v>
      </c>
      <c r="G1389" s="5" t="s">
        <v>4637</v>
      </c>
      <c r="H1389" s="5" t="s">
        <v>5460</v>
      </c>
      <c r="I1389" s="5" t="s">
        <v>20</v>
      </c>
      <c r="J1389" s="5">
        <v>1.74</v>
      </c>
      <c r="K1389" s="5" t="s">
        <v>21</v>
      </c>
      <c r="L1389" s="5" t="s">
        <v>5581</v>
      </c>
      <c r="M1389" s="5" t="s">
        <v>5485</v>
      </c>
      <c r="N1389" s="7" t="str">
        <f>HYPERLINK("C:\Users\alexa\YandexDisk\Книги\ИИ\Основы ML\Machine_Learning_for_Beginners_A_Complete_and_Phased_Beginner’s.pdf","Machine_Learning_for_Beginners_A_Complete_and_Phased_Beginner’s.pdf")</f>
        <v>Machine_Learning_for_Beginners_A_Complete_and_Phased_Beginner’s.pdf</v>
      </c>
      <c r="O1389" s="5" t="s">
        <v>5582</v>
      </c>
    </row>
    <row r="1390" spans="1:15" ht="234.6" x14ac:dyDescent="0.3">
      <c r="A1390" s="2">
        <v>1389</v>
      </c>
      <c r="B1390" s="3" t="s">
        <v>5583</v>
      </c>
      <c r="C1390" s="3" t="s">
        <v>5584</v>
      </c>
      <c r="D1390" s="3" t="s">
        <v>59</v>
      </c>
      <c r="E1390" s="3" t="s">
        <v>5585</v>
      </c>
      <c r="F1390" s="3" t="s">
        <v>5459</v>
      </c>
      <c r="G1390" s="3" t="s">
        <v>4637</v>
      </c>
      <c r="H1390" s="3" t="s">
        <v>5460</v>
      </c>
      <c r="I1390" s="3" t="s">
        <v>20</v>
      </c>
      <c r="J1390" s="3">
        <v>7.55</v>
      </c>
      <c r="K1390" s="3" t="s">
        <v>21</v>
      </c>
      <c r="L1390" s="3" t="s">
        <v>5586</v>
      </c>
      <c r="M1390" s="3" t="s">
        <v>5485</v>
      </c>
      <c r="N1390" s="6" t="str">
        <f>HYPERLINK("C:\Users\alexa\YandexDisk\Книги\ИИ\Основы ML\Machine_Learning_With_Python_For_Everyone_2020_Mark_E_Fenner.pdf","Machine_Learning_With_Python_For_Everyone_2020_Mark_E_Fenner.pdf")</f>
        <v>Machine_Learning_With_Python_For_Everyone_2020_Mark_E_Fenner.pdf</v>
      </c>
      <c r="O1390" s="3" t="s">
        <v>5587</v>
      </c>
    </row>
    <row r="1391" spans="1:15" ht="193.2" x14ac:dyDescent="0.3">
      <c r="A1391" s="4">
        <v>1390</v>
      </c>
      <c r="B1391" s="5" t="s">
        <v>5488</v>
      </c>
      <c r="C1391" s="5" t="s">
        <v>5489</v>
      </c>
      <c r="D1391" s="5" t="s">
        <v>59</v>
      </c>
      <c r="E1391" s="5" t="s">
        <v>18</v>
      </c>
      <c r="F1391" s="5" t="s">
        <v>5459</v>
      </c>
      <c r="G1391" s="5" t="s">
        <v>4637</v>
      </c>
      <c r="H1391" s="5" t="s">
        <v>5460</v>
      </c>
      <c r="I1391" s="5" t="s">
        <v>20</v>
      </c>
      <c r="J1391" s="5">
        <v>12.44</v>
      </c>
      <c r="K1391" s="5" t="s">
        <v>21</v>
      </c>
      <c r="L1391" s="5" t="s">
        <v>5588</v>
      </c>
      <c r="M1391" s="5" t="s">
        <v>5485</v>
      </c>
      <c r="N1391" s="7" t="str">
        <f>HYPERLINK("C:\Users\alexa\YandexDisk\Книги\ИИ\Основы ML\Mashinnoe_obuchenie_bez_lishnikh_slov.pdf","Mashinnoe_obuchenie_bez_lishnikh_slov.pdf")</f>
        <v>Mashinnoe_obuchenie_bez_lishnikh_slov.pdf</v>
      </c>
      <c r="O1391" s="5" t="s">
        <v>5589</v>
      </c>
    </row>
    <row r="1392" spans="1:15" ht="165.6" x14ac:dyDescent="0.3">
      <c r="A1392" s="2">
        <v>1391</v>
      </c>
      <c r="B1392" s="3" t="s">
        <v>5590</v>
      </c>
      <c r="C1392" s="3" t="s">
        <v>5591</v>
      </c>
      <c r="D1392" s="3" t="s">
        <v>27</v>
      </c>
      <c r="E1392" s="3" t="s">
        <v>3305</v>
      </c>
      <c r="F1392" s="3" t="s">
        <v>5459</v>
      </c>
      <c r="G1392" s="3" t="s">
        <v>4637</v>
      </c>
      <c r="H1392" s="3" t="s">
        <v>5460</v>
      </c>
      <c r="I1392" s="3" t="s">
        <v>20</v>
      </c>
      <c r="J1392" s="3">
        <v>12.93</v>
      </c>
      <c r="K1392" s="3" t="s">
        <v>21</v>
      </c>
      <c r="L1392" s="3" t="s">
        <v>5592</v>
      </c>
      <c r="M1392" s="3" t="s">
        <v>5485</v>
      </c>
      <c r="N1392" s="6" t="str">
        <f>HYPERLINK("C:\Users\alexa\YandexDisk\Книги\ИИ\Основы ML\ML in production.pdf","ML in production.pdf")</f>
        <v>ML in production.pdf</v>
      </c>
      <c r="O1392" s="3" t="s">
        <v>5593</v>
      </c>
    </row>
    <row r="1393" spans="1:15" ht="179.4" x14ac:dyDescent="0.3">
      <c r="A1393" s="4">
        <v>1392</v>
      </c>
      <c r="B1393" s="5" t="s">
        <v>5594</v>
      </c>
      <c r="C1393" s="5" t="s">
        <v>5595</v>
      </c>
      <c r="D1393" s="5" t="s">
        <v>32</v>
      </c>
      <c r="E1393" s="5" t="s">
        <v>442</v>
      </c>
      <c r="F1393" s="5" t="s">
        <v>5459</v>
      </c>
      <c r="G1393" s="5" t="s">
        <v>4637</v>
      </c>
      <c r="H1393" s="5" t="s">
        <v>5460</v>
      </c>
      <c r="I1393" s="5" t="s">
        <v>20</v>
      </c>
      <c r="J1393" s="5">
        <v>3.37</v>
      </c>
      <c r="K1393" s="5" t="s">
        <v>21</v>
      </c>
      <c r="L1393" s="5" t="s">
        <v>5596</v>
      </c>
      <c r="M1393" s="5" t="s">
        <v>5485</v>
      </c>
      <c r="N1393" s="7" t="str">
        <f>HYPERLINK("C:\Users\alexa\YandexDisk\Книги\ИИ\Основы ML\ML_with_python_cookbook.pdf","ML_with_python_cookbook.pdf")</f>
        <v>ML_with_python_cookbook.pdf</v>
      </c>
      <c r="O1393" s="5" t="s">
        <v>5597</v>
      </c>
    </row>
    <row r="1394" spans="1:15" ht="151.80000000000001" x14ac:dyDescent="0.3">
      <c r="A1394" s="2">
        <v>1393</v>
      </c>
      <c r="B1394" s="3" t="s">
        <v>5598</v>
      </c>
      <c r="C1394" s="3" t="s">
        <v>5599</v>
      </c>
      <c r="D1394" s="3"/>
      <c r="E1394" s="3"/>
      <c r="F1394" s="3" t="s">
        <v>5459</v>
      </c>
      <c r="G1394" s="3" t="s">
        <v>4637</v>
      </c>
      <c r="H1394" s="3" t="s">
        <v>5460</v>
      </c>
      <c r="I1394" s="3" t="s">
        <v>20</v>
      </c>
      <c r="J1394" s="3">
        <v>1.02</v>
      </c>
      <c r="K1394" s="3" t="s">
        <v>21</v>
      </c>
      <c r="L1394" s="3" t="s">
        <v>5600</v>
      </c>
      <c r="M1394" s="3" t="s">
        <v>5485</v>
      </c>
      <c r="N1394" s="6" t="str">
        <f>HYPERLINK("C:\Users\alexa\YandexDisk\Книги\ИИ\Основы ML\ML__Погружение_в_технологию_vPlwmg.pdf","ML__Погружение_в_технологию_vPlwmg.pdf")</f>
        <v>ML__Погружение_в_технологию_vPlwmg.pdf</v>
      </c>
      <c r="O1394" s="3" t="s">
        <v>5601</v>
      </c>
    </row>
    <row r="1395" spans="1:15" ht="193.2" x14ac:dyDescent="0.3">
      <c r="A1395" s="4">
        <v>1394</v>
      </c>
      <c r="B1395" s="5" t="s">
        <v>5602</v>
      </c>
      <c r="C1395" s="5" t="s">
        <v>4913</v>
      </c>
      <c r="D1395" s="5" t="s">
        <v>65</v>
      </c>
      <c r="E1395" s="5" t="s">
        <v>86</v>
      </c>
      <c r="F1395" s="5" t="s">
        <v>5459</v>
      </c>
      <c r="G1395" s="5" t="s">
        <v>4637</v>
      </c>
      <c r="H1395" s="5" t="s">
        <v>5460</v>
      </c>
      <c r="I1395" s="5" t="s">
        <v>20</v>
      </c>
      <c r="J1395" s="5">
        <v>25.69</v>
      </c>
      <c r="K1395" s="5" t="s">
        <v>21</v>
      </c>
      <c r="L1395" s="5" t="s">
        <v>5603</v>
      </c>
      <c r="M1395" s="5" t="s">
        <v>5485</v>
      </c>
      <c r="N1395" s="7" t="str">
        <f>HYPERLINK("C:\Users\alexa\YandexDisk\Книги\ИИ\Основы ML\Murphy_ML_proglib 2012.pdf","Murphy_ML_proglib 2012.pdf")</f>
        <v>Murphy_ML_proglib 2012.pdf</v>
      </c>
      <c r="O1395" s="5" t="s">
        <v>5604</v>
      </c>
    </row>
    <row r="1396" spans="1:15" ht="193.2" x14ac:dyDescent="0.3">
      <c r="A1396" s="2">
        <v>1395</v>
      </c>
      <c r="B1396" s="3" t="s">
        <v>5605</v>
      </c>
      <c r="C1396" s="3" t="s">
        <v>5606</v>
      </c>
      <c r="D1396" s="3"/>
      <c r="E1396" s="3" t="s">
        <v>72</v>
      </c>
      <c r="F1396" s="3" t="s">
        <v>5459</v>
      </c>
      <c r="G1396" s="3" t="s">
        <v>4637</v>
      </c>
      <c r="H1396" s="3" t="s">
        <v>5460</v>
      </c>
      <c r="I1396" s="3" t="s">
        <v>20</v>
      </c>
      <c r="J1396" s="3">
        <v>10.42</v>
      </c>
      <c r="K1396" s="3" t="s">
        <v>21</v>
      </c>
      <c r="L1396" s="3" t="s">
        <v>5607</v>
      </c>
      <c r="M1396" s="3" t="s">
        <v>5485</v>
      </c>
      <c r="N1396" s="6" t="str">
        <f>HYPERLINK("C:\Users\alexa\YandexDisk\Книги\ИИ\Основы ML\no.starch.press.the.shape.of.data.pdf","no.starch.press.the.shape.of.data.pdf")</f>
        <v>no.starch.press.the.shape.of.data.pdf</v>
      </c>
      <c r="O1396" s="3" t="s">
        <v>5608</v>
      </c>
    </row>
    <row r="1397" spans="1:15" ht="138" x14ac:dyDescent="0.3">
      <c r="A1397" s="4">
        <v>1396</v>
      </c>
      <c r="B1397" s="5" t="s">
        <v>5609</v>
      </c>
      <c r="C1397" s="5" t="s">
        <v>5610</v>
      </c>
      <c r="D1397" s="5" t="s">
        <v>27</v>
      </c>
      <c r="E1397" s="5" t="s">
        <v>205</v>
      </c>
      <c r="F1397" s="5" t="s">
        <v>5459</v>
      </c>
      <c r="G1397" s="5" t="s">
        <v>4637</v>
      </c>
      <c r="H1397" s="5" t="s">
        <v>5460</v>
      </c>
      <c r="I1397" s="5" t="s">
        <v>20</v>
      </c>
      <c r="J1397" s="5">
        <v>12.4</v>
      </c>
      <c r="K1397" s="5" t="s">
        <v>21</v>
      </c>
      <c r="L1397" s="5" t="s">
        <v>5611</v>
      </c>
      <c r="M1397" s="5" t="s">
        <v>5485</v>
      </c>
      <c r="N1397" s="7" t="str">
        <f>HYPERLINK("C:\Users\alexa\YandexDisk\Книги\ИИ\Основы ML\Packt.Machine.Learning.in.Microservices.pdf","Packt.Machine.Learning.in.Microservices.pdf")</f>
        <v>Packt.Machine.Learning.in.Microservices.pdf</v>
      </c>
      <c r="O1397" s="5" t="s">
        <v>5612</v>
      </c>
    </row>
    <row r="1398" spans="1:15" ht="220.8" x14ac:dyDescent="0.3">
      <c r="A1398" s="2">
        <v>1397</v>
      </c>
      <c r="B1398" s="3" t="s">
        <v>5613</v>
      </c>
      <c r="C1398" s="3" t="s">
        <v>5614</v>
      </c>
      <c r="D1398" s="3" t="s">
        <v>17</v>
      </c>
      <c r="E1398" s="3"/>
      <c r="F1398" s="3" t="s">
        <v>5459</v>
      </c>
      <c r="G1398" s="3" t="s">
        <v>4637</v>
      </c>
      <c r="H1398" s="3" t="s">
        <v>5460</v>
      </c>
      <c r="I1398" s="3" t="s">
        <v>20</v>
      </c>
      <c r="J1398" s="3">
        <v>2.4500000000000002</v>
      </c>
      <c r="K1398" s="3" t="s">
        <v>21</v>
      </c>
      <c r="L1398" s="3" t="s">
        <v>5615</v>
      </c>
      <c r="M1398" s="3" t="s">
        <v>5485</v>
      </c>
      <c r="N1398" s="6" t="str">
        <f>HYPERLINK("C:\Users\alexa\YandexDisk\Книги\ИИ\Основы ML\PATTERNS, PREDICTIONS, AND ACTIONS.pdf","PATTERNS, PREDICTIONS, AND ACTIONS.pdf")</f>
        <v>PATTERNS, PREDICTIONS, AND ACTIONS.pdf</v>
      </c>
      <c r="O1398" s="3" t="s">
        <v>5616</v>
      </c>
    </row>
    <row r="1399" spans="1:15" ht="207" x14ac:dyDescent="0.3">
      <c r="A1399" s="4">
        <v>1398</v>
      </c>
      <c r="B1399" s="5" t="s">
        <v>5617</v>
      </c>
      <c r="C1399" s="5" t="s">
        <v>5618</v>
      </c>
      <c r="D1399" s="5"/>
      <c r="E1399" s="5" t="s">
        <v>678</v>
      </c>
      <c r="F1399" s="5" t="s">
        <v>5459</v>
      </c>
      <c r="G1399" s="5" t="s">
        <v>4637</v>
      </c>
      <c r="H1399" s="5" t="s">
        <v>5460</v>
      </c>
      <c r="I1399" s="5" t="s">
        <v>20</v>
      </c>
      <c r="J1399" s="5">
        <v>4.8</v>
      </c>
      <c r="K1399" s="5" t="s">
        <v>21</v>
      </c>
      <c r="L1399" s="5" t="s">
        <v>5619</v>
      </c>
      <c r="M1399" s="5" t="s">
        <v>5485</v>
      </c>
      <c r="N1399" s="7" t="str">
        <f>HYPERLINK("C:\Users\alexa\YandexDisk\Книги\ИИ\Основы ML\Pattern_Recognition_and_Machine_Learning_Christopher_M_Bishop.pdf","Pattern_Recognition_and_Machine_Learning_Christopher_M_Bishop.pdf")</f>
        <v>Pattern_Recognition_and_Machine_Learning_Christopher_M_Bishop.pdf</v>
      </c>
      <c r="O1399" s="5" t="s">
        <v>5620</v>
      </c>
    </row>
    <row r="1400" spans="1:15" ht="193.2" x14ac:dyDescent="0.3">
      <c r="A1400" s="2">
        <v>1399</v>
      </c>
      <c r="B1400" s="3" t="s">
        <v>5621</v>
      </c>
      <c r="C1400" s="3" t="s">
        <v>4913</v>
      </c>
      <c r="D1400" s="3" t="s">
        <v>27</v>
      </c>
      <c r="E1400" s="3" t="s">
        <v>86</v>
      </c>
      <c r="F1400" s="3" t="s">
        <v>5459</v>
      </c>
      <c r="G1400" s="3" t="s">
        <v>4637</v>
      </c>
      <c r="H1400" s="3" t="s">
        <v>5460</v>
      </c>
      <c r="I1400" s="3" t="s">
        <v>20</v>
      </c>
      <c r="J1400" s="3">
        <v>190.94</v>
      </c>
      <c r="K1400" s="3" t="s">
        <v>21</v>
      </c>
      <c r="L1400" s="3" t="s">
        <v>5622</v>
      </c>
      <c r="M1400" s="3" t="s">
        <v>5485</v>
      </c>
      <c r="N1400" s="6" t="str">
        <f>HYPERLINK("C:\Users\alexa\YandexDisk\Книги\ИИ\Основы ML\Probabilistic Machine Learning.pdf","Probabilistic Machine Learning.pdf")</f>
        <v>Probabilistic Machine Learning.pdf</v>
      </c>
      <c r="O1400" s="3" t="s">
        <v>5623</v>
      </c>
    </row>
    <row r="1401" spans="1:15" ht="193.2" x14ac:dyDescent="0.3">
      <c r="A1401" s="4">
        <v>1400</v>
      </c>
      <c r="B1401" s="5" t="s">
        <v>5624</v>
      </c>
      <c r="C1401" s="5" t="s">
        <v>5625</v>
      </c>
      <c r="D1401" s="5" t="s">
        <v>27</v>
      </c>
      <c r="E1401" s="5" t="s">
        <v>3305</v>
      </c>
      <c r="F1401" s="5" t="s">
        <v>5459</v>
      </c>
      <c r="G1401" s="5" t="s">
        <v>4637</v>
      </c>
      <c r="H1401" s="5" t="s">
        <v>5460</v>
      </c>
      <c r="I1401" s="5" t="s">
        <v>20</v>
      </c>
      <c r="J1401" s="5">
        <v>4.42</v>
      </c>
      <c r="K1401" s="5" t="s">
        <v>21</v>
      </c>
      <c r="L1401" s="5" t="s">
        <v>5626</v>
      </c>
      <c r="M1401" s="5" t="s">
        <v>5485</v>
      </c>
      <c r="N1401" s="7" t="str">
        <f>HYPERLINK("C:\Users\alexa\YandexDisk\Книги\ИИ\Основы ML\Python Machine Learning Projects.pdf","Python Machine Learning Projects.pdf")</f>
        <v>Python Machine Learning Projects.pdf</v>
      </c>
      <c r="O1401" s="5" t="s">
        <v>5627</v>
      </c>
    </row>
    <row r="1402" spans="1:15" ht="220.8" x14ac:dyDescent="0.3">
      <c r="A1402" s="2">
        <v>1401</v>
      </c>
      <c r="B1402" s="3" t="s">
        <v>5628</v>
      </c>
      <c r="C1402" s="3" t="s">
        <v>5629</v>
      </c>
      <c r="D1402" s="3" t="s">
        <v>50</v>
      </c>
      <c r="E1402" s="3" t="s">
        <v>102</v>
      </c>
      <c r="F1402" s="3" t="s">
        <v>5459</v>
      </c>
      <c r="G1402" s="3" t="s">
        <v>4637</v>
      </c>
      <c r="H1402" s="3" t="s">
        <v>5460</v>
      </c>
      <c r="I1402" s="3" t="s">
        <v>20</v>
      </c>
      <c r="J1402" s="3">
        <v>147.13999999999999</v>
      </c>
      <c r="K1402" s="3" t="s">
        <v>21</v>
      </c>
      <c r="L1402" s="3" t="s">
        <v>5630</v>
      </c>
      <c r="M1402" s="3" t="s">
        <v>5485</v>
      </c>
      <c r="N1402" s="6" t="str">
        <f>HYPERLINK("C:\Users\alexa\YandexDisk\Книги\ИИ\Основы ML\Python и машинное обучение.pdf","Python и машинное обучение.pdf")</f>
        <v>Python и машинное обучение.pdf</v>
      </c>
      <c r="O1402" s="3" t="s">
        <v>5631</v>
      </c>
    </row>
    <row r="1403" spans="1:15" ht="179.4" x14ac:dyDescent="0.3">
      <c r="A1403" s="4">
        <v>1402</v>
      </c>
      <c r="B1403" s="5" t="s">
        <v>5624</v>
      </c>
      <c r="C1403" s="5" t="s">
        <v>5625</v>
      </c>
      <c r="D1403" s="5" t="s">
        <v>27</v>
      </c>
      <c r="E1403" s="5" t="s">
        <v>3305</v>
      </c>
      <c r="F1403" s="5" t="s">
        <v>5459</v>
      </c>
      <c r="G1403" s="5" t="s">
        <v>4637</v>
      </c>
      <c r="H1403" s="5" t="s">
        <v>5460</v>
      </c>
      <c r="I1403" s="5" t="s">
        <v>20</v>
      </c>
      <c r="J1403" s="5">
        <v>4.42</v>
      </c>
      <c r="K1403" s="5" t="s">
        <v>21</v>
      </c>
      <c r="L1403" s="5" t="s">
        <v>5632</v>
      </c>
      <c r="M1403" s="5" t="s">
        <v>5485</v>
      </c>
      <c r="N1403" s="7" t="str">
        <f>HYPERLINK("C:\Users\alexa\YandexDisk\Книги\ИИ\Основы ML\Python.Machine.Learning.Projects (2).pdf","Python.Machine.Learning.Projects (2).pdf")</f>
        <v>Python.Machine.Learning.Projects (2).pdf</v>
      </c>
      <c r="O1403" s="5" t="s">
        <v>5633</v>
      </c>
    </row>
    <row r="1404" spans="1:15" ht="165.6" x14ac:dyDescent="0.3">
      <c r="A1404" s="2">
        <v>1403</v>
      </c>
      <c r="B1404" s="3" t="s">
        <v>5634</v>
      </c>
      <c r="C1404" s="3" t="s">
        <v>5635</v>
      </c>
      <c r="D1404" s="3" t="s">
        <v>50</v>
      </c>
      <c r="E1404" s="3" t="s">
        <v>205</v>
      </c>
      <c r="F1404" s="3" t="s">
        <v>5459</v>
      </c>
      <c r="G1404" s="3" t="s">
        <v>4637</v>
      </c>
      <c r="H1404" s="3" t="s">
        <v>5460</v>
      </c>
      <c r="I1404" s="3" t="s">
        <v>20</v>
      </c>
      <c r="J1404" s="3">
        <v>5.15</v>
      </c>
      <c r="K1404" s="3" t="s">
        <v>21</v>
      </c>
      <c r="L1404" s="3" t="s">
        <v>5636</v>
      </c>
      <c r="M1404" s="3" t="s">
        <v>5485</v>
      </c>
      <c r="N1404" s="6" t="str">
        <f>HYPERLINK("C:\Users\alexa\YandexDisk\Книги\ИИ\Основы ML\python_machine_learning_by_example.pdf","python_machine_learning_by_example.pdf")</f>
        <v>python_machine_learning_by_example.pdf</v>
      </c>
      <c r="O1404" s="3" t="s">
        <v>5637</v>
      </c>
    </row>
    <row r="1405" spans="1:15" ht="220.8" x14ac:dyDescent="0.3">
      <c r="A1405" s="4">
        <v>1404</v>
      </c>
      <c r="B1405" s="5" t="s">
        <v>5638</v>
      </c>
      <c r="C1405" s="5" t="s">
        <v>5639</v>
      </c>
      <c r="D1405" s="5"/>
      <c r="E1405" s="5"/>
      <c r="F1405" s="5" t="s">
        <v>5459</v>
      </c>
      <c r="G1405" s="5" t="s">
        <v>4637</v>
      </c>
      <c r="H1405" s="5" t="s">
        <v>5460</v>
      </c>
      <c r="I1405" s="5" t="s">
        <v>20</v>
      </c>
      <c r="J1405" s="5">
        <v>6.91</v>
      </c>
      <c r="K1405" s="5" t="s">
        <v>21</v>
      </c>
      <c r="L1405" s="5" t="s">
        <v>5640</v>
      </c>
      <c r="M1405" s="5" t="s">
        <v>5485</v>
      </c>
      <c r="N1405" s="7" t="str">
        <f>HYPERLINK("C:\Users\alexa\YandexDisk\Книги\ИИ\Основы ML\Recommender_Systems.pdf","Recommender_Systems.pdf")</f>
        <v>Recommender_Systems.pdf</v>
      </c>
      <c r="O1405" s="5" t="s">
        <v>5641</v>
      </c>
    </row>
    <row r="1406" spans="1:15" ht="207" x14ac:dyDescent="0.3">
      <c r="A1406" s="2">
        <v>1405</v>
      </c>
      <c r="B1406" s="3" t="s">
        <v>5488</v>
      </c>
      <c r="C1406" s="3" t="s">
        <v>5489</v>
      </c>
      <c r="D1406" s="3"/>
      <c r="E1406" s="3"/>
      <c r="F1406" s="3" t="s">
        <v>5459</v>
      </c>
      <c r="G1406" s="3" t="s">
        <v>4637</v>
      </c>
      <c r="H1406" s="3" t="s">
        <v>5460</v>
      </c>
      <c r="I1406" s="3" t="s">
        <v>20</v>
      </c>
      <c r="J1406" s="3">
        <v>6.72</v>
      </c>
      <c r="K1406" s="3" t="s">
        <v>21</v>
      </c>
      <c r="L1406" s="3" t="s">
        <v>5642</v>
      </c>
      <c r="M1406" s="3" t="s">
        <v>5485</v>
      </c>
      <c r="N1406" s="6" t="str">
        <f>HYPERLINK("C:\Users\alexa\YandexDisk\Книги\ИИ\Основы ML\The Hundred-Page Machine Learning Book (Andriy Burkov).pdf","The Hundred-Page Machine Learning Book (Andriy Burkov).pdf")</f>
        <v>The Hundred-Page Machine Learning Book (Andriy Burkov).pdf</v>
      </c>
      <c r="O1406" s="3" t="s">
        <v>5643</v>
      </c>
    </row>
    <row r="1407" spans="1:15" ht="207" x14ac:dyDescent="0.3">
      <c r="A1407" s="4">
        <v>1406</v>
      </c>
      <c r="B1407" s="5" t="s">
        <v>5644</v>
      </c>
      <c r="C1407" s="5" t="s">
        <v>5543</v>
      </c>
      <c r="D1407" s="5" t="s">
        <v>17</v>
      </c>
      <c r="E1407" s="5" t="s">
        <v>102</v>
      </c>
      <c r="F1407" s="5" t="s">
        <v>5459</v>
      </c>
      <c r="G1407" s="5" t="s">
        <v>4637</v>
      </c>
      <c r="H1407" s="5" t="s">
        <v>5460</v>
      </c>
      <c r="I1407" s="5" t="s">
        <v>20</v>
      </c>
      <c r="J1407" s="5">
        <v>17.52</v>
      </c>
      <c r="K1407" s="5" t="s">
        <v>21</v>
      </c>
      <c r="L1407" s="5" t="s">
        <v>5645</v>
      </c>
      <c r="M1407" s="5" t="s">
        <v>5485</v>
      </c>
      <c r="N1407" s="7" t="str">
        <f>HYPERLINK("C:\Users\alexa\YandexDisk\Книги\ИИ\Основы ML\Автоматизация жизненных циклов с помощью TensorFlow.pdf","Автоматизация жизненных циклов с помощью TensorFlow.pdf")</f>
        <v>Автоматизация жизненных циклов с помощью TensorFlow.pdf</v>
      </c>
      <c r="O1407" s="5" t="s">
        <v>5646</v>
      </c>
    </row>
    <row r="1408" spans="1:15" ht="151.80000000000001" x14ac:dyDescent="0.3">
      <c r="A1408" s="2">
        <v>1407</v>
      </c>
      <c r="B1408" s="3" t="s">
        <v>5647</v>
      </c>
      <c r="C1408" s="3" t="s">
        <v>5648</v>
      </c>
      <c r="D1408" s="3" t="s">
        <v>27</v>
      </c>
      <c r="E1408" s="3" t="s">
        <v>4289</v>
      </c>
      <c r="F1408" s="3" t="s">
        <v>5459</v>
      </c>
      <c r="G1408" s="3" t="s">
        <v>4637</v>
      </c>
      <c r="H1408" s="3" t="s">
        <v>5460</v>
      </c>
      <c r="I1408" s="3" t="s">
        <v>20</v>
      </c>
      <c r="J1408" s="3">
        <v>10.16</v>
      </c>
      <c r="K1408" s="3" t="s">
        <v>21</v>
      </c>
      <c r="L1408" s="3" t="s">
        <v>5649</v>
      </c>
      <c r="M1408" s="3" t="s">
        <v>5485</v>
      </c>
      <c r="N1408" s="6" t="str">
        <f>HYPERLINK("C:\Users\alexa\YandexDisk\Книги\ИИ\Основы ML\Базовые алгоритмы машинного обучения на языке Python.pdf","Базовые алгоритмы машинного обучения на языке Python.pdf")</f>
        <v>Базовые алгоритмы машинного обучения на языке Python.pdf</v>
      </c>
      <c r="O1408" s="3" t="s">
        <v>5650</v>
      </c>
    </row>
    <row r="1409" spans="1:15" ht="193.2" x14ac:dyDescent="0.3">
      <c r="A1409" s="4">
        <v>1408</v>
      </c>
      <c r="B1409" s="5" t="s">
        <v>5651</v>
      </c>
      <c r="C1409" s="5" t="s">
        <v>5652</v>
      </c>
      <c r="D1409" s="5" t="s">
        <v>27</v>
      </c>
      <c r="E1409" s="5" t="s">
        <v>86</v>
      </c>
      <c r="F1409" s="5" t="s">
        <v>5459</v>
      </c>
      <c r="G1409" s="5" t="s">
        <v>4637</v>
      </c>
      <c r="H1409" s="5" t="s">
        <v>5460</v>
      </c>
      <c r="I1409" s="5" t="s">
        <v>20</v>
      </c>
      <c r="J1409" s="5">
        <v>29.21</v>
      </c>
      <c r="K1409" s="5" t="s">
        <v>21</v>
      </c>
      <c r="L1409" s="5" t="s">
        <v>5653</v>
      </c>
      <c r="M1409" s="5" t="s">
        <v>5485</v>
      </c>
      <c r="N1409" s="7" t="str">
        <f>HYPERLINK("C:\Users\alexa\YandexDisk\Книги\ИИ\Основы ML\Байесовские модели восприятия и действия.pdf","Байесовские модели восприятия и действия.pdf")</f>
        <v>Байесовские модели восприятия и действия.pdf</v>
      </c>
      <c r="O1409" s="5" t="s">
        <v>5654</v>
      </c>
    </row>
    <row r="1410" spans="1:15" ht="151.80000000000001" x14ac:dyDescent="0.3">
      <c r="A1410" s="2">
        <v>1409</v>
      </c>
      <c r="B1410" s="3" t="s">
        <v>5655</v>
      </c>
      <c r="C1410" s="3" t="s">
        <v>5656</v>
      </c>
      <c r="D1410" s="3" t="s">
        <v>27</v>
      </c>
      <c r="E1410" s="3"/>
      <c r="F1410" s="3" t="s">
        <v>5459</v>
      </c>
      <c r="G1410" s="3" t="s">
        <v>4637</v>
      </c>
      <c r="H1410" s="3" t="s">
        <v>5460</v>
      </c>
      <c r="I1410" s="3" t="s">
        <v>20</v>
      </c>
      <c r="J1410" s="3">
        <v>16.41</v>
      </c>
      <c r="K1410" s="3" t="s">
        <v>21</v>
      </c>
      <c r="L1410" s="3" t="s">
        <v>5657</v>
      </c>
      <c r="M1410" s="3" t="s">
        <v>5485</v>
      </c>
      <c r="N1410" s="6" t="str">
        <f>HYPERLINK("C:\Users\alexa\YandexDisk\Книги\ИИ\Основы ML\Введение в автоматизированное ML.pdf","Введение в автоматизированное ML.pdf")</f>
        <v>Введение в автоматизированное ML.pdf</v>
      </c>
      <c r="O1410" s="3" t="s">
        <v>5658</v>
      </c>
    </row>
    <row r="1411" spans="1:15" ht="165.6" x14ac:dyDescent="0.3">
      <c r="A1411" s="4">
        <v>1410</v>
      </c>
      <c r="B1411" s="5" t="s">
        <v>5659</v>
      </c>
      <c r="C1411" s="5" t="s">
        <v>5660</v>
      </c>
      <c r="D1411" s="5" t="s">
        <v>109</v>
      </c>
      <c r="E1411" s="5" t="s">
        <v>102</v>
      </c>
      <c r="F1411" s="5" t="s">
        <v>5459</v>
      </c>
      <c r="G1411" s="5" t="s">
        <v>4637</v>
      </c>
      <c r="H1411" s="5" t="s">
        <v>5460</v>
      </c>
      <c r="I1411" s="5" t="s">
        <v>20</v>
      </c>
      <c r="J1411" s="5">
        <v>21.01</v>
      </c>
      <c r="K1411" s="5" t="s">
        <v>21</v>
      </c>
      <c r="L1411" s="5" t="s">
        <v>5661</v>
      </c>
      <c r="M1411" s="5" t="s">
        <v>5485</v>
      </c>
      <c r="N1411" s="7" t="str">
        <f>HYPERLINK("C:\Users\alexa\YandexDisk\Книги\ИИ\Основы ML\Введение в статистическое обучение с примерами на Python.pdf","Введение в статистическое обучение с примерами на Python.pdf")</f>
        <v>Введение в статистическое обучение с примерами на Python.pdf</v>
      </c>
      <c r="O1411" s="5" t="s">
        <v>5662</v>
      </c>
    </row>
    <row r="1412" spans="1:15" ht="207" x14ac:dyDescent="0.3">
      <c r="A1412" s="2">
        <v>1411</v>
      </c>
      <c r="B1412" s="3" t="s">
        <v>5663</v>
      </c>
      <c r="C1412" s="3" t="s">
        <v>5664</v>
      </c>
      <c r="D1412" s="3" t="s">
        <v>5665</v>
      </c>
      <c r="E1412" s="3"/>
      <c r="F1412" s="3" t="s">
        <v>5459</v>
      </c>
      <c r="G1412" s="3" t="s">
        <v>4637</v>
      </c>
      <c r="H1412" s="3" t="s">
        <v>5460</v>
      </c>
      <c r="I1412" s="3" t="s">
        <v>20</v>
      </c>
      <c r="J1412" s="3">
        <v>11.37</v>
      </c>
      <c r="K1412" s="3" t="s">
        <v>21</v>
      </c>
      <c r="L1412" s="3" t="s">
        <v>5666</v>
      </c>
      <c r="M1412" s="3" t="s">
        <v>5485</v>
      </c>
      <c r="N1412" s="6" t="str">
        <f>HYPERLINK("C:\Users\alexa\YandexDisk\Книги\ИИ\Основы ML\Введение_в_машинное_обучение_с_помощью_Python_Руководство_для_специалистов.pdf","Введение_в_машинное_обучение_с_помощью_Python_Руководство_для_специалистов.pdf")</f>
        <v>Введение_в_машинное_обучение_с_помощью_Python_Руководство_для_специалистов.pdf</v>
      </c>
      <c r="O1412" s="3" t="s">
        <v>5667</v>
      </c>
    </row>
    <row r="1413" spans="1:15" ht="193.2" x14ac:dyDescent="0.3">
      <c r="A1413" s="4">
        <v>1412</v>
      </c>
      <c r="B1413" s="5" t="s">
        <v>5668</v>
      </c>
      <c r="C1413" s="5" t="s">
        <v>4913</v>
      </c>
      <c r="D1413" s="5" t="s">
        <v>71</v>
      </c>
      <c r="E1413" s="5" t="s">
        <v>86</v>
      </c>
      <c r="F1413" s="5" t="s">
        <v>5459</v>
      </c>
      <c r="G1413" s="5" t="s">
        <v>4637</v>
      </c>
      <c r="H1413" s="5" t="s">
        <v>5460</v>
      </c>
      <c r="I1413" s="5" t="s">
        <v>20</v>
      </c>
      <c r="J1413" s="5">
        <v>87.6</v>
      </c>
      <c r="K1413" s="5" t="s">
        <v>21</v>
      </c>
      <c r="L1413" s="5" t="s">
        <v>5669</v>
      </c>
      <c r="M1413" s="5" t="s">
        <v>5485</v>
      </c>
      <c r="N1413" s="7" t="str">
        <f>HYPERLINK("C:\Users\alexa\YandexDisk\Книги\ИИ\Основы ML\Вероятностное_машинное_обучение_2022_Кэвин_П_Мэрфи.pdf","Вероятностное_машинное_обучение_2022_Кэвин_П_Мэрфи.pdf")</f>
        <v>Вероятностное_машинное_обучение_2022_Кэвин_П_Мэрфи.pdf</v>
      </c>
      <c r="O1413" s="5" t="s">
        <v>5670</v>
      </c>
    </row>
    <row r="1414" spans="1:15" ht="179.4" x14ac:dyDescent="0.3">
      <c r="A1414" s="2">
        <v>1413</v>
      </c>
      <c r="B1414" s="3" t="s">
        <v>5671</v>
      </c>
      <c r="C1414" s="3" t="s">
        <v>5672</v>
      </c>
      <c r="D1414" s="3" t="s">
        <v>114</v>
      </c>
      <c r="E1414" s="3" t="s">
        <v>303</v>
      </c>
      <c r="F1414" s="3" t="s">
        <v>5459</v>
      </c>
      <c r="G1414" s="3" t="s">
        <v>4637</v>
      </c>
      <c r="H1414" s="3" t="s">
        <v>5460</v>
      </c>
      <c r="I1414" s="3" t="s">
        <v>20</v>
      </c>
      <c r="J1414" s="3">
        <v>4.45</v>
      </c>
      <c r="K1414" s="3" t="s">
        <v>21</v>
      </c>
      <c r="L1414" s="3" t="s">
        <v>5673</v>
      </c>
      <c r="M1414" s="3" t="s">
        <v>5485</v>
      </c>
      <c r="N1414" s="6" t="str">
        <f>HYPERLINK("C:\Users\alexa\YandexDisk\Книги\ИИ\Основы ML\Верховный_алгоритм_Как_машинное_обучение_изменит_наш_мир.pdf","Верховный_алгоритм_Как_машинное_обучение_изменит_наш_мир.pdf")</f>
        <v>Верховный_алгоритм_Как_машинное_обучение_изменит_наш_мир.pdf</v>
      </c>
      <c r="O1414" s="3" t="s">
        <v>5674</v>
      </c>
    </row>
    <row r="1415" spans="1:15" ht="193.2" x14ac:dyDescent="0.3">
      <c r="A1415" s="4">
        <v>1414</v>
      </c>
      <c r="B1415" s="5" t="s">
        <v>5675</v>
      </c>
      <c r="C1415" s="5" t="s">
        <v>5676</v>
      </c>
      <c r="D1415" s="5"/>
      <c r="E1415" s="5"/>
      <c r="F1415" s="5" t="s">
        <v>5459</v>
      </c>
      <c r="G1415" s="5" t="s">
        <v>4637</v>
      </c>
      <c r="H1415" s="5" t="s">
        <v>5460</v>
      </c>
      <c r="I1415" s="5" t="s">
        <v>20</v>
      </c>
      <c r="J1415" s="5">
        <v>2.99</v>
      </c>
      <c r="K1415" s="5" t="s">
        <v>21</v>
      </c>
      <c r="L1415" s="5" t="s">
        <v>5677</v>
      </c>
      <c r="M1415" s="5" t="s">
        <v>5485</v>
      </c>
      <c r="N1415" s="7" t="str">
        <f>HYPERLINK("C:\Users\alexa\YandexDisk\Книги\ИИ\Основы ML\Воронцов Математические_методы_обучения_по_прецедентам.pdf","Воронцов Математические_методы_обучения_по_прецедентам.pdf")</f>
        <v>Воронцов Математические_методы_обучения_по_прецедентам.pdf</v>
      </c>
      <c r="O1415" s="5" t="s">
        <v>5678</v>
      </c>
    </row>
    <row r="1416" spans="1:15" ht="193.2" x14ac:dyDescent="0.3">
      <c r="A1416" s="2">
        <v>1415</v>
      </c>
      <c r="B1416" s="3" t="s">
        <v>5679</v>
      </c>
      <c r="C1416" s="3" t="s">
        <v>5680</v>
      </c>
      <c r="D1416" s="3"/>
      <c r="E1416" s="3"/>
      <c r="F1416" s="3" t="s">
        <v>5459</v>
      </c>
      <c r="G1416" s="3" t="s">
        <v>4637</v>
      </c>
      <c r="H1416" s="3" t="s">
        <v>5460</v>
      </c>
      <c r="I1416" s="3" t="s">
        <v>20</v>
      </c>
      <c r="J1416" s="3">
        <v>2.37</v>
      </c>
      <c r="K1416" s="3" t="s">
        <v>21</v>
      </c>
      <c r="L1416" s="3" t="s">
        <v>5681</v>
      </c>
      <c r="M1416" s="3" t="s">
        <v>5485</v>
      </c>
      <c r="N1416" s="6" t="str">
        <f>HYPERLINK("C:\Users\alexa\YandexDisk\Книги\ИИ\Основы ML\Воронцов Машинное обучение.pdf","Воронцов Машинное обучение.pdf")</f>
        <v>Воронцов Машинное обучение.pdf</v>
      </c>
      <c r="O1416" s="3" t="s">
        <v>5682</v>
      </c>
    </row>
    <row r="1417" spans="1:15" ht="165.6" x14ac:dyDescent="0.3">
      <c r="A1417" s="4">
        <v>1416</v>
      </c>
      <c r="B1417" s="5" t="s">
        <v>5683</v>
      </c>
      <c r="C1417" s="5" t="s">
        <v>5684</v>
      </c>
      <c r="D1417" s="5" t="s">
        <v>109</v>
      </c>
      <c r="E1417" s="5" t="s">
        <v>18</v>
      </c>
      <c r="F1417" s="5" t="s">
        <v>5459</v>
      </c>
      <c r="G1417" s="5" t="s">
        <v>4637</v>
      </c>
      <c r="H1417" s="5" t="s">
        <v>5460</v>
      </c>
      <c r="I1417" s="5" t="s">
        <v>20</v>
      </c>
      <c r="J1417" s="5">
        <v>10.17</v>
      </c>
      <c r="K1417" s="5" t="s">
        <v>21</v>
      </c>
      <c r="L1417" s="5" t="s">
        <v>5685</v>
      </c>
      <c r="M1417" s="5" t="s">
        <v>5485</v>
      </c>
      <c r="N1417" s="7" t="str">
        <f>HYPERLINK("C:\Users\alexa\YandexDisk\Книги\ИИ\Основы ML\Грокаем машинное обучение.pdf","Грокаем машинное обучение.pdf")</f>
        <v>Грокаем машинное обучение.pdf</v>
      </c>
      <c r="O1417" s="5" t="s">
        <v>5686</v>
      </c>
    </row>
    <row r="1418" spans="1:15" ht="179.4" x14ac:dyDescent="0.3">
      <c r="A1418" s="2">
        <v>1417</v>
      </c>
      <c r="B1418" s="3" t="s">
        <v>5687</v>
      </c>
      <c r="C1418" s="3" t="s">
        <v>5688</v>
      </c>
      <c r="D1418" s="3" t="s">
        <v>65</v>
      </c>
      <c r="E1418" s="3"/>
      <c r="F1418" s="3" t="s">
        <v>5459</v>
      </c>
      <c r="G1418" s="3" t="s">
        <v>4637</v>
      </c>
      <c r="H1418" s="3" t="s">
        <v>5460</v>
      </c>
      <c r="I1418" s="3" t="s">
        <v>20</v>
      </c>
      <c r="J1418" s="3">
        <v>2.84</v>
      </c>
      <c r="K1418" s="3" t="s">
        <v>21</v>
      </c>
      <c r="L1418" s="3" t="s">
        <v>5689</v>
      </c>
      <c r="M1418" s="3" t="s">
        <v>5485</v>
      </c>
      <c r="N1418" s="6" t="str">
        <f>HYPERLINK("C:\Users\alexa\YandexDisk\Книги\ИИ\Основы ML\Домэ Course_In_Machine_Learning_proglib-2010.pdf","Домэ Course_In_Machine_Learning_proglib-2010.pdf")</f>
        <v>Домэ Course_In_Machine_Learning_proglib-2010.pdf</v>
      </c>
      <c r="O1418" s="3" t="s">
        <v>5690</v>
      </c>
    </row>
    <row r="1419" spans="1:15" ht="165.6" x14ac:dyDescent="0.3">
      <c r="A1419" s="4">
        <v>1418</v>
      </c>
      <c r="B1419" s="5" t="s">
        <v>5691</v>
      </c>
      <c r="C1419" s="5" t="s">
        <v>5692</v>
      </c>
      <c r="D1419" s="5" t="s">
        <v>59</v>
      </c>
      <c r="E1419" s="5" t="s">
        <v>102</v>
      </c>
      <c r="F1419" s="5" t="s">
        <v>5459</v>
      </c>
      <c r="G1419" s="5" t="s">
        <v>4637</v>
      </c>
      <c r="H1419" s="5" t="s">
        <v>5460</v>
      </c>
      <c r="I1419" s="5" t="s">
        <v>20</v>
      </c>
      <c r="J1419" s="5">
        <v>62.32</v>
      </c>
      <c r="K1419" s="5" t="s">
        <v>21</v>
      </c>
      <c r="L1419" s="5" t="s">
        <v>5693</v>
      </c>
      <c r="M1419" s="5" t="s">
        <v>5485</v>
      </c>
      <c r="N1419" s="7" t="str">
        <f>HYPERLINK("C:\Users\alexa\YandexDisk\Книги\ИИ\Основы ML\Занимательное_машинное_обучение_манга.pdf","Занимательное_машинное_обучение_манга.pdf")</f>
        <v>Занимательное_машинное_обучение_манга.pdf</v>
      </c>
      <c r="O1419" s="5" t="s">
        <v>5694</v>
      </c>
    </row>
    <row r="1420" spans="1:15" ht="193.2" x14ac:dyDescent="0.3">
      <c r="A1420" s="2">
        <v>1419</v>
      </c>
      <c r="B1420" s="3" t="s">
        <v>5695</v>
      </c>
      <c r="C1420" s="3" t="s">
        <v>5696</v>
      </c>
      <c r="D1420" s="3" t="s">
        <v>77</v>
      </c>
      <c r="E1420" s="3" t="s">
        <v>102</v>
      </c>
      <c r="F1420" s="3" t="s">
        <v>5459</v>
      </c>
      <c r="G1420" s="3" t="s">
        <v>4637</v>
      </c>
      <c r="H1420" s="3" t="s">
        <v>5460</v>
      </c>
      <c r="I1420" s="3" t="s">
        <v>20</v>
      </c>
      <c r="J1420" s="3">
        <v>12.26</v>
      </c>
      <c r="K1420" s="3" t="s">
        <v>21</v>
      </c>
      <c r="L1420" s="3" t="s">
        <v>5697</v>
      </c>
      <c r="M1420" s="3" t="s">
        <v>5485</v>
      </c>
      <c r="N1420" s="6" t="str">
        <f>HYPERLINK("C:\Users\alexa\YandexDisk\Книги\ИИ\Основы ML\Идеи машинного обучения.pdf","Идеи машинного обучения.pdf")</f>
        <v>Идеи машинного обучения.pdf</v>
      </c>
      <c r="O1420" s="3" t="s">
        <v>5698</v>
      </c>
    </row>
    <row r="1421" spans="1:15" ht="193.2" x14ac:dyDescent="0.3">
      <c r="A1421" s="4">
        <v>1420</v>
      </c>
      <c r="B1421" s="5" t="s">
        <v>5699</v>
      </c>
      <c r="C1421" s="5" t="s">
        <v>5696</v>
      </c>
      <c r="D1421" s="5" t="s">
        <v>77</v>
      </c>
      <c r="E1421" s="5" t="s">
        <v>102</v>
      </c>
      <c r="F1421" s="5" t="s">
        <v>5459</v>
      </c>
      <c r="G1421" s="5" t="s">
        <v>4637</v>
      </c>
      <c r="H1421" s="5" t="s">
        <v>5460</v>
      </c>
      <c r="I1421" s="5" t="s">
        <v>20</v>
      </c>
      <c r="J1421" s="5">
        <v>11.13</v>
      </c>
      <c r="K1421" s="5" t="s">
        <v>21</v>
      </c>
      <c r="L1421" s="5" t="s">
        <v>5700</v>
      </c>
      <c r="M1421" s="5" t="s">
        <v>5485</v>
      </c>
      <c r="N1421" s="7" t="str">
        <f>HYPERLINK("C:\Users\alexa\YandexDisk\Книги\ИИ\Основы ML\Идеи_машинного_обучения_от_теории_к_алгоритмам 2019.pdf","Идеи_машинного_обучения_от_теории_к_алгоритмам 2019.pdf")</f>
        <v>Идеи_машинного_обучения_от_теории_к_алгоритмам 2019.pdf</v>
      </c>
      <c r="O1421" s="5" t="s">
        <v>5701</v>
      </c>
    </row>
    <row r="1422" spans="1:15" ht="179.4" x14ac:dyDescent="0.3">
      <c r="A1422" s="2">
        <v>1421</v>
      </c>
      <c r="B1422" s="3" t="s">
        <v>5702</v>
      </c>
      <c r="C1422" s="3" t="s">
        <v>5703</v>
      </c>
      <c r="D1422" s="3"/>
      <c r="E1422" s="3"/>
      <c r="F1422" s="3" t="s">
        <v>5459</v>
      </c>
      <c r="G1422" s="3" t="s">
        <v>4637</v>
      </c>
      <c r="H1422" s="3" t="s">
        <v>5460</v>
      </c>
      <c r="I1422" s="3" t="s">
        <v>20</v>
      </c>
      <c r="J1422" s="3">
        <v>10.94</v>
      </c>
      <c r="K1422" s="3" t="s">
        <v>21</v>
      </c>
      <c r="L1422" s="3" t="s">
        <v>5704</v>
      </c>
      <c r="M1422" s="3" t="s">
        <v>5485</v>
      </c>
      <c r="N1422" s="6" t="str">
        <f>HYPERLINK("C:\Users\alexa\YandexDisk\Книги\ИИ\Основы ML\Изучаем Ray.pdf","Изучаем Ray.pdf")</f>
        <v>Изучаем Ray.pdf</v>
      </c>
      <c r="O1422" s="3" t="s">
        <v>5705</v>
      </c>
    </row>
    <row r="1423" spans="1:15" ht="179.4" x14ac:dyDescent="0.3">
      <c r="A1423" s="4">
        <v>1422</v>
      </c>
      <c r="B1423" s="5" t="s">
        <v>5706</v>
      </c>
      <c r="C1423" s="5" t="s">
        <v>5707</v>
      </c>
      <c r="D1423" s="5" t="s">
        <v>71</v>
      </c>
      <c r="E1423" s="5" t="s">
        <v>102</v>
      </c>
      <c r="F1423" s="5" t="s">
        <v>5459</v>
      </c>
      <c r="G1423" s="5" t="s">
        <v>4637</v>
      </c>
      <c r="H1423" s="5" t="s">
        <v>5460</v>
      </c>
      <c r="I1423" s="5" t="s">
        <v>20</v>
      </c>
      <c r="J1423" s="5">
        <v>15.17</v>
      </c>
      <c r="K1423" s="5" t="s">
        <v>21</v>
      </c>
      <c r="L1423" s="5" t="s">
        <v>5708</v>
      </c>
      <c r="M1423" s="5" t="s">
        <v>5485</v>
      </c>
      <c r="N1423" s="7" t="str">
        <f>HYPERLINK("C:\Users\alexa\YandexDisk\Книги\ИИ\Основы ML\Инженерия_машинного_обучения_2022_Андрей_Бурков.pdf","Инженерия_машинного_обучения_2022_Андрей_Бурков.pdf")</f>
        <v>Инженерия_машинного_обучения_2022_Андрей_Бурков.pdf</v>
      </c>
      <c r="O1423" s="5" t="s">
        <v>5709</v>
      </c>
    </row>
    <row r="1424" spans="1:15" ht="151.80000000000001" x14ac:dyDescent="0.3">
      <c r="A1424" s="2">
        <v>1423</v>
      </c>
      <c r="B1424" s="3" t="s">
        <v>5710</v>
      </c>
      <c r="C1424" s="3" t="s">
        <v>5711</v>
      </c>
      <c r="D1424" s="3" t="s">
        <v>109</v>
      </c>
      <c r="E1424" s="3" t="s">
        <v>102</v>
      </c>
      <c r="F1424" s="3" t="s">
        <v>5459</v>
      </c>
      <c r="G1424" s="3" t="s">
        <v>4637</v>
      </c>
      <c r="H1424" s="3" t="s">
        <v>5460</v>
      </c>
      <c r="I1424" s="3" t="s">
        <v>20</v>
      </c>
      <c r="J1424" s="3">
        <v>41.7</v>
      </c>
      <c r="K1424" s="3" t="s">
        <v>21</v>
      </c>
      <c r="L1424" s="3" t="s">
        <v>5712</v>
      </c>
      <c r="M1424" s="3" t="s">
        <v>5485</v>
      </c>
      <c r="N1424" s="6" t="str">
        <f>HYPERLINK("C:\Users\alexa\YandexDisk\Книги\ИИ\Основы ML\Конформное прогнозирование в Python.pdf","Конформное прогнозирование в Python.pdf")</f>
        <v>Конформное прогнозирование в Python.pdf</v>
      </c>
      <c r="O1424" s="3" t="s">
        <v>5713</v>
      </c>
    </row>
    <row r="1425" spans="1:15" ht="151.80000000000001" x14ac:dyDescent="0.3">
      <c r="A1425" s="4">
        <v>1424</v>
      </c>
      <c r="B1425" s="5" t="s">
        <v>5714</v>
      </c>
      <c r="C1425" s="5"/>
      <c r="D1425" s="5"/>
      <c r="E1425" s="5"/>
      <c r="F1425" s="5" t="s">
        <v>5459</v>
      </c>
      <c r="G1425" s="5" t="s">
        <v>4637</v>
      </c>
      <c r="H1425" s="5" t="s">
        <v>5460</v>
      </c>
      <c r="I1425" s="5" t="s">
        <v>20</v>
      </c>
      <c r="J1425" s="5">
        <v>70.459999999999994</v>
      </c>
      <c r="K1425" s="5" t="s">
        <v>21</v>
      </c>
      <c r="L1425" s="5" t="s">
        <v>5715</v>
      </c>
      <c r="M1425" s="5" t="s">
        <v>5485</v>
      </c>
      <c r="N1425" s="7" t="str">
        <f>HYPERLINK("C:\Users\alexa\YandexDisk\Книги\ИИ\Основы ML\Крупномасштабное_машинное_обучение.pdf","Крупномасштабное_машинное_обучение.pdf")</f>
        <v>Крупномасштабное_машинное_обучение.pdf</v>
      </c>
      <c r="O1425" s="5" t="s">
        <v>5716</v>
      </c>
    </row>
    <row r="1426" spans="1:15" ht="165.6" x14ac:dyDescent="0.3">
      <c r="A1426" s="2">
        <v>1425</v>
      </c>
      <c r="B1426" s="3" t="s">
        <v>5717</v>
      </c>
      <c r="C1426" s="3" t="s">
        <v>5718</v>
      </c>
      <c r="D1426" s="3"/>
      <c r="E1426" s="3"/>
      <c r="F1426" s="3" t="s">
        <v>5459</v>
      </c>
      <c r="G1426" s="3" t="s">
        <v>4637</v>
      </c>
      <c r="H1426" s="3" t="s">
        <v>5460</v>
      </c>
      <c r="I1426" s="3" t="s">
        <v>20</v>
      </c>
      <c r="J1426" s="3">
        <v>110.26</v>
      </c>
      <c r="K1426" s="3" t="s">
        <v>21</v>
      </c>
      <c r="L1426" s="3" t="s">
        <v>5719</v>
      </c>
      <c r="M1426" s="3" t="s">
        <v>5485</v>
      </c>
      <c r="N1426" s="6" t="str">
        <f>HYPERLINK("C:\Users\alexa\YandexDisk\Книги\ИИ\Основы ML\Кук_Д_Машинное_обучение_с_использованием H2O.pdf","Кук_Д_Машинное_обучение_с_использованием H2O.pdf")</f>
        <v>Кук_Д_Машинное_обучение_с_использованием H2O.pdf</v>
      </c>
      <c r="O1426" s="3" t="s">
        <v>5720</v>
      </c>
    </row>
    <row r="1427" spans="1:15" ht="220.8" x14ac:dyDescent="0.3">
      <c r="A1427" s="4">
        <v>1426</v>
      </c>
      <c r="B1427" s="5" t="s">
        <v>5721</v>
      </c>
      <c r="C1427" s="5" t="s">
        <v>5722</v>
      </c>
      <c r="D1427" s="5" t="s">
        <v>109</v>
      </c>
      <c r="E1427" s="5" t="s">
        <v>18</v>
      </c>
      <c r="F1427" s="5" t="s">
        <v>5459</v>
      </c>
      <c r="G1427" s="5" t="s">
        <v>4637</v>
      </c>
      <c r="H1427" s="5" t="s">
        <v>5460</v>
      </c>
      <c r="I1427" s="5" t="s">
        <v>20</v>
      </c>
      <c r="J1427" s="5">
        <v>17.079999999999998</v>
      </c>
      <c r="K1427" s="5" t="s">
        <v>21</v>
      </c>
      <c r="L1427" s="5" t="s">
        <v>5723</v>
      </c>
      <c r="M1427" s="5" t="s">
        <v>5485</v>
      </c>
      <c r="N1427" s="7" t="str">
        <f>HYPERLINK("C:\Users\alexa\YandexDisk\Книги\ИИ\Основы ML\Математика в машинном обучении.pdf","Математика в машинном обучении.pdf")</f>
        <v>Математика в машинном обучении.pdf</v>
      </c>
      <c r="O1427" s="5" t="s">
        <v>5724</v>
      </c>
    </row>
    <row r="1428" spans="1:15" ht="151.80000000000001" x14ac:dyDescent="0.3">
      <c r="A1428" s="2">
        <v>1427</v>
      </c>
      <c r="B1428" s="3" t="s">
        <v>5725</v>
      </c>
      <c r="C1428" s="3" t="s">
        <v>5595</v>
      </c>
      <c r="D1428" s="3" t="s">
        <v>77</v>
      </c>
      <c r="E1428" s="3" t="s">
        <v>442</v>
      </c>
      <c r="F1428" s="3" t="s">
        <v>5459</v>
      </c>
      <c r="G1428" s="3" t="s">
        <v>4637</v>
      </c>
      <c r="H1428" s="3" t="s">
        <v>5460</v>
      </c>
      <c r="I1428" s="3" t="s">
        <v>20</v>
      </c>
      <c r="J1428" s="3">
        <v>23.26</v>
      </c>
      <c r="K1428" s="3" t="s">
        <v>21</v>
      </c>
      <c r="L1428" s="3" t="s">
        <v>5726</v>
      </c>
      <c r="M1428" s="3" t="s">
        <v>5485</v>
      </c>
      <c r="N1428" s="6" t="str">
        <f>HYPERLINK("C:\Users\alexa\YandexDisk\Книги\ИИ\Основы ML\Машинное оббучение с использованием_Python_Сборник рецептов_2019.pdf","Машинное оббучение с использованием_Python_Сборник рецептов_2019.pdf")</f>
        <v>Машинное оббучение с использованием_Python_Сборник рецептов_2019.pdf</v>
      </c>
      <c r="O1428" s="3" t="s">
        <v>5727</v>
      </c>
    </row>
    <row r="1429" spans="1:15" ht="138" x14ac:dyDescent="0.3">
      <c r="A1429" s="4">
        <v>1428</v>
      </c>
      <c r="B1429" s="5" t="s">
        <v>5728</v>
      </c>
      <c r="C1429" s="5" t="s">
        <v>5729</v>
      </c>
      <c r="D1429" s="5" t="s">
        <v>27</v>
      </c>
      <c r="E1429" s="5" t="s">
        <v>726</v>
      </c>
      <c r="F1429" s="5" t="s">
        <v>5459</v>
      </c>
      <c r="G1429" s="5" t="s">
        <v>4637</v>
      </c>
      <c r="H1429" s="5" t="s">
        <v>5460</v>
      </c>
      <c r="I1429" s="5" t="s">
        <v>20</v>
      </c>
      <c r="J1429" s="5">
        <v>32.9</v>
      </c>
      <c r="K1429" s="5" t="s">
        <v>21</v>
      </c>
      <c r="L1429" s="5" t="s">
        <v>5730</v>
      </c>
      <c r="M1429" s="5" t="s">
        <v>5485</v>
      </c>
      <c r="N1429" s="7" t="str">
        <f>HYPERLINK("C:\Users\alexa\YandexDisk\Книги\ИИ\Основы ML\Машинное обучение для детей.pdf","Машинное обучение для детей.pdf")</f>
        <v>Машинное обучение для детей.pdf</v>
      </c>
      <c r="O1429" s="5" t="s">
        <v>5731</v>
      </c>
    </row>
    <row r="1430" spans="1:15" ht="193.2" x14ac:dyDescent="0.3">
      <c r="A1430" s="2">
        <v>1429</v>
      </c>
      <c r="B1430" s="3" t="s">
        <v>5732</v>
      </c>
      <c r="C1430" s="3" t="s">
        <v>5733</v>
      </c>
      <c r="D1430" s="3" t="s">
        <v>27</v>
      </c>
      <c r="E1430" s="3" t="s">
        <v>2</v>
      </c>
      <c r="F1430" s="3" t="s">
        <v>5459</v>
      </c>
      <c r="G1430" s="3" t="s">
        <v>4637</v>
      </c>
      <c r="H1430" s="3" t="s">
        <v>5460</v>
      </c>
      <c r="I1430" s="3" t="s">
        <v>20</v>
      </c>
      <c r="J1430" s="3">
        <v>3.05</v>
      </c>
      <c r="K1430" s="3" t="s">
        <v>21</v>
      </c>
      <c r="L1430" s="3" t="s">
        <v>5734</v>
      </c>
      <c r="M1430" s="3" t="s">
        <v>5485</v>
      </c>
      <c r="N1430" s="6" t="str">
        <f>HYPERLINK("C:\Users\alexa\YandexDisk\Книги\ИИ\Основы ML\Машинное обучение доступным языком.pdf","Машинное обучение доступным языком.pdf")</f>
        <v>Машинное обучение доступным языком.pdf</v>
      </c>
      <c r="O1430" s="3" t="s">
        <v>5735</v>
      </c>
    </row>
    <row r="1431" spans="1:15" ht="207" x14ac:dyDescent="0.3">
      <c r="A1431" s="4">
        <v>1430</v>
      </c>
      <c r="B1431" s="5" t="s">
        <v>5736</v>
      </c>
      <c r="C1431" s="5" t="s">
        <v>3412</v>
      </c>
      <c r="D1431" s="5"/>
      <c r="E1431" s="5"/>
      <c r="F1431" s="5" t="s">
        <v>5459</v>
      </c>
      <c r="G1431" s="5" t="s">
        <v>4637</v>
      </c>
      <c r="H1431" s="5" t="s">
        <v>5460</v>
      </c>
      <c r="I1431" s="5" t="s">
        <v>20</v>
      </c>
      <c r="J1431" s="5">
        <v>39.9</v>
      </c>
      <c r="K1431" s="5" t="s">
        <v>21</v>
      </c>
      <c r="L1431" s="5" t="s">
        <v>5737</v>
      </c>
      <c r="M1431" s="5" t="s">
        <v>5485</v>
      </c>
      <c r="N1431" s="7" t="str">
        <f>HYPERLINK("C:\Users\alexa\YandexDisk\Книги\ИИ\Основы ML\Машинное обучение и ИИ.pdf","Машинное обучение и ИИ.pdf")</f>
        <v>Машинное обучение и ИИ.pdf</v>
      </c>
      <c r="O1431" s="5" t="s">
        <v>5738</v>
      </c>
    </row>
    <row r="1432" spans="1:15" ht="234.6" x14ac:dyDescent="0.3">
      <c r="A1432" s="2">
        <v>1431</v>
      </c>
      <c r="B1432" s="3" t="s">
        <v>5739</v>
      </c>
      <c r="C1432" s="3" t="s">
        <v>5740</v>
      </c>
      <c r="D1432" s="3" t="s">
        <v>335</v>
      </c>
      <c r="E1432" s="3" t="s">
        <v>515</v>
      </c>
      <c r="F1432" s="3" t="s">
        <v>5459</v>
      </c>
      <c r="G1432" s="3" t="s">
        <v>4637</v>
      </c>
      <c r="H1432" s="3" t="s">
        <v>5460</v>
      </c>
      <c r="I1432" s="3" t="s">
        <v>20</v>
      </c>
      <c r="J1432" s="3">
        <v>46.91</v>
      </c>
      <c r="K1432" s="3" t="s">
        <v>21</v>
      </c>
      <c r="L1432" s="3" t="s">
        <v>5741</v>
      </c>
      <c r="M1432" s="3" t="s">
        <v>5485</v>
      </c>
      <c r="N1432" s="6" t="str">
        <f>HYPERLINK("C:\Users\alexa\YandexDisk\Книги\ИИ\Основы ML\Машинное обучение с малым объемом кодирования.pdf","Машинное обучение с малым объемом кодирования.pdf")</f>
        <v>Машинное обучение с малым объемом кодирования.pdf</v>
      </c>
      <c r="O1432" s="3" t="s">
        <v>5742</v>
      </c>
    </row>
    <row r="1433" spans="1:15" ht="41.4" x14ac:dyDescent="0.3">
      <c r="A1433" s="4">
        <v>1432</v>
      </c>
      <c r="B1433" s="5" t="s">
        <v>5743</v>
      </c>
      <c r="C1433" s="5" t="s">
        <v>5744</v>
      </c>
      <c r="D1433" s="5" t="s">
        <v>77</v>
      </c>
      <c r="E1433" s="5" t="s">
        <v>4075</v>
      </c>
      <c r="F1433" s="5" t="s">
        <v>5459</v>
      </c>
      <c r="G1433" s="5" t="s">
        <v>4637</v>
      </c>
      <c r="H1433" s="5" t="s">
        <v>5460</v>
      </c>
      <c r="I1433" s="5" t="s">
        <v>20</v>
      </c>
      <c r="J1433" s="5">
        <v>55.6</v>
      </c>
      <c r="K1433" s="5" t="s">
        <v>21</v>
      </c>
      <c r="L1433" s="5" t="s">
        <v>5745</v>
      </c>
      <c r="M1433" s="5" t="s">
        <v>5485</v>
      </c>
      <c r="N1433" s="7" t="str">
        <f>HYPERLINK("C:\Users\alexa\YandexDisk\Книги\ИИ\Основы ML\Машинное обучение- алгоритмы для бизнеса.pdf","Машинное обучение- алгоритмы для бизнеса.pdf")</f>
        <v>Машинное обучение- алгоритмы для бизнеса.pdf</v>
      </c>
      <c r="O1433" s="5" t="s">
        <v>930</v>
      </c>
    </row>
    <row r="1434" spans="1:15" ht="207" x14ac:dyDescent="0.3">
      <c r="A1434" s="2">
        <v>1433</v>
      </c>
      <c r="B1434" s="3" t="s">
        <v>5746</v>
      </c>
      <c r="C1434" s="3" t="s">
        <v>5707</v>
      </c>
      <c r="D1434" s="3" t="s">
        <v>59</v>
      </c>
      <c r="E1434" s="3" t="s">
        <v>18</v>
      </c>
      <c r="F1434" s="3" t="s">
        <v>5459</v>
      </c>
      <c r="G1434" s="3" t="s">
        <v>4637</v>
      </c>
      <c r="H1434" s="3" t="s">
        <v>5460</v>
      </c>
      <c r="I1434" s="3" t="s">
        <v>20</v>
      </c>
      <c r="J1434" s="3">
        <v>6.32</v>
      </c>
      <c r="K1434" s="3" t="s">
        <v>21</v>
      </c>
      <c r="L1434" s="3" t="s">
        <v>5747</v>
      </c>
      <c r="M1434" s="3" t="s">
        <v>5485</v>
      </c>
      <c r="N1434" s="6" t="str">
        <f>HYPERLINK("C:\Users\alexa\YandexDisk\Книги\ИИ\Основы ML\Машинное_обучение_без_лишних_слов_2020_Андрей_Бурков.pdf","Машинное_обучение_без_лишних_слов_2020_Андрей_Бурков.pdf")</f>
        <v>Машинное_обучение_без_лишних_слов_2020_Андрей_Бурков.pdf</v>
      </c>
      <c r="O1434" s="3" t="s">
        <v>5748</v>
      </c>
    </row>
    <row r="1435" spans="1:15" ht="179.4" x14ac:dyDescent="0.3">
      <c r="A1435" s="4">
        <v>1434</v>
      </c>
      <c r="B1435" s="5" t="s">
        <v>5749</v>
      </c>
      <c r="C1435" s="5" t="s">
        <v>5750</v>
      </c>
      <c r="D1435" s="5" t="s">
        <v>59</v>
      </c>
      <c r="E1435" s="5" t="s">
        <v>402</v>
      </c>
      <c r="F1435" s="5" t="s">
        <v>5459</v>
      </c>
      <c r="G1435" s="5" t="s">
        <v>4637</v>
      </c>
      <c r="H1435" s="5" t="s">
        <v>5460</v>
      </c>
      <c r="I1435" s="5" t="s">
        <v>20</v>
      </c>
      <c r="J1435" s="5">
        <v>12.5</v>
      </c>
      <c r="K1435" s="5" t="s">
        <v>21</v>
      </c>
      <c r="L1435" s="5" t="s">
        <v>5751</v>
      </c>
      <c r="M1435" s="5" t="s">
        <v>5485</v>
      </c>
      <c r="N1435" s="7" t="str">
        <f>HYPERLINK("C:\Users\alexa\YandexDisk\Книги\ИИ\Основы ML\Машинное_обучение_для_алгоритмической_торговли_на_финансовых_рынках.pdf","Машинное_обучение_для_алгоритмической_торговли_на_финансовых_рынках.pdf")</f>
        <v>Машинное_обучение_для_алгоритмической_торговли_на_финансовых_рынках.pdf</v>
      </c>
      <c r="O1435" s="5" t="s">
        <v>5752</v>
      </c>
    </row>
    <row r="1436" spans="1:15" ht="207" x14ac:dyDescent="0.3">
      <c r="A1436" s="2">
        <v>1435</v>
      </c>
      <c r="B1436" s="3" t="s">
        <v>5753</v>
      </c>
      <c r="C1436" s="3" t="s">
        <v>5754</v>
      </c>
      <c r="D1436" s="3" t="s">
        <v>71</v>
      </c>
      <c r="E1436" s="3" t="s">
        <v>442</v>
      </c>
      <c r="F1436" s="3" t="s">
        <v>5459</v>
      </c>
      <c r="G1436" s="3" t="s">
        <v>4637</v>
      </c>
      <c r="H1436" s="3" t="s">
        <v>5460</v>
      </c>
      <c r="I1436" s="3" t="s">
        <v>20</v>
      </c>
      <c r="J1436" s="3">
        <v>58.78</v>
      </c>
      <c r="K1436" s="3" t="s">
        <v>21</v>
      </c>
      <c r="L1436" s="3" t="s">
        <v>5755</v>
      </c>
      <c r="M1436" s="3" t="s">
        <v>5485</v>
      </c>
      <c r="N1436" s="6" t="str">
        <f>HYPERLINK("C:\Users\alexa\YandexDisk\Книги\ИИ\Основы ML\Машинное_обучение_Паттерны_проектирования_2022_Лакшманан,_Мунн,.pdf","Машинное_обучение_Паттерны_проектирования_2022_Лакшманан,_Мунн,.pdf")</f>
        <v>Машинное_обучение_Паттерны_проектирования_2022_Лакшманан,_Мунн,.pdf</v>
      </c>
      <c r="O1436" s="3" t="s">
        <v>5756</v>
      </c>
    </row>
    <row r="1437" spans="1:15" ht="165.6" x14ac:dyDescent="0.3">
      <c r="A1437" s="4">
        <v>1436</v>
      </c>
      <c r="B1437" s="5" t="s">
        <v>5757</v>
      </c>
      <c r="C1437" s="5" t="s">
        <v>5758</v>
      </c>
      <c r="D1437" s="5" t="s">
        <v>27</v>
      </c>
      <c r="E1437" s="5" t="s">
        <v>102</v>
      </c>
      <c r="F1437" s="5" t="s">
        <v>5459</v>
      </c>
      <c r="G1437" s="5" t="s">
        <v>4637</v>
      </c>
      <c r="H1437" s="5" t="s">
        <v>5460</v>
      </c>
      <c r="I1437" s="5" t="s">
        <v>20</v>
      </c>
      <c r="J1437" s="5">
        <v>11.81</v>
      </c>
      <c r="K1437" s="5" t="s">
        <v>21</v>
      </c>
      <c r="L1437" s="5" t="s">
        <v>5759</v>
      </c>
      <c r="M1437" s="5" t="s">
        <v>5485</v>
      </c>
      <c r="N1437" s="7" t="str">
        <f>HYPERLINK("C:\Users\alexa\YandexDisk\Книги\ИИ\Основы ML\Метаобучение..pdf","Метаобучение..pdf")</f>
        <v>Метаобучение..pdf</v>
      </c>
      <c r="O1437" s="5" t="s">
        <v>5760</v>
      </c>
    </row>
    <row r="1438" spans="1:15" ht="207" x14ac:dyDescent="0.3">
      <c r="A1438" s="2">
        <v>1437</v>
      </c>
      <c r="B1438" s="3" t="s">
        <v>5761</v>
      </c>
      <c r="C1438" s="3" t="s">
        <v>5762</v>
      </c>
      <c r="D1438" s="3" t="s">
        <v>59</v>
      </c>
      <c r="E1438" s="3" t="s">
        <v>442</v>
      </c>
      <c r="F1438" s="3" t="s">
        <v>5459</v>
      </c>
      <c r="G1438" s="3" t="s">
        <v>4637</v>
      </c>
      <c r="H1438" s="3" t="s">
        <v>5460</v>
      </c>
      <c r="I1438" s="3" t="s">
        <v>20</v>
      </c>
      <c r="J1438" s="3">
        <v>18.72</v>
      </c>
      <c r="K1438" s="3" t="s">
        <v>21</v>
      </c>
      <c r="L1438" s="3" t="s">
        <v>5763</v>
      </c>
      <c r="M1438" s="3" t="s">
        <v>5485</v>
      </c>
      <c r="N1438" s="6" t="str">
        <f>HYPERLINK("C:\Users\alexa\YandexDisk\Книги\ИИ\Основы ML\Мэтт_Харрисон_Машинное_обучение_карманный_справочник_Python.pdf","Мэтт_Харрисон_Машинное_обучение_карманный_справочник_Python.pdf")</f>
        <v>Мэтт_Харрисон_Машинное_обучение_карманный_справочник_Python.pdf</v>
      </c>
      <c r="O1438" s="3" t="s">
        <v>5764</v>
      </c>
    </row>
    <row r="1439" spans="1:15" ht="207" x14ac:dyDescent="0.3">
      <c r="A1439" s="4">
        <v>1438</v>
      </c>
      <c r="B1439" s="5" t="s">
        <v>5765</v>
      </c>
      <c r="C1439" s="5" t="s">
        <v>5766</v>
      </c>
      <c r="D1439" s="5" t="s">
        <v>2624</v>
      </c>
      <c r="E1439" s="5" t="s">
        <v>766</v>
      </c>
      <c r="F1439" s="5" t="s">
        <v>5459</v>
      </c>
      <c r="G1439" s="5" t="s">
        <v>4637</v>
      </c>
      <c r="H1439" s="5" t="s">
        <v>5460</v>
      </c>
      <c r="I1439" s="5" t="s">
        <v>20</v>
      </c>
      <c r="J1439" s="5">
        <v>5.56</v>
      </c>
      <c r="K1439" s="5" t="s">
        <v>21</v>
      </c>
      <c r="L1439" s="5" t="s">
        <v>5767</v>
      </c>
      <c r="M1439" s="5" t="s">
        <v>5485</v>
      </c>
      <c r="N1439" s="7" t="str">
        <f>HYPERLINK("C:\Users\alexa\YandexDisk\Книги\ИИ\Основы ML\Николенко Самообучающиеся системы 2009.pdf","Николенко Самообучающиеся системы 2009.pdf")</f>
        <v>Николенко Самообучающиеся системы 2009.pdf</v>
      </c>
      <c r="O1439" s="5" t="s">
        <v>5768</v>
      </c>
    </row>
    <row r="1440" spans="1:15" ht="151.80000000000001" x14ac:dyDescent="0.3">
      <c r="A1440" s="2">
        <v>1439</v>
      </c>
      <c r="B1440" s="3" t="s">
        <v>5769</v>
      </c>
      <c r="C1440" s="3" t="s">
        <v>5770</v>
      </c>
      <c r="D1440" s="3" t="s">
        <v>77</v>
      </c>
      <c r="E1440" s="3" t="s">
        <v>92</v>
      </c>
      <c r="F1440" s="3" t="s">
        <v>5459</v>
      </c>
      <c r="G1440" s="3" t="s">
        <v>4637</v>
      </c>
      <c r="H1440" s="3" t="s">
        <v>5460</v>
      </c>
      <c r="I1440" s="3" t="s">
        <v>20</v>
      </c>
      <c r="J1440" s="3">
        <v>31.21</v>
      </c>
      <c r="K1440" s="3" t="s">
        <v>21</v>
      </c>
      <c r="L1440" s="3" t="s">
        <v>5771</v>
      </c>
      <c r="M1440" s="3" t="s">
        <v>5485</v>
      </c>
      <c r="N1440" s="6" t="str">
        <f>HYPERLINK("C:\Users\alexa\YandexDisk\Книги\ИИ\Основы ML\Ной_Гифт_Прагматичный_ИИ 2019.pdf","Ной_Гифт_Прагматичный_ИИ 2019.pdf")</f>
        <v>Ной_Гифт_Прагматичный_ИИ 2019.pdf</v>
      </c>
      <c r="O1440" s="3" t="s">
        <v>5772</v>
      </c>
    </row>
    <row r="1441" spans="1:15" ht="138" x14ac:dyDescent="0.3">
      <c r="A1441" s="4">
        <v>1440</v>
      </c>
      <c r="B1441" s="5" t="s">
        <v>5773</v>
      </c>
      <c r="C1441" s="5"/>
      <c r="D1441" s="5"/>
      <c r="E1441" s="5"/>
      <c r="F1441" s="5" t="s">
        <v>5459</v>
      </c>
      <c r="G1441" s="5" t="s">
        <v>4637</v>
      </c>
      <c r="H1441" s="5" t="s">
        <v>5460</v>
      </c>
      <c r="I1441" s="5" t="s">
        <v>20</v>
      </c>
      <c r="J1441" s="5">
        <v>74.34</v>
      </c>
      <c r="K1441" s="5" t="s">
        <v>21</v>
      </c>
      <c r="L1441" s="5" t="s">
        <v>5774</v>
      </c>
      <c r="M1441" s="5" t="s">
        <v>5485</v>
      </c>
      <c r="N1441" s="7" t="str">
        <f>HYPERLINK("C:\Users\alexa\YandexDisk\Книги\ИИ\Основы ML\Обучение с малым количеством данных.pdf","Обучение с малым количеством данных.pdf")</f>
        <v>Обучение с малым количеством данных.pdf</v>
      </c>
      <c r="O1441" s="5" t="s">
        <v>5775</v>
      </c>
    </row>
    <row r="1442" spans="1:15" ht="151.80000000000001" x14ac:dyDescent="0.3">
      <c r="A1442" s="2">
        <v>1441</v>
      </c>
      <c r="B1442" s="3" t="s">
        <v>5297</v>
      </c>
      <c r="C1442" s="3" t="s">
        <v>3544</v>
      </c>
      <c r="D1442" s="3" t="s">
        <v>109</v>
      </c>
      <c r="E1442" s="3" t="s">
        <v>402</v>
      </c>
      <c r="F1442" s="3" t="s">
        <v>5459</v>
      </c>
      <c r="G1442" s="3" t="s">
        <v>4637</v>
      </c>
      <c r="H1442" s="3" t="s">
        <v>5460</v>
      </c>
      <c r="I1442" s="3" t="s">
        <v>20</v>
      </c>
      <c r="J1442" s="3">
        <v>33.06</v>
      </c>
      <c r="K1442" s="3" t="s">
        <v>21</v>
      </c>
      <c r="L1442" s="3" t="s">
        <v>5776</v>
      </c>
      <c r="M1442" s="3" t="s">
        <v>5485</v>
      </c>
      <c r="N1442" s="6" t="str">
        <f>HYPERLINK("C:\Users\alexa\YandexDisk\Книги\ИИ\Основы ML\Основы ИИ в примерах на Python..pdf","Основы ИИ в примерах на Python..pdf")</f>
        <v>Основы ИИ в примерах на Python..pdf</v>
      </c>
      <c r="O1442" s="3" t="s">
        <v>5777</v>
      </c>
    </row>
    <row r="1443" spans="1:15" ht="151.80000000000001" x14ac:dyDescent="0.3">
      <c r="A1443" s="4">
        <v>1442</v>
      </c>
      <c r="B1443" s="5" t="s">
        <v>5778</v>
      </c>
      <c r="C1443" s="5" t="s">
        <v>5779</v>
      </c>
      <c r="D1443" s="5" t="s">
        <v>59</v>
      </c>
      <c r="E1443" s="5"/>
      <c r="F1443" s="5" t="s">
        <v>5459</v>
      </c>
      <c r="G1443" s="5" t="s">
        <v>4637</v>
      </c>
      <c r="H1443" s="5" t="s">
        <v>5460</v>
      </c>
      <c r="I1443" s="5" t="s">
        <v>20</v>
      </c>
      <c r="J1443" s="5">
        <v>3.7</v>
      </c>
      <c r="K1443" s="5" t="s">
        <v>21</v>
      </c>
      <c r="L1443" s="5" t="s">
        <v>5780</v>
      </c>
      <c r="M1443" s="5" t="s">
        <v>5485</v>
      </c>
      <c r="N1443" s="7" t="str">
        <f>HYPERLINK("C:\Users\alexa\YandexDisk\Книги\ИИ\Основы ML\Основы машинного обучения (1).pdf","Основы машинного обучения (1).pdf")</f>
        <v>Основы машинного обучения (1).pdf</v>
      </c>
      <c r="O1443" s="5" t="s">
        <v>5781</v>
      </c>
    </row>
    <row r="1444" spans="1:15" ht="207" x14ac:dyDescent="0.3">
      <c r="A1444" s="2">
        <v>1443</v>
      </c>
      <c r="B1444" s="3" t="s">
        <v>5330</v>
      </c>
      <c r="C1444" s="3" t="s">
        <v>5331</v>
      </c>
      <c r="D1444" s="3" t="s">
        <v>59</v>
      </c>
      <c r="E1444" s="3" t="s">
        <v>2124</v>
      </c>
      <c r="F1444" s="3" t="s">
        <v>5459</v>
      </c>
      <c r="G1444" s="3" t="s">
        <v>4637</v>
      </c>
      <c r="H1444" s="3" t="s">
        <v>5460</v>
      </c>
      <c r="I1444" s="3" t="s">
        <v>20</v>
      </c>
      <c r="J1444" s="3">
        <v>99.81</v>
      </c>
      <c r="K1444" s="3" t="s">
        <v>21</v>
      </c>
      <c r="L1444" s="3" t="s">
        <v>5782</v>
      </c>
      <c r="M1444" s="3" t="s">
        <v>5485</v>
      </c>
      <c r="N1444" s="6" t="str">
        <f>HYPERLINK("C:\Users\alexa\YandexDisk\Книги\ИИ\Основы ML\Основы статистического обучения.pdf","Основы статистического обучения.pdf")</f>
        <v>Основы статистического обучения.pdf</v>
      </c>
      <c r="O1444" s="3" t="s">
        <v>5783</v>
      </c>
    </row>
    <row r="1445" spans="1:15" ht="179.4" x14ac:dyDescent="0.3">
      <c r="A1445" s="4">
        <v>1444</v>
      </c>
      <c r="B1445" s="5" t="s">
        <v>5297</v>
      </c>
      <c r="C1445" s="5" t="s">
        <v>3544</v>
      </c>
      <c r="D1445" s="5" t="s">
        <v>17</v>
      </c>
      <c r="E1445" s="5" t="s">
        <v>402</v>
      </c>
      <c r="F1445" s="5" t="s">
        <v>5459</v>
      </c>
      <c r="G1445" s="5" t="s">
        <v>4637</v>
      </c>
      <c r="H1445" s="5" t="s">
        <v>5460</v>
      </c>
      <c r="I1445" s="5" t="s">
        <v>20</v>
      </c>
      <c r="J1445" s="5">
        <v>49.9</v>
      </c>
      <c r="K1445" s="5" t="s">
        <v>21</v>
      </c>
      <c r="L1445" s="5" t="s">
        <v>5784</v>
      </c>
      <c r="M1445" s="5" t="s">
        <v>5485</v>
      </c>
      <c r="N1445" s="7" t="str">
        <f>HYPERLINK("C:\Users\alexa\YandexDisk\Книги\ИИ\Основы ML\Основы_искусственного_интеллекта_в_примерах_на_Python_2021_Постолит.pdf","Основы_искусственного_интеллекта_в_примерах_на_Python_2021_Постолит.pdf")</f>
        <v>Основы_искусственного_интеллекта_в_примерах_на_Python_2021_Постолит.pdf</v>
      </c>
      <c r="O1445" s="5" t="s">
        <v>5785</v>
      </c>
    </row>
    <row r="1446" spans="1:15" ht="124.2" x14ac:dyDescent="0.3">
      <c r="A1446" s="2">
        <v>1445</v>
      </c>
      <c r="B1446" s="3" t="s">
        <v>5457</v>
      </c>
      <c r="C1446" s="3" t="s">
        <v>5458</v>
      </c>
      <c r="D1446" s="3" t="s">
        <v>114</v>
      </c>
      <c r="E1446" s="3" t="s">
        <v>5786</v>
      </c>
      <c r="F1446" s="3" t="s">
        <v>5459</v>
      </c>
      <c r="G1446" s="3" t="s">
        <v>4637</v>
      </c>
      <c r="H1446" s="3" t="s">
        <v>5460</v>
      </c>
      <c r="I1446" s="3" t="s">
        <v>20</v>
      </c>
      <c r="J1446" s="3">
        <v>28.35</v>
      </c>
      <c r="K1446" s="3" t="s">
        <v>21</v>
      </c>
      <c r="L1446" s="3" t="s">
        <v>5787</v>
      </c>
      <c r="M1446" s="3" t="s">
        <v>5485</v>
      </c>
      <c r="N1446" s="6" t="str">
        <f>HYPERLINK("C:\Users\alexa\YandexDisk\Книги\ИИ\Основы ML\Построение_систем_машинного_обучения_Python 2016.pdf","Построение_систем_машинного_обучения_Python 2016.pdf")</f>
        <v>Построение_систем_машинного_обучения_Python 2016.pdf</v>
      </c>
      <c r="O1446" s="3" t="s">
        <v>5788</v>
      </c>
    </row>
    <row r="1447" spans="1:15" ht="179.4" x14ac:dyDescent="0.3">
      <c r="A1447" s="4">
        <v>1446</v>
      </c>
      <c r="B1447" s="5" t="s">
        <v>5769</v>
      </c>
      <c r="C1447" s="5" t="s">
        <v>5770</v>
      </c>
      <c r="D1447" s="5" t="s">
        <v>77</v>
      </c>
      <c r="E1447" s="5" t="s">
        <v>92</v>
      </c>
      <c r="F1447" s="5" t="s">
        <v>5459</v>
      </c>
      <c r="G1447" s="5" t="s">
        <v>4637</v>
      </c>
      <c r="H1447" s="5" t="s">
        <v>5460</v>
      </c>
      <c r="I1447" s="5" t="s">
        <v>20</v>
      </c>
      <c r="J1447" s="5">
        <v>31.54</v>
      </c>
      <c r="K1447" s="5" t="s">
        <v>21</v>
      </c>
      <c r="L1447" s="5" t="s">
        <v>5789</v>
      </c>
      <c r="M1447" s="5" t="s">
        <v>5485</v>
      </c>
      <c r="N1447" s="7" t="str">
        <f>HYPERLINK("C:\Users\alexa\YandexDisk\Книги\ИИ\Основы ML\Прагматичный ИИ.pdf","Прагматичный ИИ.pdf")</f>
        <v>Прагматичный ИИ.pdf</v>
      </c>
      <c r="O1447" s="5" t="s">
        <v>5790</v>
      </c>
    </row>
    <row r="1448" spans="1:15" ht="193.2" x14ac:dyDescent="0.3">
      <c r="A1448" s="2">
        <v>1447</v>
      </c>
      <c r="B1448" s="3" t="s">
        <v>5791</v>
      </c>
      <c r="C1448" s="3" t="s">
        <v>5792</v>
      </c>
      <c r="D1448" s="3" t="s">
        <v>59</v>
      </c>
      <c r="E1448" s="3" t="s">
        <v>442</v>
      </c>
      <c r="F1448" s="3" t="s">
        <v>5459</v>
      </c>
      <c r="G1448" s="3" t="s">
        <v>4637</v>
      </c>
      <c r="H1448" s="3" t="s">
        <v>5460</v>
      </c>
      <c r="I1448" s="3" t="s">
        <v>20</v>
      </c>
      <c r="J1448" s="3">
        <v>42.52</v>
      </c>
      <c r="K1448" s="3" t="s">
        <v>21</v>
      </c>
      <c r="L1448" s="3" t="s">
        <v>5793</v>
      </c>
      <c r="M1448" s="3" t="s">
        <v>5485</v>
      </c>
      <c r="N1448" s="6" t="str">
        <f>HYPERLINK("C:\Users\alexa\YandexDisk\Книги\ИИ\Основы ML\Прикладное машинное обуч без учителя -Python.pdf","Прикладное машинное обуч без учителя -Python.pdf")</f>
        <v>Прикладное машинное обуч без учителя -Python.pdf</v>
      </c>
      <c r="O1448" s="3" t="s">
        <v>5794</v>
      </c>
    </row>
    <row r="1449" spans="1:15" ht="179.4" x14ac:dyDescent="0.3">
      <c r="A1449" s="4">
        <v>1448</v>
      </c>
      <c r="B1449" s="5" t="s">
        <v>5795</v>
      </c>
      <c r="C1449" s="5" t="s">
        <v>5796</v>
      </c>
      <c r="D1449" s="5" t="s">
        <v>109</v>
      </c>
      <c r="E1449" s="5" t="s">
        <v>515</v>
      </c>
      <c r="F1449" s="5" t="s">
        <v>5459</v>
      </c>
      <c r="G1449" s="5" t="s">
        <v>4637</v>
      </c>
      <c r="H1449" s="5" t="s">
        <v>5460</v>
      </c>
      <c r="I1449" s="5" t="s">
        <v>20</v>
      </c>
      <c r="J1449" s="5">
        <v>17.98</v>
      </c>
      <c r="K1449" s="5" t="s">
        <v>21</v>
      </c>
      <c r="L1449" s="5" t="s">
        <v>5797</v>
      </c>
      <c r="M1449" s="5" t="s">
        <v>5485</v>
      </c>
      <c r="N1449" s="7" t="str">
        <f>HYPERLINK("C:\Users\alexa\YandexDisk\Книги\ИИ\Основы ML\Прикладное машинное обучение и искусственный интеллект для инженеров.pdf","Прикладное машинное обучение и искусственный интеллект для инженеров.pdf")</f>
        <v>Прикладное машинное обучение и искусственный интеллект для инженеров.pdf</v>
      </c>
      <c r="O1449" s="5" t="s">
        <v>5798</v>
      </c>
    </row>
    <row r="1450" spans="1:15" ht="179.4" x14ac:dyDescent="0.3">
      <c r="A1450" s="2">
        <v>1449</v>
      </c>
      <c r="B1450" s="3" t="s">
        <v>5799</v>
      </c>
      <c r="C1450" s="3" t="s">
        <v>5800</v>
      </c>
      <c r="D1450" s="3" t="s">
        <v>77</v>
      </c>
      <c r="E1450" s="3" t="s">
        <v>18</v>
      </c>
      <c r="F1450" s="3" t="s">
        <v>5459</v>
      </c>
      <c r="G1450" s="3" t="s">
        <v>4637</v>
      </c>
      <c r="H1450" s="3" t="s">
        <v>5460</v>
      </c>
      <c r="I1450" s="3" t="s">
        <v>20</v>
      </c>
      <c r="J1450" s="3">
        <v>10.7</v>
      </c>
      <c r="K1450" s="3" t="s">
        <v>21</v>
      </c>
      <c r="L1450" s="3" t="s">
        <v>5801</v>
      </c>
      <c r="M1450" s="3" t="s">
        <v>5485</v>
      </c>
      <c r="N1450" s="6" t="str">
        <f>HYPERLINK("C:\Users\alexa\YandexDisk\Книги\ИИ\Основы ML\Прикладной_анализ_текстовых_данных_на_Python 2019.pdf","Прикладной_анализ_текстовых_данных_на_Python 2019.pdf")</f>
        <v>Прикладной_анализ_текстовых_данных_на_Python 2019.pdf</v>
      </c>
      <c r="O1450" s="3" t="s">
        <v>5802</v>
      </c>
    </row>
    <row r="1451" spans="1:15" ht="193.2" x14ac:dyDescent="0.3">
      <c r="A1451" s="4">
        <v>1450</v>
      </c>
      <c r="B1451" s="5" t="s">
        <v>5529</v>
      </c>
      <c r="C1451" s="5" t="s">
        <v>5220</v>
      </c>
      <c r="D1451" s="5" t="s">
        <v>27</v>
      </c>
      <c r="E1451" s="5" t="s">
        <v>5803</v>
      </c>
      <c r="F1451" s="5" t="s">
        <v>5459</v>
      </c>
      <c r="G1451" s="5" t="s">
        <v>4637</v>
      </c>
      <c r="H1451" s="5" t="s">
        <v>5460</v>
      </c>
      <c r="I1451" s="5" t="s">
        <v>20</v>
      </c>
      <c r="J1451" s="5">
        <v>31.78</v>
      </c>
      <c r="K1451" s="5" t="s">
        <v>21</v>
      </c>
      <c r="L1451" s="5" t="s">
        <v>5804</v>
      </c>
      <c r="M1451" s="5" t="s">
        <v>5485</v>
      </c>
      <c r="N1451" s="7" t="str">
        <f>HYPERLINK("C:\Users\alexa\YandexDisk\Книги\ИИ\Основы ML\Проектирование систем машинного обучения.pdf","Проектирование систем машинного обучения.pdf")</f>
        <v>Проектирование систем машинного обучения.pdf</v>
      </c>
      <c r="O1451" s="5" t="s">
        <v>5805</v>
      </c>
    </row>
    <row r="1452" spans="1:15" ht="179.4" x14ac:dyDescent="0.3">
      <c r="A1452" s="2">
        <v>1451</v>
      </c>
      <c r="B1452" s="3" t="s">
        <v>5644</v>
      </c>
      <c r="C1452" s="3" t="s">
        <v>5543</v>
      </c>
      <c r="D1452" s="3" t="s">
        <v>17</v>
      </c>
      <c r="E1452" s="3" t="s">
        <v>102</v>
      </c>
      <c r="F1452" s="3" t="s">
        <v>5459</v>
      </c>
      <c r="G1452" s="3" t="s">
        <v>4637</v>
      </c>
      <c r="H1452" s="3" t="s">
        <v>5460</v>
      </c>
      <c r="I1452" s="3" t="s">
        <v>20</v>
      </c>
      <c r="J1452" s="3">
        <v>20.34</v>
      </c>
      <c r="K1452" s="3" t="s">
        <v>21</v>
      </c>
      <c r="L1452" s="3" t="s">
        <v>5806</v>
      </c>
      <c r="M1452" s="3" t="s">
        <v>5485</v>
      </c>
      <c r="N1452" s="6" t="str">
        <f>HYPERLINK("C:\Users\alexa\YandexDisk\Книги\ИИ\Основы ML\Разработка конвейеров ML с использованием TensorFlow.pdf","Разработка конвейеров ML с использованием TensorFlow.pdf")</f>
        <v>Разработка конвейеров ML с использованием TensorFlow.pdf</v>
      </c>
      <c r="O1452" s="3" t="s">
        <v>5807</v>
      </c>
    </row>
    <row r="1453" spans="1:15" ht="207" x14ac:dyDescent="0.3">
      <c r="A1453" s="4">
        <v>1452</v>
      </c>
      <c r="B1453" s="5" t="s">
        <v>5808</v>
      </c>
      <c r="C1453" s="5" t="s">
        <v>5809</v>
      </c>
      <c r="D1453" s="5" t="s">
        <v>77</v>
      </c>
      <c r="E1453" s="5" t="s">
        <v>102</v>
      </c>
      <c r="F1453" s="5" t="s">
        <v>5459</v>
      </c>
      <c r="G1453" s="5" t="s">
        <v>4637</v>
      </c>
      <c r="H1453" s="5" t="s">
        <v>5460</v>
      </c>
      <c r="I1453" s="5" t="s">
        <v>20</v>
      </c>
      <c r="J1453" s="5">
        <v>1.4</v>
      </c>
      <c r="K1453" s="5" t="s">
        <v>21</v>
      </c>
      <c r="L1453" s="5" t="s">
        <v>5810</v>
      </c>
      <c r="M1453" s="5" t="s">
        <v>5485</v>
      </c>
      <c r="N1453" s="7" t="str">
        <f>HYPERLINK("C:\Users\alexa\YandexDisk\Книги\ИИ\Основы ML\Разработка_интеллектуальных_систем.pdf","Разработка_интеллектуальных_систем.pdf")</f>
        <v>Разработка_интеллектуальных_систем.pdf</v>
      </c>
      <c r="O1453" s="5" t="s">
        <v>5811</v>
      </c>
    </row>
    <row r="1454" spans="1:15" ht="165.6" x14ac:dyDescent="0.3">
      <c r="A1454" s="2">
        <v>1453</v>
      </c>
      <c r="B1454" s="3" t="s">
        <v>5812</v>
      </c>
      <c r="C1454" s="3" t="s">
        <v>5813</v>
      </c>
      <c r="D1454" s="3" t="s">
        <v>59</v>
      </c>
      <c r="E1454" s="3" t="s">
        <v>102</v>
      </c>
      <c r="F1454" s="3" t="s">
        <v>5459</v>
      </c>
      <c r="G1454" s="3" t="s">
        <v>4637</v>
      </c>
      <c r="H1454" s="3" t="s">
        <v>5460</v>
      </c>
      <c r="I1454" s="3" t="s">
        <v>20</v>
      </c>
      <c r="J1454" s="3">
        <v>36.22</v>
      </c>
      <c r="K1454" s="3" t="s">
        <v>21</v>
      </c>
      <c r="L1454" s="3" t="s">
        <v>5814</v>
      </c>
      <c r="M1454" s="3" t="s">
        <v>5485</v>
      </c>
      <c r="N1454" s="6" t="str">
        <f>HYPERLINK("C:\Users\alexa\YandexDisk\Книги\ИИ\Основы ML\Рекомендательные системы на практике.pdf","Рекомендательные системы на практике.pdf")</f>
        <v>Рекомендательные системы на практике.pdf</v>
      </c>
      <c r="O1454" s="3" t="s">
        <v>5815</v>
      </c>
    </row>
    <row r="1455" spans="1:15" ht="179.4" x14ac:dyDescent="0.3">
      <c r="A1455" s="4">
        <v>1454</v>
      </c>
      <c r="B1455" s="5" t="s">
        <v>5816</v>
      </c>
      <c r="C1455" s="5" t="s">
        <v>5817</v>
      </c>
      <c r="D1455" s="5" t="s">
        <v>27</v>
      </c>
      <c r="E1455" s="5" t="s">
        <v>18</v>
      </c>
      <c r="F1455" s="5" t="s">
        <v>5459</v>
      </c>
      <c r="G1455" s="5" t="s">
        <v>4637</v>
      </c>
      <c r="H1455" s="5" t="s">
        <v>5460</v>
      </c>
      <c r="I1455" s="5" t="s">
        <v>20</v>
      </c>
      <c r="J1455" s="5">
        <v>6.21</v>
      </c>
      <c r="K1455" s="5" t="s">
        <v>21</v>
      </c>
      <c r="L1455" s="5" t="s">
        <v>5818</v>
      </c>
      <c r="M1455" s="5" t="s">
        <v>5485</v>
      </c>
      <c r="N1455" s="7" t="str">
        <f>HYPERLINK("C:\Users\alexa\YandexDisk\Книги\ИИ\Основы ML\Создание приложений ML.pdf","Создание приложений ML.pdf")</f>
        <v>Создание приложений ML.pdf</v>
      </c>
      <c r="O1455" s="5" t="s">
        <v>5819</v>
      </c>
    </row>
    <row r="1456" spans="1:15" ht="220.8" x14ac:dyDescent="0.3">
      <c r="A1456" s="2">
        <v>1455</v>
      </c>
      <c r="B1456" s="3" t="s">
        <v>5820</v>
      </c>
      <c r="C1456" s="3" t="s">
        <v>5821</v>
      </c>
      <c r="D1456" s="3" t="s">
        <v>59</v>
      </c>
      <c r="E1456" s="3" t="s">
        <v>1421</v>
      </c>
      <c r="F1456" s="3" t="s">
        <v>5459</v>
      </c>
      <c r="G1456" s="3" t="s">
        <v>4637</v>
      </c>
      <c r="H1456" s="3" t="s">
        <v>5460</v>
      </c>
      <c r="I1456" s="3" t="s">
        <v>20</v>
      </c>
      <c r="J1456" s="3">
        <v>2.84</v>
      </c>
      <c r="K1456" s="3" t="s">
        <v>21</v>
      </c>
      <c r="L1456" s="3" t="s">
        <v>5822</v>
      </c>
      <c r="M1456" s="3" t="s">
        <v>5485</v>
      </c>
      <c r="N1456" s="6" t="str">
        <f>HYPERLINK("C:\Users\alexa\YandexDisk\Книги\ИИ\Основы ML\Технологии машинного обучения -учебное пособие ИТМО 2020.pdf","Технологии машинного обучения -учебное пособие ИТМО 2020.pdf")</f>
        <v>Технологии машинного обучения -учебное пособие ИТМО 2020.pdf</v>
      </c>
      <c r="O1456" s="3" t="s">
        <v>5823</v>
      </c>
    </row>
    <row r="1457" spans="1:15" ht="151.80000000000001" x14ac:dyDescent="0.3">
      <c r="A1457" s="4">
        <v>1456</v>
      </c>
      <c r="B1457" s="5" t="s">
        <v>5824</v>
      </c>
      <c r="C1457" s="5" t="s">
        <v>5825</v>
      </c>
      <c r="D1457" s="5" t="s">
        <v>27</v>
      </c>
      <c r="E1457" s="5" t="s">
        <v>5826</v>
      </c>
      <c r="F1457" s="5" t="s">
        <v>5827</v>
      </c>
      <c r="G1457" s="5" t="s">
        <v>4637</v>
      </c>
      <c r="H1457" s="5" t="s">
        <v>5828</v>
      </c>
      <c r="I1457" s="5" t="s">
        <v>20</v>
      </c>
      <c r="J1457" s="5">
        <v>0.74</v>
      </c>
      <c r="K1457" s="5" t="s">
        <v>21</v>
      </c>
      <c r="L1457" s="5" t="s">
        <v>5829</v>
      </c>
      <c r="M1457" s="5" t="s">
        <v>5830</v>
      </c>
      <c r="N1457" s="7" t="str">
        <f>HYPERLINK("C:\Users\alexa\YandexDisk\Книги\ИИ\Промпт инжиниринг\ChatGPT.Prompts.Mastering.pdf","ChatGPT.Prompts.Mastering.pdf")</f>
        <v>ChatGPT.Prompts.Mastering.pdf</v>
      </c>
      <c r="O1457" s="5" t="s">
        <v>5831</v>
      </c>
    </row>
    <row r="1458" spans="1:15" ht="220.8" x14ac:dyDescent="0.3">
      <c r="A1458" s="2">
        <v>1457</v>
      </c>
      <c r="B1458" s="3" t="s">
        <v>5832</v>
      </c>
      <c r="C1458" s="3" t="s">
        <v>5271</v>
      </c>
      <c r="D1458" s="3" t="s">
        <v>109</v>
      </c>
      <c r="E1458" s="3" t="s">
        <v>102</v>
      </c>
      <c r="F1458" s="3" t="s">
        <v>5827</v>
      </c>
      <c r="G1458" s="3" t="s">
        <v>4637</v>
      </c>
      <c r="H1458" s="3" t="s">
        <v>5828</v>
      </c>
      <c r="I1458" s="3" t="s">
        <v>20</v>
      </c>
      <c r="J1458" s="3">
        <v>13.44</v>
      </c>
      <c r="K1458" s="3" t="s">
        <v>21</v>
      </c>
      <c r="L1458" s="3" t="s">
        <v>5833</v>
      </c>
      <c r="M1458" s="3" t="s">
        <v>5830</v>
      </c>
      <c r="N1458" s="6" t="str">
        <f>HYPERLINK("C:\Users\alexa\YandexDisk\Книги\ИИ\Промпт инжиниринг\GPT-4. Руководство по использованию API Open AI.pdf","GPT-4. Руководство по использованию API Open AI.pdf")</f>
        <v>GPT-4. Руководство по использованию API Open AI.pdf</v>
      </c>
      <c r="O1458" s="3" t="s">
        <v>5834</v>
      </c>
    </row>
    <row r="1459" spans="1:15" ht="193.2" x14ac:dyDescent="0.3">
      <c r="A1459" s="4">
        <v>1458</v>
      </c>
      <c r="B1459" s="5" t="s">
        <v>5835</v>
      </c>
      <c r="C1459" s="5" t="s">
        <v>5836</v>
      </c>
      <c r="D1459" s="5" t="s">
        <v>71</v>
      </c>
      <c r="E1459" s="5" t="s">
        <v>5837</v>
      </c>
      <c r="F1459" s="5" t="s">
        <v>5827</v>
      </c>
      <c r="G1459" s="5" t="s">
        <v>4637</v>
      </c>
      <c r="H1459" s="5" t="s">
        <v>5828</v>
      </c>
      <c r="I1459" s="5" t="s">
        <v>20</v>
      </c>
      <c r="J1459" s="5">
        <v>0.77</v>
      </c>
      <c r="K1459" s="5" t="s">
        <v>21</v>
      </c>
      <c r="L1459" s="5" t="s">
        <v>5838</v>
      </c>
      <c r="M1459" s="5" t="s">
        <v>5830</v>
      </c>
      <c r="N1459" s="7" t="str">
        <f>HYPERLINK("C:\Users\alexa\YandexDisk\Книги\ИИ\Промпт инжиниринг\How to Create an Advanced Chatbot.pdf","How to Create an Advanced Chatbot.pdf")</f>
        <v>How to Create an Advanced Chatbot.pdf</v>
      </c>
      <c r="O1459" s="5" t="s">
        <v>5839</v>
      </c>
    </row>
    <row r="1460" spans="1:15" ht="193.2" x14ac:dyDescent="0.3">
      <c r="A1460" s="2">
        <v>1459</v>
      </c>
      <c r="B1460" s="3" t="s">
        <v>5840</v>
      </c>
      <c r="C1460" s="3" t="s">
        <v>5841</v>
      </c>
      <c r="D1460" s="3"/>
      <c r="E1460" s="3"/>
      <c r="F1460" s="3" t="s">
        <v>5827</v>
      </c>
      <c r="G1460" s="3" t="s">
        <v>4637</v>
      </c>
      <c r="H1460" s="3" t="s">
        <v>5828</v>
      </c>
      <c r="I1460" s="3" t="s">
        <v>20</v>
      </c>
      <c r="J1460" s="3">
        <v>12.05</v>
      </c>
      <c r="K1460" s="3" t="s">
        <v>21</v>
      </c>
      <c r="L1460" s="3" t="s">
        <v>5842</v>
      </c>
      <c r="M1460" s="3" t="s">
        <v>5830</v>
      </c>
      <c r="N1460" s="6" t="str">
        <f>HYPERLINK("C:\Users\alexa\YandexDisk\Книги\ИИ\Промпт инжиниринг\Prompt Engineering for LLMs_True.pdf","Prompt Engineering for LLMs_True.pdf")</f>
        <v>Prompt Engineering for LLMs_True.pdf</v>
      </c>
      <c r="O1460" s="3" t="s">
        <v>5843</v>
      </c>
    </row>
    <row r="1461" spans="1:15" ht="207" x14ac:dyDescent="0.3">
      <c r="A1461" s="4">
        <v>1460</v>
      </c>
      <c r="B1461" s="5" t="s">
        <v>5844</v>
      </c>
      <c r="C1461" s="5" t="s">
        <v>5845</v>
      </c>
      <c r="D1461" s="5"/>
      <c r="E1461" s="5"/>
      <c r="F1461" s="5" t="s">
        <v>5827</v>
      </c>
      <c r="G1461" s="5" t="s">
        <v>4637</v>
      </c>
      <c r="H1461" s="5" t="s">
        <v>5828</v>
      </c>
      <c r="I1461" s="5" t="s">
        <v>20</v>
      </c>
      <c r="J1461" s="5">
        <v>3.13</v>
      </c>
      <c r="K1461" s="5" t="s">
        <v>21</v>
      </c>
      <c r="L1461" s="5" t="s">
        <v>5846</v>
      </c>
      <c r="M1461" s="5" t="s">
        <v>5830</v>
      </c>
      <c r="N1461" s="7" t="str">
        <f>HYPERLINK("C:\Users\alexa\YandexDisk\Книги\ИИ\Промпт инжиниринг\prompting-book-en-print.pdf","prompting-book-en-print.pdf")</f>
        <v>prompting-book-en-print.pdf</v>
      </c>
      <c r="O1461" s="5" t="s">
        <v>5847</v>
      </c>
    </row>
    <row r="1462" spans="1:15" ht="179.4" x14ac:dyDescent="0.3">
      <c r="A1462" s="2">
        <v>1461</v>
      </c>
      <c r="B1462" s="3" t="s">
        <v>5848</v>
      </c>
      <c r="C1462" s="3" t="s">
        <v>5845</v>
      </c>
      <c r="D1462" s="3"/>
      <c r="E1462" s="3"/>
      <c r="F1462" s="3" t="s">
        <v>5827</v>
      </c>
      <c r="G1462" s="3" t="s">
        <v>4637</v>
      </c>
      <c r="H1462" s="3" t="s">
        <v>5828</v>
      </c>
      <c r="I1462" s="3" t="s">
        <v>20</v>
      </c>
      <c r="J1462" s="3">
        <v>3.43</v>
      </c>
      <c r="K1462" s="3" t="s">
        <v>21</v>
      </c>
      <c r="L1462" s="3" t="s">
        <v>5849</v>
      </c>
      <c r="M1462" s="3" t="s">
        <v>5830</v>
      </c>
      <c r="N1462" s="6" t="str">
        <f>HYPERLINK("C:\Users\alexa\YandexDisk\Книги\ИИ\Промпт инжиниринг\prompting-book-ru-print.pdf","prompting-book-ru-print.pdf")</f>
        <v>prompting-book-ru-print.pdf</v>
      </c>
      <c r="O1462" s="3" t="s">
        <v>5850</v>
      </c>
    </row>
    <row r="1463" spans="1:15" ht="220.8" x14ac:dyDescent="0.3">
      <c r="A1463" s="4">
        <v>1462</v>
      </c>
      <c r="B1463" s="5" t="s">
        <v>5851</v>
      </c>
      <c r="C1463" s="5" t="s">
        <v>5361</v>
      </c>
      <c r="D1463" s="5" t="s">
        <v>335</v>
      </c>
      <c r="E1463" s="5" t="s">
        <v>102</v>
      </c>
      <c r="F1463" s="5" t="s">
        <v>5827</v>
      </c>
      <c r="G1463" s="5" t="s">
        <v>4637</v>
      </c>
      <c r="H1463" s="5" t="s">
        <v>5828</v>
      </c>
      <c r="I1463" s="5" t="s">
        <v>20</v>
      </c>
      <c r="J1463" s="5">
        <v>5.99</v>
      </c>
      <c r="K1463" s="5" t="s">
        <v>21</v>
      </c>
      <c r="L1463" s="5" t="s">
        <v>5852</v>
      </c>
      <c r="M1463" s="5" t="s">
        <v>5830</v>
      </c>
      <c r="N1463" s="7" t="str">
        <f>HYPERLINK("C:\Users\alexa\YandexDisk\Книги\ИИ\Промпт инжиниринг\Метакогнитивная промпт-инженерия.pdf","Метакогнитивная промпт-инженерия.pdf")</f>
        <v>Метакогнитивная промпт-инженерия.pdf</v>
      </c>
      <c r="O1463" s="5" t="s">
        <v>5853</v>
      </c>
    </row>
    <row r="1464" spans="1:15" ht="165.6" x14ac:dyDescent="0.3">
      <c r="A1464" s="2">
        <v>1463</v>
      </c>
      <c r="B1464" s="3" t="s">
        <v>5854</v>
      </c>
      <c r="C1464" s="3"/>
      <c r="D1464" s="3"/>
      <c r="E1464" s="3"/>
      <c r="F1464" s="3" t="s">
        <v>5827</v>
      </c>
      <c r="G1464" s="3" t="s">
        <v>4637</v>
      </c>
      <c r="H1464" s="3" t="s">
        <v>5828</v>
      </c>
      <c r="I1464" s="3" t="s">
        <v>20</v>
      </c>
      <c r="J1464" s="3">
        <v>13.13</v>
      </c>
      <c r="K1464" s="3" t="s">
        <v>21</v>
      </c>
      <c r="L1464" s="3" t="s">
        <v>5855</v>
      </c>
      <c r="M1464" s="3" t="s">
        <v>5830</v>
      </c>
      <c r="N1464" s="6" t="str">
        <f>HYPERLINK("C:\Users\alexa\YandexDisk\Книги\ИИ\Промпт инжиниринг\Нейросети для аналитиков 20%.pdf","Нейросети для аналитиков 20%.pdf")</f>
        <v>Нейросети для аналитиков 20%.pdf</v>
      </c>
      <c r="O1464" s="3" t="s">
        <v>5856</v>
      </c>
    </row>
    <row r="1465" spans="1:15" ht="207" x14ac:dyDescent="0.3">
      <c r="A1465" s="4">
        <v>1464</v>
      </c>
      <c r="B1465" s="5" t="s">
        <v>5857</v>
      </c>
      <c r="C1465" s="5" t="s">
        <v>5858</v>
      </c>
      <c r="D1465" s="5" t="s">
        <v>335</v>
      </c>
      <c r="E1465" s="5" t="s">
        <v>336</v>
      </c>
      <c r="F1465" s="5" t="s">
        <v>5827</v>
      </c>
      <c r="G1465" s="5" t="s">
        <v>4637</v>
      </c>
      <c r="H1465" s="5" t="s">
        <v>5828</v>
      </c>
      <c r="I1465" s="5" t="s">
        <v>20</v>
      </c>
      <c r="J1465" s="5">
        <v>11.23</v>
      </c>
      <c r="K1465" s="5" t="s">
        <v>21</v>
      </c>
      <c r="L1465" s="5" t="s">
        <v>5859</v>
      </c>
      <c r="M1465" s="5" t="s">
        <v>5830</v>
      </c>
      <c r="N1465" s="7" t="str">
        <f>HYPERLINK("C:\Users\alexa\YandexDisk\Книги\ИИ\Промпт инжиниринг\Промт-инжиниринг для GenAI.pdf","Промт-инжиниринг для GenAI.pdf")</f>
        <v>Промт-инжиниринг для GenAI.pdf</v>
      </c>
      <c r="O1465" s="5" t="s">
        <v>5860</v>
      </c>
    </row>
    <row r="1466" spans="1:15" ht="165.6" x14ac:dyDescent="0.3">
      <c r="A1466" s="2">
        <v>1465</v>
      </c>
      <c r="B1466" s="3" t="s">
        <v>5861</v>
      </c>
      <c r="C1466" s="3" t="s">
        <v>5862</v>
      </c>
      <c r="D1466" s="3" t="s">
        <v>335</v>
      </c>
      <c r="E1466" s="3" t="s">
        <v>336</v>
      </c>
      <c r="F1466" s="3" t="s">
        <v>5827</v>
      </c>
      <c r="G1466" s="3" t="s">
        <v>4637</v>
      </c>
      <c r="H1466" s="3" t="s">
        <v>5828</v>
      </c>
      <c r="I1466" s="3" t="s">
        <v>20</v>
      </c>
      <c r="J1466" s="3">
        <v>6.3</v>
      </c>
      <c r="K1466" s="3" t="s">
        <v>21</v>
      </c>
      <c r="L1466" s="3" t="s">
        <v>5863</v>
      </c>
      <c r="M1466" s="3" t="s">
        <v>5830</v>
      </c>
      <c r="N1466" s="6" t="str">
        <f>HYPERLINK("C:\Users\alexa\YandexDisk\Книги\ИИ\Промпт инжиниринг\Промт-инжиниринг для LLM. Искусство построения приложений на основе больших языковых моделей.pdf","Промт-инжиниринг для LLM. Искусство построения приложений на основе больших языковых моделей.pdf")</f>
        <v>Промт-инжиниринг для LLM. Искусство построения приложений на основе больших языковых моделей.pdf</v>
      </c>
      <c r="O1466" s="3" t="s">
        <v>5864</v>
      </c>
    </row>
    <row r="1467" spans="1:15" ht="179.4" x14ac:dyDescent="0.3">
      <c r="A1467" s="4">
        <v>1466</v>
      </c>
      <c r="B1467" s="5" t="s">
        <v>5865</v>
      </c>
      <c r="C1467" s="5" t="s">
        <v>5866</v>
      </c>
      <c r="D1467" s="5"/>
      <c r="E1467" s="5" t="s">
        <v>4196</v>
      </c>
      <c r="F1467" s="5" t="s">
        <v>5867</v>
      </c>
      <c r="G1467" s="5" t="s">
        <v>5868</v>
      </c>
      <c r="H1467" s="5" t="s">
        <v>5869</v>
      </c>
      <c r="I1467" s="5" t="s">
        <v>20</v>
      </c>
      <c r="J1467" s="5">
        <v>9.91</v>
      </c>
      <c r="K1467" s="5" t="s">
        <v>21</v>
      </c>
      <c r="L1467" s="5" t="s">
        <v>5870</v>
      </c>
      <c r="M1467" s="5" t="s">
        <v>5871</v>
      </c>
      <c r="N1467" s="7" t="str">
        <f>HYPERLINK("C:\Users\alexa\YandexDisk\Книги\Инфраструктура\Глобальные сети\6G Key Technologies_A Comprehensive Guide.pdf","6G Key Technologies_A Comprehensive Guide.pdf")</f>
        <v>6G Key Technologies_A Comprehensive Guide.pdf</v>
      </c>
      <c r="O1467" s="5" t="s">
        <v>5872</v>
      </c>
    </row>
    <row r="1468" spans="1:15" ht="234.6" x14ac:dyDescent="0.3">
      <c r="A1468" s="2">
        <v>1467</v>
      </c>
      <c r="B1468" s="3" t="s">
        <v>5873</v>
      </c>
      <c r="C1468" s="3" t="s">
        <v>5874</v>
      </c>
      <c r="D1468" s="3"/>
      <c r="E1468" s="3" t="s">
        <v>4196</v>
      </c>
      <c r="F1468" s="3" t="s">
        <v>5867</v>
      </c>
      <c r="G1468" s="3" t="s">
        <v>5868</v>
      </c>
      <c r="H1468" s="3" t="s">
        <v>5869</v>
      </c>
      <c r="I1468" s="3" t="s">
        <v>20</v>
      </c>
      <c r="J1468" s="3">
        <v>9.11</v>
      </c>
      <c r="K1468" s="3" t="s">
        <v>21</v>
      </c>
      <c r="L1468" s="3" t="s">
        <v>5875</v>
      </c>
      <c r="M1468" s="3" t="s">
        <v>5871</v>
      </c>
      <c r="N1468" s="6" t="str">
        <f>HYPERLINK("C:\Users\alexa\YandexDisk\Книги\Инфраструктура\Глобальные сети\6G_and_Onward_to_Next_G_The_Road_to_the_Multiverse.pdf","6G_and_Onward_to_Next_G_The_Road_to_the_Multiverse.pdf")</f>
        <v>6G_and_Onward_to_Next_G_The_Road_to_the_Multiverse.pdf</v>
      </c>
      <c r="O1468" s="3" t="s">
        <v>5876</v>
      </c>
    </row>
    <row r="1469" spans="1:15" ht="207" x14ac:dyDescent="0.3">
      <c r="A1469" s="4">
        <v>1468</v>
      </c>
      <c r="B1469" s="5" t="s">
        <v>5877</v>
      </c>
      <c r="C1469" s="5" t="s">
        <v>5878</v>
      </c>
      <c r="D1469" s="5"/>
      <c r="E1469" s="5" t="s">
        <v>37</v>
      </c>
      <c r="F1469" s="5" t="s">
        <v>5867</v>
      </c>
      <c r="G1469" s="5" t="s">
        <v>5868</v>
      </c>
      <c r="H1469" s="5" t="s">
        <v>5869</v>
      </c>
      <c r="I1469" s="5" t="s">
        <v>20</v>
      </c>
      <c r="J1469" s="5">
        <v>17.940000000000001</v>
      </c>
      <c r="K1469" s="5" t="s">
        <v>21</v>
      </c>
      <c r="L1469" s="5" t="s">
        <v>5879</v>
      </c>
      <c r="M1469" s="5" t="s">
        <v>5871</v>
      </c>
      <c r="N1469" s="7" t="str">
        <f>HYPERLINK("C:\Users\alexa\YandexDisk\Книги\Инфраструктура\Глобальные сети\Computer Networking _ A Top Down Approach, 7th, converted.pdf","Computer Networking _ A Top Down Approach, 7th, converted.pdf")</f>
        <v>Computer Networking _ A Top Down Approach, 7th, converted.pdf</v>
      </c>
      <c r="O1469" s="5" t="s">
        <v>5880</v>
      </c>
    </row>
    <row r="1470" spans="1:15" ht="179.4" x14ac:dyDescent="0.3">
      <c r="A1470" s="2">
        <v>1469</v>
      </c>
      <c r="B1470" s="3" t="s">
        <v>5881</v>
      </c>
      <c r="C1470" s="3" t="s">
        <v>5882</v>
      </c>
      <c r="D1470" s="3"/>
      <c r="E1470" s="3"/>
      <c r="F1470" s="3" t="s">
        <v>5867</v>
      </c>
      <c r="G1470" s="3" t="s">
        <v>5868</v>
      </c>
      <c r="H1470" s="3" t="s">
        <v>5869</v>
      </c>
      <c r="I1470" s="3" t="s">
        <v>20</v>
      </c>
      <c r="J1470" s="3">
        <v>12.04</v>
      </c>
      <c r="K1470" s="3" t="s">
        <v>21</v>
      </c>
      <c r="L1470" s="3" t="s">
        <v>5883</v>
      </c>
      <c r="M1470" s="3" t="s">
        <v>5871</v>
      </c>
      <c r="N1470" s="6" t="str">
        <f>HYPERLINK("C:\Users\alexa\YandexDisk\Книги\Инфраструктура\Глобальные сети\Computer Networks (Andrew S. Tanenbaum).pdf","Computer Networks (Andrew S. Tanenbaum).pdf")</f>
        <v>Computer Networks (Andrew S. Tanenbaum).pdf</v>
      </c>
      <c r="O1470" s="3" t="s">
        <v>5884</v>
      </c>
    </row>
    <row r="1471" spans="1:15" ht="193.2" x14ac:dyDescent="0.3">
      <c r="A1471" s="4">
        <v>1470</v>
      </c>
      <c r="B1471" s="5" t="s">
        <v>5885</v>
      </c>
      <c r="C1471" s="5" t="s">
        <v>5886</v>
      </c>
      <c r="D1471" s="5" t="s">
        <v>1560</v>
      </c>
      <c r="E1471" s="5" t="s">
        <v>1566</v>
      </c>
      <c r="F1471" s="5" t="s">
        <v>5867</v>
      </c>
      <c r="G1471" s="5" t="s">
        <v>5868</v>
      </c>
      <c r="H1471" s="5" t="s">
        <v>5869</v>
      </c>
      <c r="I1471" s="5" t="s">
        <v>20</v>
      </c>
      <c r="J1471" s="5">
        <v>24.63</v>
      </c>
      <c r="K1471" s="5" t="s">
        <v>21</v>
      </c>
      <c r="L1471" s="5" t="s">
        <v>5887</v>
      </c>
      <c r="M1471" s="5" t="s">
        <v>5871</v>
      </c>
      <c r="N1471" s="7" t="str">
        <f>HYPERLINK("C:\Users\alexa\YandexDisk\Книги\Инфраструктура\Глобальные сети\Khant_K_TCP_IP_Setevoe_administrirovanie_3-e_izdanie_1988.pdf","Khant_K_TCP_IP_Setevoe_administrirovanie_3-e_izdanie_1988.pdf")</f>
        <v>Khant_K_TCP_IP_Setevoe_administrirovanie_3-e_izdanie_1988.pdf</v>
      </c>
      <c r="O1471" s="5" t="s">
        <v>5888</v>
      </c>
    </row>
    <row r="1472" spans="1:15" ht="138" x14ac:dyDescent="0.3">
      <c r="A1472" s="2">
        <v>1471</v>
      </c>
      <c r="B1472" s="3" t="s">
        <v>5889</v>
      </c>
      <c r="C1472" s="3"/>
      <c r="D1472" s="3"/>
      <c r="E1472" s="3"/>
      <c r="F1472" s="3" t="s">
        <v>5867</v>
      </c>
      <c r="G1472" s="3" t="s">
        <v>5868</v>
      </c>
      <c r="H1472" s="3" t="s">
        <v>5869</v>
      </c>
      <c r="I1472" s="3" t="s">
        <v>721</v>
      </c>
      <c r="J1472" s="3">
        <v>10.56</v>
      </c>
      <c r="K1472" s="3" t="s">
        <v>21</v>
      </c>
      <c r="L1472" s="3" t="s">
        <v>5890</v>
      </c>
      <c r="M1472" s="3" t="s">
        <v>5871</v>
      </c>
      <c r="N1472" s="6" t="str">
        <f>HYPERLINK("C:\Users\alexa\YandexDisk\Книги\Инфраструктура\Глобальные сети\TCP_IP_Uchebnyi_kurs.djvu","TCP_IP_Uchebnyi_kurs.djvu")</f>
        <v>TCP_IP_Uchebnyi_kurs.djvu</v>
      </c>
      <c r="O1472" s="3" t="s">
        <v>5891</v>
      </c>
    </row>
    <row r="1473" spans="1:15" ht="151.80000000000001" x14ac:dyDescent="0.3">
      <c r="A1473" s="4">
        <v>1472</v>
      </c>
      <c r="B1473" s="5" t="s">
        <v>5892</v>
      </c>
      <c r="C1473" s="5" t="s">
        <v>5893</v>
      </c>
      <c r="D1473" s="5" t="s">
        <v>50</v>
      </c>
      <c r="E1473" s="5" t="s">
        <v>192</v>
      </c>
      <c r="F1473" s="5" t="s">
        <v>5867</v>
      </c>
      <c r="G1473" s="5" t="s">
        <v>5868</v>
      </c>
      <c r="H1473" s="5" t="s">
        <v>5869</v>
      </c>
      <c r="I1473" s="5" t="s">
        <v>20</v>
      </c>
      <c r="J1473" s="5">
        <v>8.9499999999999993</v>
      </c>
      <c r="K1473" s="5" t="s">
        <v>21</v>
      </c>
      <c r="L1473" s="5" t="s">
        <v>5894</v>
      </c>
      <c r="M1473" s="5" t="s">
        <v>5871</v>
      </c>
      <c r="N1473" s="7" t="str">
        <f>HYPERLINK("C:\Users\alexa\YandexDisk\Книги\Инфраструктура\Глобальные сети\The Illustrated Network.pdf","The Illustrated Network.pdf")</f>
        <v>The Illustrated Network.pdf</v>
      </c>
      <c r="O1473" s="5" t="s">
        <v>5895</v>
      </c>
    </row>
    <row r="1474" spans="1:15" ht="138" x14ac:dyDescent="0.3">
      <c r="A1474" s="2">
        <v>1473</v>
      </c>
      <c r="B1474" s="3" t="s">
        <v>5896</v>
      </c>
      <c r="C1474" s="3" t="s">
        <v>5897</v>
      </c>
      <c r="D1474" s="3" t="s">
        <v>114</v>
      </c>
      <c r="E1474" s="3" t="s">
        <v>18</v>
      </c>
      <c r="F1474" s="3" t="s">
        <v>5867</v>
      </c>
      <c r="G1474" s="3" t="s">
        <v>5868</v>
      </c>
      <c r="H1474" s="3" t="s">
        <v>5869</v>
      </c>
      <c r="I1474" s="3" t="s">
        <v>20</v>
      </c>
      <c r="J1474" s="3">
        <v>48.1</v>
      </c>
      <c r="K1474" s="3" t="s">
        <v>21</v>
      </c>
      <c r="L1474" s="3" t="s">
        <v>5898</v>
      </c>
      <c r="M1474" s="3" t="s">
        <v>5871</v>
      </c>
      <c r="N1474" s="6" t="str">
        <f>HYPERLINK("C:\Users\alexa\YandexDisk\Книги\Инфраструктура\Глобальные сети\V_Olifer_N_Olifer_Компьютерные сетиpdf.pdf","V_Olifer_N_Olifer_Компьютерные сетиpdf.pdf")</f>
        <v>V_Olifer_N_Olifer_Компьютерные сетиpdf.pdf</v>
      </c>
      <c r="O1474" s="3" t="s">
        <v>5899</v>
      </c>
    </row>
    <row r="1475" spans="1:15" ht="138" x14ac:dyDescent="0.3">
      <c r="A1475" s="4">
        <v>1474</v>
      </c>
      <c r="B1475" s="5" t="s">
        <v>5900</v>
      </c>
      <c r="C1475" s="5" t="s">
        <v>5901</v>
      </c>
      <c r="D1475" s="5" t="s">
        <v>71</v>
      </c>
      <c r="E1475" s="5" t="s">
        <v>227</v>
      </c>
      <c r="F1475" s="5" t="s">
        <v>5867</v>
      </c>
      <c r="G1475" s="5" t="s">
        <v>5868</v>
      </c>
      <c r="H1475" s="5" t="s">
        <v>5869</v>
      </c>
      <c r="I1475" s="5" t="s">
        <v>20</v>
      </c>
      <c r="J1475" s="5">
        <v>13.24</v>
      </c>
      <c r="K1475" s="5" t="s">
        <v>21</v>
      </c>
      <c r="L1475" s="5" t="s">
        <v>5902</v>
      </c>
      <c r="M1475" s="5" t="s">
        <v>5871</v>
      </c>
      <c r="N1475" s="7" t="str">
        <f>HYPERLINK("C:\Users\alexa\YandexDisk\Книги\Инфраструктура\Глобальные сети\Wireshark_Fundamentals_A_Network_Engineer_s_Handbook_to_Analyzin 2021.pdf","Wireshark_Fundamentals_A_Network_Engineer_s_Handbook_to_Analyzin 2021.pdf")</f>
        <v>Wireshark_Fundamentals_A_Network_Engineer_s_Handbook_to_Analyzin 2021.pdf</v>
      </c>
      <c r="O1475" s="5" t="s">
        <v>5903</v>
      </c>
    </row>
    <row r="1476" spans="1:15" ht="179.4" x14ac:dyDescent="0.3">
      <c r="A1476" s="2">
        <v>1475</v>
      </c>
      <c r="B1476" s="3" t="s">
        <v>5904</v>
      </c>
      <c r="C1476" s="3" t="s">
        <v>5905</v>
      </c>
      <c r="D1476" s="3"/>
      <c r="E1476" s="3"/>
      <c r="F1476" s="3" t="s">
        <v>5867</v>
      </c>
      <c r="G1476" s="3" t="s">
        <v>5868</v>
      </c>
      <c r="H1476" s="3" t="s">
        <v>5869</v>
      </c>
      <c r="I1476" s="3" t="s">
        <v>20</v>
      </c>
      <c r="J1476" s="3">
        <v>11.15</v>
      </c>
      <c r="K1476" s="3" t="s">
        <v>21</v>
      </c>
      <c r="L1476" s="3" t="s">
        <v>5906</v>
      </c>
      <c r="M1476" s="3" t="s">
        <v>5871</v>
      </c>
      <c r="N1476" s="6" t="str">
        <f>HYPERLINK("C:\Users\alexa\YandexDisk\Книги\Инфраструктура\Глобальные сети\Кoмпьютерные_сeти_Настoльная_книга.pdf","Кoмпьютерные_сeти_Настoльная_книга.pdf")</f>
        <v>Кoмпьютерные_сeти_Настoльная_книга.pdf</v>
      </c>
      <c r="O1476" s="3" t="s">
        <v>5907</v>
      </c>
    </row>
    <row r="1477" spans="1:15" ht="124.2" x14ac:dyDescent="0.3">
      <c r="A1477" s="4">
        <v>1476</v>
      </c>
      <c r="B1477" s="5" t="s">
        <v>5908</v>
      </c>
      <c r="C1477" s="5"/>
      <c r="D1477" s="5"/>
      <c r="E1477" s="5"/>
      <c r="F1477" s="5" t="s">
        <v>5867</v>
      </c>
      <c r="G1477" s="5" t="s">
        <v>5868</v>
      </c>
      <c r="H1477" s="5" t="s">
        <v>5869</v>
      </c>
      <c r="I1477" s="5" t="s">
        <v>20</v>
      </c>
      <c r="J1477" s="5">
        <v>13.01</v>
      </c>
      <c r="K1477" s="5" t="s">
        <v>21</v>
      </c>
      <c r="L1477" s="5" t="s">
        <v>5909</v>
      </c>
      <c r="M1477" s="5" t="s">
        <v>5871</v>
      </c>
      <c r="N1477" s="7" t="str">
        <f>HYPERLINK("C:\Users\alexa\YandexDisk\Книги\Инфраструктура\Глобальные сети\Как устроен Интернет.pdf","Как устроен Интернет.pdf")</f>
        <v>Как устроен Интернет.pdf</v>
      </c>
      <c r="O1477" s="5" t="s">
        <v>5910</v>
      </c>
    </row>
    <row r="1478" spans="1:15" ht="193.2" x14ac:dyDescent="0.3">
      <c r="A1478" s="2">
        <v>1477</v>
      </c>
      <c r="B1478" s="3" t="s">
        <v>5911</v>
      </c>
      <c r="C1478" s="3" t="s">
        <v>5912</v>
      </c>
      <c r="D1478" s="3" t="s">
        <v>27</v>
      </c>
      <c r="E1478" s="3"/>
      <c r="F1478" s="3" t="s">
        <v>5867</v>
      </c>
      <c r="G1478" s="3" t="s">
        <v>5868</v>
      </c>
      <c r="H1478" s="3" t="s">
        <v>5869</v>
      </c>
      <c r="I1478" s="3" t="s">
        <v>20</v>
      </c>
      <c r="J1478" s="3">
        <v>18.190000000000001</v>
      </c>
      <c r="K1478" s="3" t="s">
        <v>21</v>
      </c>
      <c r="L1478" s="3" t="s">
        <v>5913</v>
      </c>
      <c r="M1478" s="3" t="s">
        <v>5871</v>
      </c>
      <c r="N1478" s="6" t="str">
        <f>HYPERLINK("C:\Users\alexa\YandexDisk\Книги\Инфраструктура\Глобальные сети\Коммуникационные сети краткое введение.pdf","Коммуникационные сети краткое введение.pdf")</f>
        <v>Коммуникационные сети краткое введение.pdf</v>
      </c>
      <c r="O1478" s="3" t="s">
        <v>5914</v>
      </c>
    </row>
    <row r="1479" spans="1:15" ht="151.80000000000001" x14ac:dyDescent="0.3">
      <c r="A1479" s="4">
        <v>1478</v>
      </c>
      <c r="B1479" s="5" t="s">
        <v>5881</v>
      </c>
      <c r="C1479" s="5" t="s">
        <v>5915</v>
      </c>
      <c r="D1479" s="5" t="s">
        <v>27</v>
      </c>
      <c r="E1479" s="5" t="s">
        <v>18</v>
      </c>
      <c r="F1479" s="5" t="s">
        <v>5867</v>
      </c>
      <c r="G1479" s="5" t="s">
        <v>5868</v>
      </c>
      <c r="H1479" s="5" t="s">
        <v>5869</v>
      </c>
      <c r="I1479" s="5" t="s">
        <v>20</v>
      </c>
      <c r="J1479" s="5">
        <v>126.34</v>
      </c>
      <c r="K1479" s="5" t="s">
        <v>21</v>
      </c>
      <c r="L1479" s="5" t="s">
        <v>5916</v>
      </c>
      <c r="M1479" s="5" t="s">
        <v>5871</v>
      </c>
      <c r="N1479" s="7" t="str">
        <f>HYPERLINK("C:\Users\alexa\YandexDisk\Книги\Инфраструктура\Глобальные сети\Компьютерные сети 6-е изд..pdf","Компьютерные сети 6-е изд..pdf")</f>
        <v>Компьютерные сети 6-е изд..pdf</v>
      </c>
      <c r="O1479" s="5" t="s">
        <v>5917</v>
      </c>
    </row>
    <row r="1480" spans="1:15" ht="165.6" x14ac:dyDescent="0.3">
      <c r="A1480" s="2">
        <v>1479</v>
      </c>
      <c r="B1480" s="3" t="s">
        <v>5918</v>
      </c>
      <c r="C1480" s="3" t="s">
        <v>5919</v>
      </c>
      <c r="D1480" s="3"/>
      <c r="E1480" s="3"/>
      <c r="F1480" s="3" t="s">
        <v>5867</v>
      </c>
      <c r="G1480" s="3" t="s">
        <v>5868</v>
      </c>
      <c r="H1480" s="3" t="s">
        <v>5869</v>
      </c>
      <c r="I1480" s="3" t="s">
        <v>721</v>
      </c>
      <c r="J1480" s="3">
        <v>10.76</v>
      </c>
      <c r="K1480" s="3" t="s">
        <v>21</v>
      </c>
      <c r="L1480" s="3" t="s">
        <v>5920</v>
      </c>
      <c r="M1480" s="3" t="s">
        <v>5871</v>
      </c>
      <c r="N1480" s="6" t="str">
        <f>HYPERLINK("C:\Users\alexa\YandexDisk\Книги\Инфраструктура\Глобальные сети\Компьютерные сети. Таненбаум Э., Уэзэрол Д..djvu","Компьютерные сети. Таненбаум Э., Уэзэрол Д..djvu")</f>
        <v>Компьютерные сети. Таненбаум Э., Уэзэрол Д..djvu</v>
      </c>
      <c r="O1480" s="3" t="s">
        <v>5921</v>
      </c>
    </row>
    <row r="1481" spans="1:15" ht="179.4" x14ac:dyDescent="0.3">
      <c r="A1481" s="4">
        <v>1480</v>
      </c>
      <c r="B1481" s="5" t="s">
        <v>5922</v>
      </c>
      <c r="C1481" s="5" t="s">
        <v>5915</v>
      </c>
      <c r="D1481" s="5" t="s">
        <v>27</v>
      </c>
      <c r="E1481" s="5" t="s">
        <v>37</v>
      </c>
      <c r="F1481" s="5" t="s">
        <v>5867</v>
      </c>
      <c r="G1481" s="5" t="s">
        <v>5868</v>
      </c>
      <c r="H1481" s="5" t="s">
        <v>5869</v>
      </c>
      <c r="I1481" s="5" t="s">
        <v>20</v>
      </c>
      <c r="J1481" s="5">
        <v>126.13</v>
      </c>
      <c r="K1481" s="5" t="s">
        <v>21</v>
      </c>
      <c r="L1481" s="5" t="s">
        <v>5923</v>
      </c>
      <c r="M1481" s="5" t="s">
        <v>5871</v>
      </c>
      <c r="N1481" s="7" t="str">
        <f>HYPERLINK("C:\Users\alexa\YandexDisk\Книги\Инфраструктура\Глобальные сети\Компьютерные_сети_6_е_изд_2023_Эндрю_С_Таненбаум,_Ник_Фимстер,_Дэвид.pdf","Компьютерные_сети_6_е_изд_2023_Эндрю_С_Таненбаум,_Ник_Фимстер,_Дэвид.pdf")</f>
        <v>Компьютерные_сети_6_е_изд_2023_Эндрю_С_Таненбаум,_Ник_Фимстер,_Дэвид.pdf</v>
      </c>
      <c r="O1481" s="5" t="s">
        <v>5924</v>
      </c>
    </row>
    <row r="1482" spans="1:15" ht="207" x14ac:dyDescent="0.3">
      <c r="A1482" s="2">
        <v>1481</v>
      </c>
      <c r="B1482" s="3" t="s">
        <v>5925</v>
      </c>
      <c r="C1482" s="3" t="s">
        <v>5878</v>
      </c>
      <c r="D1482" s="3" t="s">
        <v>476</v>
      </c>
      <c r="E1482" s="3" t="s">
        <v>3945</v>
      </c>
      <c r="F1482" s="3" t="s">
        <v>5867</v>
      </c>
      <c r="G1482" s="3" t="s">
        <v>5868</v>
      </c>
      <c r="H1482" s="3" t="s">
        <v>5869</v>
      </c>
      <c r="I1482" s="3" t="s">
        <v>20</v>
      </c>
      <c r="J1482" s="3">
        <v>8.1300000000000008</v>
      </c>
      <c r="K1482" s="3" t="s">
        <v>21</v>
      </c>
      <c r="L1482" s="3" t="s">
        <v>5926</v>
      </c>
      <c r="M1482" s="3" t="s">
        <v>5871</v>
      </c>
      <c r="N1482" s="6" t="str">
        <f>HYPERLINK("C:\Users\alexa\YandexDisk\Книги\Инфраструктура\Глобальные сети\Компьютерные_сети_Нисходящий_подход.pdf","Компьютерные_сети_Нисходящий_подход.pdf")</f>
        <v>Компьютерные_сети_Нисходящий_подход.pdf</v>
      </c>
      <c r="O1482" s="3" t="s">
        <v>5927</v>
      </c>
    </row>
    <row r="1483" spans="1:15" ht="124.2" x14ac:dyDescent="0.3">
      <c r="A1483" s="4">
        <v>1482</v>
      </c>
      <c r="B1483" s="5" t="s">
        <v>5928</v>
      </c>
      <c r="C1483" s="5"/>
      <c r="D1483" s="5"/>
      <c r="E1483" s="5"/>
      <c r="F1483" s="5" t="s">
        <v>5867</v>
      </c>
      <c r="G1483" s="5" t="s">
        <v>5868</v>
      </c>
      <c r="H1483" s="5" t="s">
        <v>5869</v>
      </c>
      <c r="I1483" s="5" t="s">
        <v>20</v>
      </c>
      <c r="J1483" s="5">
        <v>15.32</v>
      </c>
      <c r="K1483" s="5" t="s">
        <v>21</v>
      </c>
      <c r="L1483" s="5" t="s">
        <v>5929</v>
      </c>
      <c r="M1483" s="5" t="s">
        <v>5871</v>
      </c>
      <c r="N1483" s="7" t="str">
        <f>HYPERLINK("C:\Users\alexa\YandexDisk\Книги\Инфраструктура\Глобальные сети\Мобильная связь.pdf","Мобильная связь.pdf")</f>
        <v>Мобильная связь.pdf</v>
      </c>
      <c r="O1483" s="5" t="s">
        <v>5930</v>
      </c>
    </row>
    <row r="1484" spans="1:15" ht="151.80000000000001" x14ac:dyDescent="0.3">
      <c r="A1484" s="2">
        <v>1483</v>
      </c>
      <c r="B1484" s="3" t="s">
        <v>5896</v>
      </c>
      <c r="C1484" s="3" t="s">
        <v>5897</v>
      </c>
      <c r="D1484" s="3" t="s">
        <v>274</v>
      </c>
      <c r="E1484" s="3" t="s">
        <v>18</v>
      </c>
      <c r="F1484" s="3" t="s">
        <v>5867</v>
      </c>
      <c r="G1484" s="3" t="s">
        <v>5868</v>
      </c>
      <c r="H1484" s="3" t="s">
        <v>5869</v>
      </c>
      <c r="I1484" s="3" t="s">
        <v>20</v>
      </c>
      <c r="J1484" s="3">
        <v>22.22</v>
      </c>
      <c r="K1484" s="3" t="s">
        <v>21</v>
      </c>
      <c r="L1484" s="3" t="s">
        <v>5931</v>
      </c>
      <c r="M1484" s="3" t="s">
        <v>5871</v>
      </c>
      <c r="N1484" s="6" t="str">
        <f>HYPERLINK("C:\Users\alexa\YandexDisk\Книги\Инфраструктура\Глобальные сети\Олифер Kompyuternye_seti_Printsipy_tekhnologii_protokoly.pdf","Олифер Kompyuternye_seti_Printsipy_tekhnologii_protokoly.pdf")</f>
        <v>Олифер Kompyuternye_seti_Printsipy_tekhnologii_protokoly.pdf</v>
      </c>
      <c r="O1484" s="3" t="s">
        <v>5932</v>
      </c>
    </row>
    <row r="1485" spans="1:15" ht="165.6" x14ac:dyDescent="0.3">
      <c r="A1485" s="4">
        <v>1484</v>
      </c>
      <c r="B1485" s="5" t="s">
        <v>5933</v>
      </c>
      <c r="C1485" s="5" t="s">
        <v>5934</v>
      </c>
      <c r="D1485" s="5" t="s">
        <v>71</v>
      </c>
      <c r="E1485" s="5" t="s">
        <v>102</v>
      </c>
      <c r="F1485" s="5" t="s">
        <v>5867</v>
      </c>
      <c r="G1485" s="5" t="s">
        <v>5868</v>
      </c>
      <c r="H1485" s="5" t="s">
        <v>5869</v>
      </c>
      <c r="I1485" s="5" t="s">
        <v>20</v>
      </c>
      <c r="J1485" s="5">
        <v>17.45</v>
      </c>
      <c r="K1485" s="5" t="s">
        <v>21</v>
      </c>
      <c r="L1485" s="5" t="s">
        <v>5935</v>
      </c>
      <c r="M1485" s="5" t="s">
        <v>5871</v>
      </c>
      <c r="N1485" s="7" t="str">
        <f>HYPERLINK("C:\Users\alexa\YandexDisk\Книги\Инфраструктура\Глобальные сети\Сети_6G_Путь_от_5G_к_6G_глазами_разработчиков_От_подключенных_людей.pdf","Сети_6G_Путь_от_5G_к_6G_глазами_разработчиков_От_подключенных_людей.pdf")</f>
        <v>Сети_6G_Путь_от_5G_к_6G_глазами_разработчиков_От_подключенных_людей.pdf</v>
      </c>
      <c r="O1485" s="5" t="s">
        <v>5936</v>
      </c>
    </row>
    <row r="1486" spans="1:15" ht="179.4" x14ac:dyDescent="0.3">
      <c r="A1486" s="2">
        <v>1485</v>
      </c>
      <c r="B1486" s="3" t="s">
        <v>5937</v>
      </c>
      <c r="C1486" s="3" t="s">
        <v>5938</v>
      </c>
      <c r="D1486" s="3" t="s">
        <v>114</v>
      </c>
      <c r="E1486" s="3" t="s">
        <v>148</v>
      </c>
      <c r="F1486" s="3" t="s">
        <v>5867</v>
      </c>
      <c r="G1486" s="3" t="s">
        <v>5868</v>
      </c>
      <c r="H1486" s="3" t="s">
        <v>5869</v>
      </c>
      <c r="I1486" s="3" t="s">
        <v>20</v>
      </c>
      <c r="J1486" s="3">
        <v>29.36</v>
      </c>
      <c r="K1486" s="3" t="s">
        <v>21</v>
      </c>
      <c r="L1486" s="3" t="s">
        <v>5939</v>
      </c>
      <c r="M1486" s="3" t="s">
        <v>5871</v>
      </c>
      <c r="N1486" s="6" t="str">
        <f>HYPERLINK("C:\Users\alexa\YandexDisk\Книги\Инфраструктура\Глобальные сети\Скляров_О_К_Волоконно_оптические_сети_и_системы_связи_Издательство.pdf","Скляров_О_К_Волоконно_оптические_сети_и_системы_связи_Издательство.pdf")</f>
        <v>Скляров_О_К_Волоконно_оптические_сети_и_системы_связи_Издательство.pdf</v>
      </c>
      <c r="O1486" s="3" t="s">
        <v>5940</v>
      </c>
    </row>
    <row r="1487" spans="1:15" ht="207" x14ac:dyDescent="0.3">
      <c r="A1487" s="4">
        <v>1486</v>
      </c>
      <c r="B1487" s="5" t="s">
        <v>5941</v>
      </c>
      <c r="C1487" s="5" t="s">
        <v>5942</v>
      </c>
      <c r="D1487" s="5" t="s">
        <v>186</v>
      </c>
      <c r="E1487" s="5" t="s">
        <v>5943</v>
      </c>
      <c r="F1487" s="5" t="s">
        <v>5867</v>
      </c>
      <c r="G1487" s="5" t="s">
        <v>5868</v>
      </c>
      <c r="H1487" s="5" t="s">
        <v>5869</v>
      </c>
      <c r="I1487" s="5" t="s">
        <v>20</v>
      </c>
      <c r="J1487" s="5">
        <v>35.17</v>
      </c>
      <c r="K1487" s="5" t="s">
        <v>21</v>
      </c>
      <c r="L1487" s="5" t="s">
        <v>5944</v>
      </c>
      <c r="M1487" s="5" t="s">
        <v>5871</v>
      </c>
      <c r="N1487" s="7" t="str">
        <f>HYPERLINK("C:\Users\alexa\YandexDisk\Книги\Инфраструктура\Глобальные сети\Учебник - Seti_peredachi_dannykh.pdf","Учебник - Seti_peredachi_dannykh.pdf")</f>
        <v>Учебник - Seti_peredachi_dannykh.pdf</v>
      </c>
      <c r="O1487" s="5" t="s">
        <v>5945</v>
      </c>
    </row>
    <row r="1488" spans="1:15" ht="207" x14ac:dyDescent="0.3">
      <c r="A1488" s="2">
        <v>1487</v>
      </c>
      <c r="B1488" s="3" t="s">
        <v>5946</v>
      </c>
      <c r="C1488" s="3" t="s">
        <v>5947</v>
      </c>
      <c r="D1488" s="3"/>
      <c r="E1488" s="3" t="s">
        <v>269</v>
      </c>
      <c r="F1488" s="3" t="s">
        <v>5948</v>
      </c>
      <c r="G1488" s="3" t="s">
        <v>5868</v>
      </c>
      <c r="H1488" s="3" t="s">
        <v>5949</v>
      </c>
      <c r="I1488" s="3" t="s">
        <v>20</v>
      </c>
      <c r="J1488" s="3">
        <v>11.44</v>
      </c>
      <c r="K1488" s="3" t="s">
        <v>21</v>
      </c>
      <c r="L1488" s="3" t="s">
        <v>5950</v>
      </c>
      <c r="M1488" s="3" t="s">
        <v>5951</v>
      </c>
      <c r="N1488" s="6" t="str">
        <f>HYPERLINK("C:\Users\alexa\YandexDisk\Книги\Инфраструктура\Инфраструктура как код\Infrastructure as Code Patterns and Practices.pdf","Infrastructure as Code Patterns and Practices.pdf")</f>
        <v>Infrastructure as Code Patterns and Practices.pdf</v>
      </c>
      <c r="O1488" s="3" t="s">
        <v>5952</v>
      </c>
    </row>
    <row r="1489" spans="1:15" ht="165.6" x14ac:dyDescent="0.3">
      <c r="A1489" s="4">
        <v>1488</v>
      </c>
      <c r="B1489" s="5" t="s">
        <v>5953</v>
      </c>
      <c r="C1489" s="5" t="s">
        <v>5947</v>
      </c>
      <c r="D1489" s="5" t="s">
        <v>71</v>
      </c>
      <c r="E1489" s="5" t="s">
        <v>536</v>
      </c>
      <c r="F1489" s="5" t="s">
        <v>5948</v>
      </c>
      <c r="G1489" s="5" t="s">
        <v>5868</v>
      </c>
      <c r="H1489" s="5" t="s">
        <v>5949</v>
      </c>
      <c r="I1489" s="5" t="s">
        <v>20</v>
      </c>
      <c r="J1489" s="5">
        <v>13.19</v>
      </c>
      <c r="K1489" s="5" t="s">
        <v>21</v>
      </c>
      <c r="L1489" s="5" t="s">
        <v>5954</v>
      </c>
      <c r="M1489" s="5" t="s">
        <v>5951</v>
      </c>
      <c r="N1489" s="7" t="str">
        <f>HYPERLINK("C:\Users\alexa\YandexDisk\Книги\Инфраструктура\Инфраструктура как код\Patterns and Practices for Infrastructure as Code V8  2022.pdf","Patterns and Practices for Infrastructure as Code V8  2022.pdf")</f>
        <v>Patterns and Practices for Infrastructure as Code V8  2022.pdf</v>
      </c>
      <c r="O1489" s="5" t="s">
        <v>5955</v>
      </c>
    </row>
    <row r="1490" spans="1:15" ht="207" x14ac:dyDescent="0.3">
      <c r="A1490" s="2">
        <v>1489</v>
      </c>
      <c r="B1490" s="3" t="s">
        <v>5956</v>
      </c>
      <c r="C1490" s="3" t="s">
        <v>5957</v>
      </c>
      <c r="D1490" s="3"/>
      <c r="E1490" s="3"/>
      <c r="F1490" s="3" t="s">
        <v>5948</v>
      </c>
      <c r="G1490" s="3" t="s">
        <v>5868</v>
      </c>
      <c r="H1490" s="3" t="s">
        <v>5949</v>
      </c>
      <c r="I1490" s="3" t="s">
        <v>20</v>
      </c>
      <c r="J1490" s="3">
        <v>1.04</v>
      </c>
      <c r="K1490" s="3" t="s">
        <v>21</v>
      </c>
      <c r="L1490" s="3" t="s">
        <v>5958</v>
      </c>
      <c r="M1490" s="3" t="s">
        <v>5951</v>
      </c>
      <c r="N1490" s="6" t="str">
        <f>HYPERLINK("C:\Users\alexa\YandexDisk\Книги\Инфраструктура\Инфраструктура как код\Terraform Cookbook.pdf","Terraform Cookbook.pdf")</f>
        <v>Terraform Cookbook.pdf</v>
      </c>
      <c r="O1490" s="3" t="s">
        <v>5959</v>
      </c>
    </row>
    <row r="1491" spans="1:15" ht="207" x14ac:dyDescent="0.3">
      <c r="A1491" s="4">
        <v>1490</v>
      </c>
      <c r="B1491" s="5" t="s">
        <v>5956</v>
      </c>
      <c r="C1491" s="5" t="s">
        <v>5957</v>
      </c>
      <c r="D1491" s="5" t="s">
        <v>600</v>
      </c>
      <c r="E1491" s="5" t="s">
        <v>515</v>
      </c>
      <c r="F1491" s="5" t="s">
        <v>5948</v>
      </c>
      <c r="G1491" s="5" t="s">
        <v>5868</v>
      </c>
      <c r="H1491" s="5" t="s">
        <v>5949</v>
      </c>
      <c r="I1491" s="5" t="s">
        <v>20</v>
      </c>
      <c r="J1491" s="5">
        <v>24.95</v>
      </c>
      <c r="K1491" s="5" t="s">
        <v>21</v>
      </c>
      <c r="L1491" s="5" t="s">
        <v>5960</v>
      </c>
      <c r="M1491" s="5" t="s">
        <v>5951</v>
      </c>
      <c r="N1491" s="7" t="str">
        <f>HYPERLINK("C:\Users\alexa\YandexDisk\Книги\Инфраструктура\Инфраструктура как код\Terraform.pdf","Terraform.pdf")</f>
        <v>Terraform.pdf</v>
      </c>
      <c r="O1491" s="5" t="s">
        <v>5961</v>
      </c>
    </row>
    <row r="1492" spans="1:15" ht="193.2" x14ac:dyDescent="0.3">
      <c r="A1492" s="2">
        <v>1491</v>
      </c>
      <c r="B1492" s="3" t="s">
        <v>5962</v>
      </c>
      <c r="C1492" s="3" t="s">
        <v>5963</v>
      </c>
      <c r="D1492" s="3" t="s">
        <v>59</v>
      </c>
      <c r="E1492" s="3" t="s">
        <v>18</v>
      </c>
      <c r="F1492" s="3" t="s">
        <v>5948</v>
      </c>
      <c r="G1492" s="3" t="s">
        <v>5868</v>
      </c>
      <c r="H1492" s="3" t="s">
        <v>5949</v>
      </c>
      <c r="I1492" s="3" t="s">
        <v>20</v>
      </c>
      <c r="J1492" s="3">
        <v>5.8</v>
      </c>
      <c r="K1492" s="3" t="s">
        <v>21</v>
      </c>
      <c r="L1492" s="3" t="s">
        <v>5964</v>
      </c>
      <c r="M1492" s="3" t="s">
        <v>5951</v>
      </c>
      <c r="N1492" s="6" t="str">
        <f>HYPERLINK("C:\Users\alexa\YandexDisk\Книги\Инфраструктура\Инфраструктура как код\Terraform_инфраструктура_на_уровне_кода.pdf","Terraform_инфраструктура_на_уровне_кода.pdf")</f>
        <v>Terraform_инфраструктура_на_уровне_кода.pdf</v>
      </c>
      <c r="O1492" s="3" t="s">
        <v>5965</v>
      </c>
    </row>
    <row r="1493" spans="1:15" ht="193.2" x14ac:dyDescent="0.3">
      <c r="A1493" s="4">
        <v>1492</v>
      </c>
      <c r="B1493" s="5" t="s">
        <v>5949</v>
      </c>
      <c r="C1493" s="5" t="s">
        <v>5966</v>
      </c>
      <c r="D1493" s="5" t="s">
        <v>335</v>
      </c>
      <c r="E1493" s="5" t="s">
        <v>102</v>
      </c>
      <c r="F1493" s="5" t="s">
        <v>5948</v>
      </c>
      <c r="G1493" s="5" t="s">
        <v>5868</v>
      </c>
      <c r="H1493" s="5" t="s">
        <v>5949</v>
      </c>
      <c r="I1493" s="5" t="s">
        <v>20</v>
      </c>
      <c r="J1493" s="5">
        <v>17.64</v>
      </c>
      <c r="K1493" s="5" t="s">
        <v>21</v>
      </c>
      <c r="L1493" s="5" t="s">
        <v>5967</v>
      </c>
      <c r="M1493" s="5" t="s">
        <v>5951</v>
      </c>
      <c r="N1493" s="7" t="str">
        <f>HYPERLINK("C:\Users\alexa\YandexDisk\Книги\Инфраструктура\Инфраструктура как код\Инфраструктура как код.pdf","Инфраструктура как код.pdf")</f>
        <v>Инфраструктура как код.pdf</v>
      </c>
      <c r="O1493" s="5" t="s">
        <v>5968</v>
      </c>
    </row>
    <row r="1494" spans="1:15" ht="165.6" x14ac:dyDescent="0.3">
      <c r="A1494" s="2">
        <v>1493</v>
      </c>
      <c r="B1494" s="3" t="s">
        <v>5969</v>
      </c>
      <c r="C1494" s="3" t="s">
        <v>5970</v>
      </c>
      <c r="D1494" s="3" t="s">
        <v>32</v>
      </c>
      <c r="E1494" s="3"/>
      <c r="F1494" s="3" t="s">
        <v>5971</v>
      </c>
      <c r="G1494" s="3" t="s">
        <v>5868</v>
      </c>
      <c r="H1494" s="3" t="s">
        <v>5918</v>
      </c>
      <c r="I1494" s="3" t="s">
        <v>20</v>
      </c>
      <c r="J1494" s="3">
        <v>8.4499999999999993</v>
      </c>
      <c r="K1494" s="3" t="s">
        <v>21</v>
      </c>
      <c r="L1494" s="3" t="s">
        <v>5972</v>
      </c>
      <c r="M1494" s="3" t="s">
        <v>5973</v>
      </c>
      <c r="N1494" s="6" t="str">
        <f>HYPERLINK("C:\Users\alexa\YandexDisk\Книги\Инфраструктура\Компьютерные сети\Администрирование_сетей_Cisco 2018.pdf","Администрирование_сетей_Cisco 2018.pdf")</f>
        <v>Администрирование_сетей_Cisco 2018.pdf</v>
      </c>
      <c r="O1494" s="3" t="s">
        <v>5974</v>
      </c>
    </row>
    <row r="1495" spans="1:15" ht="207" x14ac:dyDescent="0.3">
      <c r="A1495" s="4">
        <v>1494</v>
      </c>
      <c r="B1495" s="5" t="s">
        <v>5975</v>
      </c>
      <c r="C1495" s="5" t="s">
        <v>5976</v>
      </c>
      <c r="D1495" s="5" t="s">
        <v>77</v>
      </c>
      <c r="E1495" s="5" t="s">
        <v>72</v>
      </c>
      <c r="F1495" s="5" t="s">
        <v>5971</v>
      </c>
      <c r="G1495" s="5" t="s">
        <v>5868</v>
      </c>
      <c r="H1495" s="5" t="s">
        <v>5918</v>
      </c>
      <c r="I1495" s="5" t="s">
        <v>20</v>
      </c>
      <c r="J1495" s="5">
        <v>76.88</v>
      </c>
      <c r="K1495" s="5" t="s">
        <v>21</v>
      </c>
      <c r="L1495" s="5" t="s">
        <v>5977</v>
      </c>
      <c r="M1495" s="5" t="s">
        <v>5973</v>
      </c>
      <c r="N1495" s="7" t="str">
        <f>HYPERLINK("C:\Users\alexa\YandexDisk\Книги\Инфраструктура\Компьютерные сети\Анализ_пакетов_Практическое_руководство.pdf","Анализ_пакетов_Практическое_руководство.pdf")</f>
        <v>Анализ_пакетов_Практическое_руководство.pdf</v>
      </c>
      <c r="O1495" s="5" t="s">
        <v>5978</v>
      </c>
    </row>
    <row r="1496" spans="1:15" ht="179.4" x14ac:dyDescent="0.3">
      <c r="A1496" s="2">
        <v>1495</v>
      </c>
      <c r="B1496" s="3" t="s">
        <v>5979</v>
      </c>
      <c r="C1496" s="3" t="s">
        <v>5980</v>
      </c>
      <c r="D1496" s="3" t="s">
        <v>59</v>
      </c>
      <c r="E1496" s="3" t="s">
        <v>1421</v>
      </c>
      <c r="F1496" s="3" t="s">
        <v>5971</v>
      </c>
      <c r="G1496" s="3" t="s">
        <v>5868</v>
      </c>
      <c r="H1496" s="3" t="s">
        <v>5918</v>
      </c>
      <c r="I1496" s="3" t="s">
        <v>20</v>
      </c>
      <c r="J1496" s="3">
        <v>0.91</v>
      </c>
      <c r="K1496" s="3" t="s">
        <v>21</v>
      </c>
      <c r="L1496" s="3" t="s">
        <v>5981</v>
      </c>
      <c r="M1496" s="3" t="s">
        <v>5973</v>
      </c>
      <c r="N1496" s="6" t="str">
        <f>HYPERLINK("C:\Users\alexa\YandexDisk\Книги\Инфраструктура\Компьютерные сети\Использование межсетевого экрана NetFilter.pdf","Использование межсетевого экрана NetFilter.pdf")</f>
        <v>Использование межсетевого экрана NetFilter.pdf</v>
      </c>
      <c r="O1496" s="3" t="s">
        <v>5982</v>
      </c>
    </row>
    <row r="1497" spans="1:15" ht="179.4" x14ac:dyDescent="0.3">
      <c r="A1497" s="4">
        <v>1496</v>
      </c>
      <c r="B1497" s="5" t="s">
        <v>5918</v>
      </c>
      <c r="C1497" s="5" t="s">
        <v>5983</v>
      </c>
      <c r="D1497" s="5" t="s">
        <v>77</v>
      </c>
      <c r="E1497" s="5" t="s">
        <v>4406</v>
      </c>
      <c r="F1497" s="5" t="s">
        <v>5971</v>
      </c>
      <c r="G1497" s="5" t="s">
        <v>5868</v>
      </c>
      <c r="H1497" s="5" t="s">
        <v>5918</v>
      </c>
      <c r="I1497" s="5" t="s">
        <v>20</v>
      </c>
      <c r="J1497" s="5">
        <v>2.6</v>
      </c>
      <c r="K1497" s="5" t="s">
        <v>21</v>
      </c>
      <c r="L1497" s="5" t="s">
        <v>5984</v>
      </c>
      <c r="M1497" s="5" t="s">
        <v>5973</v>
      </c>
      <c r="N1497" s="7" t="str">
        <f>HYPERLINK("C:\Users\alexa\YandexDisk\Книги\Инфраструктура\Компьютерные сети\Компьютерные сети-2019.pdf","Компьютерные сети-2019.pdf")</f>
        <v>Компьютерные сети-2019.pdf</v>
      </c>
      <c r="O1497" s="5" t="s">
        <v>5985</v>
      </c>
    </row>
    <row r="1498" spans="1:15" ht="165.6" x14ac:dyDescent="0.3">
      <c r="A1498" s="2">
        <v>1497</v>
      </c>
      <c r="B1498" s="3" t="s">
        <v>5925</v>
      </c>
      <c r="C1498" s="3" t="s">
        <v>5878</v>
      </c>
      <c r="D1498" s="3" t="s">
        <v>476</v>
      </c>
      <c r="E1498" s="3" t="s">
        <v>3945</v>
      </c>
      <c r="F1498" s="3" t="s">
        <v>5971</v>
      </c>
      <c r="G1498" s="3" t="s">
        <v>5868</v>
      </c>
      <c r="H1498" s="3" t="s">
        <v>5918</v>
      </c>
      <c r="I1498" s="3" t="s">
        <v>20</v>
      </c>
      <c r="J1498" s="3">
        <v>8.77</v>
      </c>
      <c r="K1498" s="3" t="s">
        <v>21</v>
      </c>
      <c r="L1498" s="3" t="s">
        <v>5986</v>
      </c>
      <c r="M1498" s="3" t="s">
        <v>5973</v>
      </c>
      <c r="N1498" s="6" t="str">
        <f>HYPERLINK("C:\Users\alexa\YandexDisk\Книги\Инфраструктура\Компьютерные сети\Компьютерные сети. Нисходящий подход Куроуз Джеймс.pdf","Компьютерные сети. Нисходящий подход Куроуз Джеймс.pdf")</f>
        <v>Компьютерные сети. Нисходящий подход Куроуз Джеймс.pdf</v>
      </c>
      <c r="O1498" s="3" t="s">
        <v>5987</v>
      </c>
    </row>
    <row r="1499" spans="1:15" ht="193.2" x14ac:dyDescent="0.3">
      <c r="A1499" s="4">
        <v>1498</v>
      </c>
      <c r="B1499" s="5" t="s">
        <v>5896</v>
      </c>
      <c r="C1499" s="5" t="s">
        <v>5988</v>
      </c>
      <c r="D1499" s="5" t="s">
        <v>59</v>
      </c>
      <c r="E1499" s="5" t="s">
        <v>18</v>
      </c>
      <c r="F1499" s="5" t="s">
        <v>5971</v>
      </c>
      <c r="G1499" s="5" t="s">
        <v>5868</v>
      </c>
      <c r="H1499" s="5" t="s">
        <v>5918</v>
      </c>
      <c r="I1499" s="5" t="s">
        <v>20</v>
      </c>
      <c r="J1499" s="5">
        <v>94.73</v>
      </c>
      <c r="K1499" s="5" t="s">
        <v>21</v>
      </c>
      <c r="L1499" s="5" t="s">
        <v>5989</v>
      </c>
      <c r="M1499" s="5" t="s">
        <v>5973</v>
      </c>
      <c r="N1499" s="7" t="str">
        <f>HYPERLINK("C:\Users\alexa\YandexDisk\Книги\Инфраструктура\Компьютерные сети\Компьютерные сети.pdf","Компьютерные сети.pdf")</f>
        <v>Компьютерные сети.pdf</v>
      </c>
      <c r="O1499" s="5" t="s">
        <v>5990</v>
      </c>
    </row>
    <row r="1500" spans="1:15" ht="165.6" x14ac:dyDescent="0.3">
      <c r="A1500" s="2">
        <v>1499</v>
      </c>
      <c r="B1500" s="3" t="s">
        <v>5991</v>
      </c>
      <c r="C1500" s="3" t="s">
        <v>5992</v>
      </c>
      <c r="D1500" s="3" t="s">
        <v>2624</v>
      </c>
      <c r="E1500" s="3" t="s">
        <v>18</v>
      </c>
      <c r="F1500" s="3" t="s">
        <v>5971</v>
      </c>
      <c r="G1500" s="3" t="s">
        <v>5868</v>
      </c>
      <c r="H1500" s="3" t="s">
        <v>5918</v>
      </c>
      <c r="I1500" s="3" t="s">
        <v>20</v>
      </c>
      <c r="J1500" s="3">
        <v>20.09</v>
      </c>
      <c r="K1500" s="3" t="s">
        <v>21</v>
      </c>
      <c r="L1500" s="3" t="s">
        <v>5993</v>
      </c>
      <c r="M1500" s="3" t="s">
        <v>5973</v>
      </c>
      <c r="N1500" s="6" t="str">
        <f>HYPERLINK("C:\Users\alexa\YandexDisk\Книги\Инфраструктура\Компьютерные сети\Олифер Osnovy_kompyuternykh_setey.pdf","Олифер Osnovy_kompyuternykh_setey.pdf")</f>
        <v>Олифер Osnovy_kompyuternykh_setey.pdf</v>
      </c>
      <c r="O1500" s="3" t="s">
        <v>5994</v>
      </c>
    </row>
    <row r="1501" spans="1:15" ht="165.6" x14ac:dyDescent="0.3">
      <c r="A1501" s="4">
        <v>1500</v>
      </c>
      <c r="B1501" s="5" t="s">
        <v>5995</v>
      </c>
      <c r="C1501" s="5" t="s">
        <v>5996</v>
      </c>
      <c r="D1501" s="5" t="s">
        <v>17</v>
      </c>
      <c r="E1501" s="5" t="s">
        <v>148</v>
      </c>
      <c r="F1501" s="5" t="s">
        <v>5971</v>
      </c>
      <c r="G1501" s="5" t="s">
        <v>5868</v>
      </c>
      <c r="H1501" s="5" t="s">
        <v>5918</v>
      </c>
      <c r="I1501" s="5" t="s">
        <v>20</v>
      </c>
      <c r="J1501" s="5">
        <v>2.12</v>
      </c>
      <c r="K1501" s="5" t="s">
        <v>21</v>
      </c>
      <c r="L1501" s="5" t="s">
        <v>5997</v>
      </c>
      <c r="M1501" s="5" t="s">
        <v>5973</v>
      </c>
      <c r="N1501" s="7" t="str">
        <f>HYPERLINK("C:\Users\alexa\YandexDisk\Книги\Инфраструктура\Компьютерные сети\Основы локальных сетей.pdf","Основы локальных сетей.pdf")</f>
        <v>Основы локальных сетей.pdf</v>
      </c>
      <c r="O1501" s="5" t="s">
        <v>5998</v>
      </c>
    </row>
    <row r="1502" spans="1:15" ht="165.6" x14ac:dyDescent="0.3">
      <c r="A1502" s="2">
        <v>1501</v>
      </c>
      <c r="B1502" s="3" t="s">
        <v>5999</v>
      </c>
      <c r="C1502" s="3" t="s">
        <v>6000</v>
      </c>
      <c r="D1502" s="3" t="s">
        <v>65</v>
      </c>
      <c r="E1502" s="3" t="s">
        <v>18</v>
      </c>
      <c r="F1502" s="3" t="s">
        <v>5971</v>
      </c>
      <c r="G1502" s="3" t="s">
        <v>5868</v>
      </c>
      <c r="H1502" s="3" t="s">
        <v>5918</v>
      </c>
      <c r="I1502" s="3" t="s">
        <v>20</v>
      </c>
      <c r="J1502" s="3">
        <v>22.97</v>
      </c>
      <c r="K1502" s="3" t="s">
        <v>21</v>
      </c>
      <c r="L1502" s="3" t="s">
        <v>6001</v>
      </c>
      <c r="M1502" s="3" t="s">
        <v>5973</v>
      </c>
      <c r="N1502" s="6" t="str">
        <f>HYPERLINK("C:\Users\alexa\YandexDisk\Книги\Инфраструктура\Компьютерные сети\Таненбаум Kompyuternye_seti.pdf","Таненбаум Kompyuternye_seti.pdf")</f>
        <v>Таненбаум Kompyuternye_seti.pdf</v>
      </c>
      <c r="O1502" s="3" t="s">
        <v>6002</v>
      </c>
    </row>
    <row r="1503" spans="1:15" ht="151.80000000000001" x14ac:dyDescent="0.3">
      <c r="A1503" s="4">
        <v>1502</v>
      </c>
      <c r="B1503" s="5" t="s">
        <v>6003</v>
      </c>
      <c r="C1503" s="5" t="s">
        <v>6004</v>
      </c>
      <c r="D1503" s="5"/>
      <c r="E1503" s="5" t="s">
        <v>102</v>
      </c>
      <c r="F1503" s="5" t="s">
        <v>6005</v>
      </c>
      <c r="G1503" s="5" t="s">
        <v>5868</v>
      </c>
      <c r="H1503" s="5" t="s">
        <v>199</v>
      </c>
      <c r="I1503" s="5" t="s">
        <v>20</v>
      </c>
      <c r="J1503" s="5">
        <v>9.24</v>
      </c>
      <c r="K1503" s="5" t="s">
        <v>21</v>
      </c>
      <c r="L1503" s="5" t="s">
        <v>6006</v>
      </c>
      <c r="M1503" s="5" t="s">
        <v>6007</v>
      </c>
      <c r="N1503" s="7" t="str">
        <f>HYPERLINK("C:\Users\alexa\YandexDisk\Книги\Инфраструктура\Общие вопросы\NGINX Книга рецептов.pdf","NGINX Книга рецептов.pdf")</f>
        <v>NGINX Книга рецептов.pdf</v>
      </c>
      <c r="O1503" s="5" t="s">
        <v>6008</v>
      </c>
    </row>
    <row r="1504" spans="1:15" ht="165.6" x14ac:dyDescent="0.3">
      <c r="A1504" s="2">
        <v>1503</v>
      </c>
      <c r="B1504" s="3" t="s">
        <v>6009</v>
      </c>
      <c r="C1504" s="3" t="s">
        <v>6010</v>
      </c>
      <c r="D1504" s="3" t="s">
        <v>114</v>
      </c>
      <c r="E1504" s="3" t="s">
        <v>402</v>
      </c>
      <c r="F1504" s="3" t="s">
        <v>6005</v>
      </c>
      <c r="G1504" s="3" t="s">
        <v>5868</v>
      </c>
      <c r="H1504" s="3" t="s">
        <v>199</v>
      </c>
      <c r="I1504" s="3" t="s">
        <v>20</v>
      </c>
      <c r="J1504" s="3">
        <v>14.76</v>
      </c>
      <c r="K1504" s="3" t="s">
        <v>21</v>
      </c>
      <c r="L1504" s="3" t="s">
        <v>6011</v>
      </c>
      <c r="M1504" s="3" t="s">
        <v>6007</v>
      </c>
      <c r="N1504" s="6" t="str">
        <f>HYPERLINK("C:\Users\alexa\YandexDisk\Книги\Инфраструктура\Общие вопросы\Кенин Самоучитель сис админа 2012.pdf","Кенин Самоучитель сис админа 2012.pdf")</f>
        <v>Кенин Самоучитель сис админа 2012.pdf</v>
      </c>
      <c r="O1504" s="3" t="s">
        <v>6012</v>
      </c>
    </row>
    <row r="1505" spans="1:15" ht="151.80000000000001" x14ac:dyDescent="0.3">
      <c r="A1505" s="4">
        <v>1504</v>
      </c>
      <c r="B1505" s="5" t="s">
        <v>6013</v>
      </c>
      <c r="C1505" s="5" t="s">
        <v>6014</v>
      </c>
      <c r="D1505" s="5"/>
      <c r="E1505" s="5" t="s">
        <v>86</v>
      </c>
      <c r="F1505" s="5" t="s">
        <v>6015</v>
      </c>
      <c r="G1505" s="5" t="s">
        <v>6015</v>
      </c>
      <c r="H1505" s="5"/>
      <c r="I1505" s="5" t="s">
        <v>20</v>
      </c>
      <c r="J1505" s="5">
        <v>4.51</v>
      </c>
      <c r="K1505" s="5" t="s">
        <v>21</v>
      </c>
      <c r="L1505" s="5" t="s">
        <v>6016</v>
      </c>
      <c r="M1505" s="5" t="s">
        <v>6017</v>
      </c>
      <c r="N1505" s="7" t="str">
        <f>HYPERLINK("C:\Users\alexa\YandexDisk\Книги\Квантовые вычисления\Quantum computing fo... by Bernhardt  Chris.pdf","Quantum computing fo... by Bernhardt  Chris.pdf")</f>
        <v>Quantum computing fo... by Bernhardt  Chris.pdf</v>
      </c>
      <c r="O1505" s="5" t="s">
        <v>6018</v>
      </c>
    </row>
    <row r="1506" spans="1:15" ht="207" x14ac:dyDescent="0.3">
      <c r="A1506" s="2">
        <v>1505</v>
      </c>
      <c r="B1506" s="3" t="s">
        <v>6019</v>
      </c>
      <c r="C1506" s="3" t="s">
        <v>6020</v>
      </c>
      <c r="D1506" s="3"/>
      <c r="E1506" s="3"/>
      <c r="F1506" s="3" t="s">
        <v>6015</v>
      </c>
      <c r="G1506" s="3" t="s">
        <v>6015</v>
      </c>
      <c r="H1506" s="3"/>
      <c r="I1506" s="3" t="s">
        <v>20</v>
      </c>
      <c r="J1506" s="3">
        <v>24.51</v>
      </c>
      <c r="K1506" s="3" t="s">
        <v>21</v>
      </c>
      <c r="L1506" s="3" t="s">
        <v>6021</v>
      </c>
      <c r="M1506" s="3" t="s">
        <v>6017</v>
      </c>
      <c r="N1506" s="6" t="str">
        <f>HYPERLINK("C:\Users\alexa\YandexDisk\Книги\Квантовые вычисления\Quantum Computing From Concepts to Code.pdf","Quantum Computing From Concepts to Code.pdf")</f>
        <v>Quantum Computing From Concepts to Code.pdf</v>
      </c>
      <c r="O1506" s="3" t="s">
        <v>6022</v>
      </c>
    </row>
    <row r="1507" spans="1:15" ht="151.80000000000001" x14ac:dyDescent="0.3">
      <c r="A1507" s="4">
        <v>1506</v>
      </c>
      <c r="B1507" s="5" t="s">
        <v>6013</v>
      </c>
      <c r="C1507" s="5" t="s">
        <v>6014</v>
      </c>
      <c r="D1507" s="5" t="s">
        <v>59</v>
      </c>
      <c r="E1507" s="5" t="s">
        <v>86</v>
      </c>
      <c r="F1507" s="5" t="s">
        <v>6015</v>
      </c>
      <c r="G1507" s="5" t="s">
        <v>6015</v>
      </c>
      <c r="H1507" s="5"/>
      <c r="I1507" s="5" t="s">
        <v>20</v>
      </c>
      <c r="J1507" s="5">
        <v>7.41</v>
      </c>
      <c r="K1507" s="5" t="s">
        <v>21</v>
      </c>
      <c r="L1507" s="5" t="s">
        <v>6023</v>
      </c>
      <c r="M1507" s="5" t="s">
        <v>6017</v>
      </c>
      <c r="N1507" s="7" t="str">
        <f>HYPERLINK("C:\Users\alexa\YandexDisk\Книги\Квантовые вычисления\Бернхард Квантовые вычисления для настоящих ИТ-ов 2020.pdf","Бернхард Квантовые вычисления для настоящих ИТ-ов 2020.pdf")</f>
        <v>Бернхард Квантовые вычисления для настоящих ИТ-ов 2020.pdf</v>
      </c>
      <c r="O1507" s="5" t="s">
        <v>6024</v>
      </c>
    </row>
    <row r="1508" spans="1:15" ht="179.4" x14ac:dyDescent="0.3">
      <c r="A1508" s="2">
        <v>1507</v>
      </c>
      <c r="B1508" s="3" t="s">
        <v>6025</v>
      </c>
      <c r="C1508" s="3" t="s">
        <v>6026</v>
      </c>
      <c r="D1508" s="3" t="s">
        <v>17</v>
      </c>
      <c r="E1508" s="3" t="s">
        <v>102</v>
      </c>
      <c r="F1508" s="3" t="s">
        <v>6015</v>
      </c>
      <c r="G1508" s="3" t="s">
        <v>6015</v>
      </c>
      <c r="H1508" s="3"/>
      <c r="I1508" s="3" t="s">
        <v>20</v>
      </c>
      <c r="J1508" s="3">
        <v>16.48</v>
      </c>
      <c r="K1508" s="3" t="s">
        <v>21</v>
      </c>
      <c r="L1508" s="3" t="s">
        <v>6027</v>
      </c>
      <c r="M1508" s="3" t="s">
        <v>6017</v>
      </c>
      <c r="N1508" s="6" t="str">
        <f>HYPERLINK("C:\Users\alexa\YandexDisk\Книги\Квантовые вычисления\Изучаем_квантовые_вычисления_на_Python_и_Q#.pdf","Изучаем_квантовые_вычисления_на_Python_и_Q#.pdf")</f>
        <v>Изучаем_квантовые_вычисления_на_Python_и_Q#.pdf</v>
      </c>
      <c r="O1508" s="3" t="s">
        <v>6028</v>
      </c>
    </row>
    <row r="1509" spans="1:15" ht="179.4" x14ac:dyDescent="0.3">
      <c r="A1509" s="4">
        <v>1508</v>
      </c>
      <c r="B1509" s="5" t="s">
        <v>6029</v>
      </c>
      <c r="C1509" s="5" t="s">
        <v>6030</v>
      </c>
      <c r="D1509" s="5"/>
      <c r="E1509" s="5" t="s">
        <v>102</v>
      </c>
      <c r="F1509" s="5" t="s">
        <v>6015</v>
      </c>
      <c r="G1509" s="5" t="s">
        <v>6015</v>
      </c>
      <c r="H1509" s="5"/>
      <c r="I1509" s="5" t="s">
        <v>20</v>
      </c>
      <c r="J1509" s="5">
        <v>10.64</v>
      </c>
      <c r="K1509" s="5" t="s">
        <v>21</v>
      </c>
      <c r="L1509" s="5" t="s">
        <v>6031</v>
      </c>
      <c r="M1509" s="5" t="s">
        <v>6017</v>
      </c>
      <c r="N1509" s="7" t="str">
        <f>HYPERLINK("C:\Users\alexa\YandexDisk\Книги\Квантовые вычисления\Квантовые вычисления.pdf","Квантовые вычисления.pdf")</f>
        <v>Квантовые вычисления.pdf</v>
      </c>
      <c r="O1509" s="5" t="s">
        <v>6032</v>
      </c>
    </row>
    <row r="1510" spans="1:15" ht="151.80000000000001" x14ac:dyDescent="0.3">
      <c r="A1510" s="2">
        <v>1509</v>
      </c>
      <c r="B1510" s="3" t="s">
        <v>6033</v>
      </c>
      <c r="C1510" s="3" t="s">
        <v>6034</v>
      </c>
      <c r="D1510" s="3" t="s">
        <v>59</v>
      </c>
      <c r="E1510" s="3" t="s">
        <v>18</v>
      </c>
      <c r="F1510" s="3" t="s">
        <v>6015</v>
      </c>
      <c r="G1510" s="3" t="s">
        <v>6015</v>
      </c>
      <c r="H1510" s="3"/>
      <c r="I1510" s="3" t="s">
        <v>20</v>
      </c>
      <c r="J1510" s="3">
        <v>7.76</v>
      </c>
      <c r="K1510" s="3" t="s">
        <v>21</v>
      </c>
      <c r="L1510" s="3" t="s">
        <v>6035</v>
      </c>
      <c r="M1510" s="3" t="s">
        <v>6017</v>
      </c>
      <c r="N1510" s="6" t="str">
        <f>HYPERLINK("C:\Users\alexa\YandexDisk\Книги\Квантовые вычисления\Квантовые_вычисления_для_настоящих_айтишников.pdf","Квантовые_вычисления_для_настоящих_айтишников.pdf")</f>
        <v>Квантовые_вычисления_для_настоящих_айтишников.pdf</v>
      </c>
      <c r="O1510" s="3" t="s">
        <v>6036</v>
      </c>
    </row>
    <row r="1511" spans="1:15" ht="165.6" x14ac:dyDescent="0.3">
      <c r="A1511" s="4">
        <v>1510</v>
      </c>
      <c r="B1511" s="5" t="s">
        <v>6037</v>
      </c>
      <c r="C1511" s="5" t="s">
        <v>6038</v>
      </c>
      <c r="D1511" s="5" t="s">
        <v>17</v>
      </c>
      <c r="E1511" s="5" t="s">
        <v>18</v>
      </c>
      <c r="F1511" s="5" t="s">
        <v>6015</v>
      </c>
      <c r="G1511" s="5" t="s">
        <v>6015</v>
      </c>
      <c r="H1511" s="5"/>
      <c r="I1511" s="5" t="s">
        <v>20</v>
      </c>
      <c r="J1511" s="5">
        <v>13.76</v>
      </c>
      <c r="K1511" s="5" t="s">
        <v>21</v>
      </c>
      <c r="L1511" s="5" t="s">
        <v>6039</v>
      </c>
      <c r="M1511" s="5" t="s">
        <v>6017</v>
      </c>
      <c r="N1511" s="7" t="str">
        <f>HYPERLINK("C:\Users\alexa\YandexDisk\Книги\Квантовые вычисления\Программирование_квантовых_компьютеров.pdf","Программирование_квантовых_компьютеров.pdf")</f>
        <v>Программирование_квантовых_компьютеров.pdf</v>
      </c>
      <c r="O1511" s="5" t="s">
        <v>6040</v>
      </c>
    </row>
    <row r="1512" spans="1:15" ht="220.8" x14ac:dyDescent="0.3">
      <c r="A1512" s="2">
        <v>1511</v>
      </c>
      <c r="B1512" s="3" t="s">
        <v>6041</v>
      </c>
      <c r="C1512" s="3" t="s">
        <v>6042</v>
      </c>
      <c r="D1512" s="3" t="s">
        <v>59</v>
      </c>
      <c r="E1512" s="3" t="s">
        <v>18</v>
      </c>
      <c r="F1512" s="3" t="s">
        <v>6015</v>
      </c>
      <c r="G1512" s="3" t="s">
        <v>6015</v>
      </c>
      <c r="H1512" s="3"/>
      <c r="I1512" s="3" t="s">
        <v>20</v>
      </c>
      <c r="J1512" s="3">
        <v>7.12</v>
      </c>
      <c r="K1512" s="3" t="s">
        <v>21</v>
      </c>
      <c r="L1512" s="3" t="s">
        <v>6043</v>
      </c>
      <c r="M1512" s="3" t="s">
        <v>6017</v>
      </c>
      <c r="N1512" s="6" t="str">
        <f>HYPERLINK("C:\Users\alexa\YandexDisk\Книги\Квантовые вычисления\Разработка_с_использованием_квантовых_компьютеров.pdf","Разработка_с_использованием_квантовых_компьютеров.pdf")</f>
        <v>Разработка_с_использованием_квантовых_компьютеров.pdf</v>
      </c>
      <c r="O1512" s="3" t="s">
        <v>6044</v>
      </c>
    </row>
    <row r="1513" spans="1:15" ht="151.80000000000001" x14ac:dyDescent="0.3">
      <c r="A1513" s="4">
        <v>1512</v>
      </c>
      <c r="B1513" s="5" t="s">
        <v>6045</v>
      </c>
      <c r="C1513" s="5" t="s">
        <v>6046</v>
      </c>
      <c r="D1513" s="5" t="s">
        <v>77</v>
      </c>
      <c r="E1513" s="5" t="s">
        <v>6047</v>
      </c>
      <c r="F1513" s="5" t="s">
        <v>6015</v>
      </c>
      <c r="G1513" s="5" t="s">
        <v>6015</v>
      </c>
      <c r="H1513" s="5"/>
      <c r="I1513" s="5" t="s">
        <v>20</v>
      </c>
      <c r="J1513" s="5">
        <v>1.36</v>
      </c>
      <c r="K1513" s="5" t="s">
        <v>21</v>
      </c>
      <c r="L1513" s="5" t="s">
        <v>6048</v>
      </c>
      <c r="M1513" s="5" t="s">
        <v>6017</v>
      </c>
      <c r="N1513" s="7" t="str">
        <f>HYPERLINK("C:\Users\alexa\YandexDisk\Книги\Квантовые вычисления\Сысоев_Введение_в_квантовые_вычисления_Квантовые_алгоритмы_СПбГУ.pdf","Сысоев_Введение_в_квантовые_вычисления_Квантовые_алгоритмы_СПбГУ.pdf")</f>
        <v>Сысоев_Введение_в_квантовые_вычисления_Квантовые_алгоритмы_СПбГУ.pdf</v>
      </c>
      <c r="O1513" s="5" t="s">
        <v>6049</v>
      </c>
    </row>
    <row r="1514" spans="1:15" ht="151.80000000000001" x14ac:dyDescent="0.3">
      <c r="A1514" s="2">
        <v>1513</v>
      </c>
      <c r="B1514" s="3" t="s">
        <v>6050</v>
      </c>
      <c r="C1514" s="3" t="s">
        <v>6051</v>
      </c>
      <c r="D1514" s="3" t="s">
        <v>71</v>
      </c>
      <c r="E1514" s="3" t="s">
        <v>18</v>
      </c>
      <c r="F1514" s="3" t="s">
        <v>6015</v>
      </c>
      <c r="G1514" s="3" t="s">
        <v>6015</v>
      </c>
      <c r="H1514" s="3"/>
      <c r="I1514" s="3" t="s">
        <v>20</v>
      </c>
      <c r="J1514" s="3">
        <v>15.12</v>
      </c>
      <c r="K1514" s="3" t="s">
        <v>21</v>
      </c>
      <c r="L1514" s="3" t="s">
        <v>6052</v>
      </c>
      <c r="M1514" s="3" t="s">
        <v>6017</v>
      </c>
      <c r="N1514" s="6" t="str">
        <f>HYPERLINK("C:\Users\alexa\YandexDisk\Книги\Квантовые вычисления\Танец_с_кубитами_Как_на_самом_деле_работают_квантовые_вычисления.pdf","Танец_с_кубитами_Как_на_самом_деле_работают_квантовые_вычисления.pdf")</f>
        <v>Танец_с_кубитами_Как_на_самом_деле_работают_квантовые_вычисления.pdf</v>
      </c>
      <c r="O1514" s="3" t="s">
        <v>6053</v>
      </c>
    </row>
    <row r="1515" spans="1:15" ht="207" x14ac:dyDescent="0.3">
      <c r="A1515" s="4">
        <v>1514</v>
      </c>
      <c r="B1515" s="5" t="s">
        <v>6054</v>
      </c>
      <c r="C1515" s="5" t="s">
        <v>6055</v>
      </c>
      <c r="D1515" s="5"/>
      <c r="E1515" s="5"/>
      <c r="F1515" s="5" t="s">
        <v>6056</v>
      </c>
      <c r="G1515" s="5" t="s">
        <v>6056</v>
      </c>
      <c r="H1515" s="5"/>
      <c r="I1515" s="5" t="s">
        <v>280</v>
      </c>
      <c r="J1515" s="5">
        <v>23.18</v>
      </c>
      <c r="K1515" s="5" t="s">
        <v>21</v>
      </c>
      <c r="L1515" s="5" t="s">
        <v>6057</v>
      </c>
      <c r="M1515" s="5" t="s">
        <v>6058</v>
      </c>
      <c r="N1515" s="7" t="str">
        <f>HYPERLINK("C:\Users\alexa\YandexDisk\Книги\Компьютерная графика\Cameron_Coward_A_Beginner’s_Guide_to_3D_Modeling_A_Guide_to_Autodesk.epub","Cameron_Coward_A_Beginner’s_Guide_to_3D_Modeling_A_Guide_to_Autodesk.epub")</f>
        <v>Cameron_Coward_A_Beginner’s_Guide_to_3D_Modeling_A_Guide_to_Autodesk.epub</v>
      </c>
      <c r="O1515" s="5" t="s">
        <v>6059</v>
      </c>
    </row>
    <row r="1516" spans="1:15" ht="165.6" x14ac:dyDescent="0.3">
      <c r="A1516" s="2">
        <v>1515</v>
      </c>
      <c r="B1516" s="3" t="s">
        <v>6060</v>
      </c>
      <c r="C1516" s="3" t="s">
        <v>6061</v>
      </c>
      <c r="D1516" s="3"/>
      <c r="E1516" s="3"/>
      <c r="F1516" s="3" t="s">
        <v>6056</v>
      </c>
      <c r="G1516" s="3" t="s">
        <v>6056</v>
      </c>
      <c r="H1516" s="3"/>
      <c r="I1516" s="3" t="s">
        <v>20</v>
      </c>
      <c r="J1516" s="3">
        <v>53.82</v>
      </c>
      <c r="K1516" s="3" t="s">
        <v>21</v>
      </c>
      <c r="L1516" s="3" t="s">
        <v>6062</v>
      </c>
      <c r="M1516" s="3" t="s">
        <v>6058</v>
      </c>
      <c r="N1516" s="6" t="str">
        <f>HYPERLINK("C:\Users\alexa\YandexDisk\Книги\Компьютерная графика\Digital.Image.Processing.with.C++.pdf","Digital.Image.Processing.with.C++.pdf")</f>
        <v>Digital.Image.Processing.with.C++.pdf</v>
      </c>
      <c r="O1516" s="3" t="s">
        <v>6063</v>
      </c>
    </row>
    <row r="1517" spans="1:15" ht="165.6" x14ac:dyDescent="0.3">
      <c r="A1517" s="4">
        <v>1516</v>
      </c>
      <c r="B1517" s="5" t="s">
        <v>6064</v>
      </c>
      <c r="C1517" s="5" t="s">
        <v>6065</v>
      </c>
      <c r="D1517" s="5" t="s">
        <v>65</v>
      </c>
      <c r="E1517" s="5" t="s">
        <v>6066</v>
      </c>
      <c r="F1517" s="5" t="s">
        <v>6056</v>
      </c>
      <c r="G1517" s="5" t="s">
        <v>6056</v>
      </c>
      <c r="H1517" s="5"/>
      <c r="I1517" s="5" t="s">
        <v>20</v>
      </c>
      <c r="J1517" s="5">
        <v>5.68</v>
      </c>
      <c r="K1517" s="5" t="s">
        <v>21</v>
      </c>
      <c r="L1517" s="5" t="s">
        <v>6067</v>
      </c>
      <c r="M1517" s="5" t="s">
        <v>6058</v>
      </c>
      <c r="N1517" s="7" t="str">
        <f>HYPERLINK("C:\Users\alexa\YandexDisk\Книги\Компьютерная графика\Eric_Lengyel_Mathematics_for_3D_Game_Programming_and_Computer_Graphics.pdf","Eric_Lengyel_Mathematics_for_3D_Game_Programming_and_Computer_Graphics.pdf")</f>
        <v>Eric_Lengyel_Mathematics_for_3D_Game_Programming_and_Computer_Graphics.pdf</v>
      </c>
      <c r="O1517" s="5" t="s">
        <v>6068</v>
      </c>
    </row>
    <row r="1518" spans="1:15" ht="179.4" x14ac:dyDescent="0.3">
      <c r="A1518" s="2">
        <v>1517</v>
      </c>
      <c r="B1518" s="3" t="s">
        <v>6069</v>
      </c>
      <c r="C1518" s="3" t="s">
        <v>6070</v>
      </c>
      <c r="D1518" s="3"/>
      <c r="E1518" s="3"/>
      <c r="F1518" s="3" t="s">
        <v>6056</v>
      </c>
      <c r="G1518" s="3" t="s">
        <v>6056</v>
      </c>
      <c r="H1518" s="3"/>
      <c r="I1518" s="3" t="s">
        <v>20</v>
      </c>
      <c r="J1518" s="3">
        <v>5.98</v>
      </c>
      <c r="K1518" s="3" t="s">
        <v>21</v>
      </c>
      <c r="L1518" s="3" t="s">
        <v>6071</v>
      </c>
      <c r="M1518" s="3" t="s">
        <v>6058</v>
      </c>
      <c r="N1518" s="6" t="str">
        <f>HYPERLINK("C:\Users\alexa\YandexDisk\Книги\Компьютерная графика\Introduction to Computer Graphics.pdf","Introduction to Computer Graphics.pdf")</f>
        <v>Introduction to Computer Graphics.pdf</v>
      </c>
      <c r="O1518" s="3" t="s">
        <v>6072</v>
      </c>
    </row>
    <row r="1519" spans="1:15" ht="179.4" x14ac:dyDescent="0.3">
      <c r="A1519" s="4">
        <v>1518</v>
      </c>
      <c r="B1519" s="5" t="s">
        <v>6073</v>
      </c>
      <c r="C1519" s="5" t="s">
        <v>6074</v>
      </c>
      <c r="D1519" s="5" t="s">
        <v>172</v>
      </c>
      <c r="E1519" s="5" t="s">
        <v>6075</v>
      </c>
      <c r="F1519" s="5" t="s">
        <v>6056</v>
      </c>
      <c r="G1519" s="5" t="s">
        <v>6056</v>
      </c>
      <c r="H1519" s="5"/>
      <c r="I1519" s="5" t="s">
        <v>20</v>
      </c>
      <c r="J1519" s="5">
        <v>2.25</v>
      </c>
      <c r="K1519" s="5" t="s">
        <v>21</v>
      </c>
      <c r="L1519" s="5" t="s">
        <v>6076</v>
      </c>
      <c r="M1519" s="5" t="s">
        <v>6058</v>
      </c>
      <c r="N1519" s="7" t="str">
        <f>HYPERLINK("C:\Users\alexa\YandexDisk\Книги\Компьютерная графика\Mathematics komputer grafis.pdf","Mathematics komputer grafis.pdf")</f>
        <v>Mathematics komputer grafis.pdf</v>
      </c>
      <c r="O1519" s="5" t="s">
        <v>6077</v>
      </c>
    </row>
    <row r="1520" spans="1:15" ht="165.6" x14ac:dyDescent="0.3">
      <c r="A1520" s="2">
        <v>1519</v>
      </c>
      <c r="B1520" s="3" t="s">
        <v>6078</v>
      </c>
      <c r="C1520" s="3" t="s">
        <v>6079</v>
      </c>
      <c r="D1520" s="3" t="s">
        <v>1022</v>
      </c>
      <c r="E1520" s="3" t="s">
        <v>102</v>
      </c>
      <c r="F1520" s="3" t="s">
        <v>6056</v>
      </c>
      <c r="G1520" s="3" t="s">
        <v>6056</v>
      </c>
      <c r="H1520" s="3"/>
      <c r="I1520" s="3" t="s">
        <v>20</v>
      </c>
      <c r="J1520" s="3">
        <v>9.77</v>
      </c>
      <c r="K1520" s="3" t="s">
        <v>21</v>
      </c>
      <c r="L1520" s="3" t="s">
        <v>6080</v>
      </c>
      <c r="M1520" s="3" t="s">
        <v>6058</v>
      </c>
      <c r="N1520" s="6" t="str">
        <f>HYPERLINK("C:\Users\alexa\YandexDisk\Книги\Компьютерная графика\OpenGL_4_Язык_шейдеров_Книга_рецептов.pdf","OpenGL_4_Язык_шейдеров_Книга_рецептов.pdf")</f>
        <v>OpenGL_4_Язык_шейдеров_Книга_рецептов.pdf</v>
      </c>
      <c r="O1520" s="3" t="s">
        <v>6081</v>
      </c>
    </row>
    <row r="1521" spans="1:15" ht="151.80000000000001" x14ac:dyDescent="0.3">
      <c r="A1521" s="4">
        <v>1520</v>
      </c>
      <c r="B1521" s="5" t="s">
        <v>6082</v>
      </c>
      <c r="C1521" s="5" t="s">
        <v>6083</v>
      </c>
      <c r="D1521" s="5" t="s">
        <v>32</v>
      </c>
      <c r="E1521" s="5" t="s">
        <v>2183</v>
      </c>
      <c r="F1521" s="5" t="s">
        <v>6056</v>
      </c>
      <c r="G1521" s="5" t="s">
        <v>6056</v>
      </c>
      <c r="H1521" s="5"/>
      <c r="I1521" s="5" t="s">
        <v>20</v>
      </c>
      <c r="J1521" s="5">
        <v>31.06</v>
      </c>
      <c r="K1521" s="5" t="s">
        <v>21</v>
      </c>
      <c r="L1521" s="5" t="s">
        <v>6084</v>
      </c>
      <c r="M1521" s="5" t="s">
        <v>6058</v>
      </c>
      <c r="N1521" s="7" t="str">
        <f>HYPERLINK("C:\Users\alexa\YandexDisk\Книги\Компьютерная графика\T_Akenine_Möller,_E_Haines,_N_Hoffman,_A_Pesce,_M_Iwanicki,_S_Hillaire.pdf","T_Akenine_Möller,_E_Haines,_N_Hoffman,_A_Pesce,_M_Iwanicki,_S_Hillaire.pdf")</f>
        <v>T_Akenine_Möller,_E_Haines,_N_Hoffman,_A_Pesce,_M_Iwanicki,_S_Hillaire.pdf</v>
      </c>
      <c r="O1521" s="5" t="s">
        <v>6085</v>
      </c>
    </row>
    <row r="1522" spans="1:15" ht="165.6" x14ac:dyDescent="0.3">
      <c r="A1522" s="2">
        <v>1521</v>
      </c>
      <c r="B1522" s="3" t="s">
        <v>6086</v>
      </c>
      <c r="C1522" s="3" t="s">
        <v>6087</v>
      </c>
      <c r="D1522" s="3" t="s">
        <v>17</v>
      </c>
      <c r="E1522" s="3" t="s">
        <v>102</v>
      </c>
      <c r="F1522" s="3" t="s">
        <v>6056</v>
      </c>
      <c r="G1522" s="3" t="s">
        <v>6056</v>
      </c>
      <c r="H1522" s="3"/>
      <c r="I1522" s="3" t="s">
        <v>20</v>
      </c>
      <c r="J1522" s="3">
        <v>47.33</v>
      </c>
      <c r="K1522" s="3" t="s">
        <v>21</v>
      </c>
      <c r="L1522" s="3" t="s">
        <v>6088</v>
      </c>
      <c r="M1522" s="3" t="s">
        <v>6058</v>
      </c>
      <c r="N1522" s="6" t="str">
        <f>HYPERLINK("C:\Users\alexa\YandexDisk\Книги\Компьютерная графика\ZBrush для начинающих.pdf","ZBrush для начинающих.pdf")</f>
        <v>ZBrush для начинающих.pdf</v>
      </c>
      <c r="O1522" s="3" t="s">
        <v>6089</v>
      </c>
    </row>
    <row r="1523" spans="1:15" ht="165.6" x14ac:dyDescent="0.3">
      <c r="A1523" s="4">
        <v>1522</v>
      </c>
      <c r="B1523" s="5" t="s">
        <v>6090</v>
      </c>
      <c r="C1523" s="5" t="s">
        <v>6091</v>
      </c>
      <c r="D1523" s="5" t="s">
        <v>32</v>
      </c>
      <c r="E1523" s="5" t="s">
        <v>6092</v>
      </c>
      <c r="F1523" s="5" t="s">
        <v>6056</v>
      </c>
      <c r="G1523" s="5" t="s">
        <v>6056</v>
      </c>
      <c r="H1523" s="5"/>
      <c r="I1523" s="5" t="s">
        <v>20</v>
      </c>
      <c r="J1523" s="5">
        <v>5.84</v>
      </c>
      <c r="K1523" s="5" t="s">
        <v>21</v>
      </c>
      <c r="L1523" s="5" t="s">
        <v>6093</v>
      </c>
      <c r="M1523" s="5" t="s">
        <v>6058</v>
      </c>
      <c r="N1523" s="7" t="str">
        <f>HYPERLINK("C:\Users\alexa\YandexDisk\Книги\Компьютерная графика\Введение_в_двумерную_компьютерную_графику_с_использованием_OpenGL.pdf","Введение_в_двумерную_компьютерную_графику_с_использованием_OpenGL.pdf")</f>
        <v>Введение_в_двумерную_компьютерную_графику_с_использованием_OpenGL.pdf</v>
      </c>
      <c r="O1523" s="5" t="s">
        <v>6094</v>
      </c>
    </row>
    <row r="1524" spans="1:15" ht="165.6" x14ac:dyDescent="0.3">
      <c r="A1524" s="2">
        <v>1523</v>
      </c>
      <c r="B1524" s="3" t="s">
        <v>6095</v>
      </c>
      <c r="C1524" s="3" t="s">
        <v>6096</v>
      </c>
      <c r="D1524" s="3" t="s">
        <v>114</v>
      </c>
      <c r="E1524" s="3" t="s">
        <v>18</v>
      </c>
      <c r="F1524" s="3" t="s">
        <v>6056</v>
      </c>
      <c r="G1524" s="3" t="s">
        <v>6056</v>
      </c>
      <c r="H1524" s="3"/>
      <c r="I1524" s="3" t="s">
        <v>20</v>
      </c>
      <c r="J1524" s="3">
        <v>41.06</v>
      </c>
      <c r="K1524" s="3" t="s">
        <v>21</v>
      </c>
      <c r="L1524" s="3" t="s">
        <v>6097</v>
      </c>
      <c r="M1524" s="3" t="s">
        <v>6058</v>
      </c>
      <c r="N1524" s="6" t="str">
        <f>HYPERLINK("C:\Users\alexa\YandexDisk\Книги\Компьютерная графика\Дизайн книга для недизайнеров 2016.pdf","Дизайн книга для недизайнеров 2016.pdf")</f>
        <v>Дизайн книга для недизайнеров 2016.pdf</v>
      </c>
      <c r="O1524" s="3" t="s">
        <v>6098</v>
      </c>
    </row>
    <row r="1525" spans="1:15" ht="165.6" x14ac:dyDescent="0.3">
      <c r="A1525" s="4">
        <v>1524</v>
      </c>
      <c r="B1525" s="5" t="s">
        <v>6095</v>
      </c>
      <c r="C1525" s="5" t="s">
        <v>6096</v>
      </c>
      <c r="D1525" s="5" t="s">
        <v>114</v>
      </c>
      <c r="E1525" s="5" t="s">
        <v>18</v>
      </c>
      <c r="F1525" s="5" t="s">
        <v>6056</v>
      </c>
      <c r="G1525" s="5" t="s">
        <v>6056</v>
      </c>
      <c r="H1525" s="5"/>
      <c r="I1525" s="5" t="s">
        <v>20</v>
      </c>
      <c r="J1525" s="5">
        <v>41.06</v>
      </c>
      <c r="K1525" s="5" t="s">
        <v>21</v>
      </c>
      <c r="L1525" s="5" t="s">
        <v>6099</v>
      </c>
      <c r="M1525" s="5" t="s">
        <v>6058</v>
      </c>
      <c r="N1525" s="7" t="str">
        <f>HYPERLINK("C:\Users\alexa\YandexDisk\Книги\Компьютерная графика\Дизайн книга для недизайнеров.pdf","Дизайн книга для недизайнеров.pdf")</f>
        <v>Дизайн книга для недизайнеров.pdf</v>
      </c>
      <c r="O1525" s="5" t="s">
        <v>6100</v>
      </c>
    </row>
    <row r="1526" spans="1:15" ht="151.80000000000001" x14ac:dyDescent="0.3">
      <c r="A1526" s="2">
        <v>1525</v>
      </c>
      <c r="B1526" s="3" t="s">
        <v>6101</v>
      </c>
      <c r="C1526" s="3" t="s">
        <v>6102</v>
      </c>
      <c r="D1526" s="3" t="s">
        <v>17</v>
      </c>
      <c r="E1526" s="3" t="s">
        <v>18</v>
      </c>
      <c r="F1526" s="3" t="s">
        <v>6056</v>
      </c>
      <c r="G1526" s="3" t="s">
        <v>6056</v>
      </c>
      <c r="H1526" s="3"/>
      <c r="I1526" s="3" t="s">
        <v>20</v>
      </c>
      <c r="J1526" s="3">
        <v>39.9</v>
      </c>
      <c r="K1526" s="3" t="s">
        <v>21</v>
      </c>
      <c r="L1526" s="3" t="s">
        <v>6103</v>
      </c>
      <c r="M1526" s="3" t="s">
        <v>6058</v>
      </c>
      <c r="N1526" s="6" t="str">
        <f>HYPERLINK("C:\Users\alexa\YandexDisk\Книги\Компьютерная графика\Дизайн_персонажей.pdf","Дизайн_персонажей.pdf")</f>
        <v>Дизайн_персонажей.pdf</v>
      </c>
      <c r="O1526" s="3" t="s">
        <v>6104</v>
      </c>
    </row>
    <row r="1527" spans="1:15" ht="165.6" x14ac:dyDescent="0.3">
      <c r="A1527" s="4">
        <v>1526</v>
      </c>
      <c r="B1527" s="5" t="s">
        <v>6105</v>
      </c>
      <c r="C1527" s="5" t="s">
        <v>6106</v>
      </c>
      <c r="D1527" s="5" t="s">
        <v>1022</v>
      </c>
      <c r="E1527" s="5" t="s">
        <v>102</v>
      </c>
      <c r="F1527" s="5" t="s">
        <v>6056</v>
      </c>
      <c r="G1527" s="5" t="s">
        <v>6056</v>
      </c>
      <c r="H1527" s="5"/>
      <c r="I1527" s="5" t="s">
        <v>20</v>
      </c>
      <c r="J1527" s="5">
        <v>5.32</v>
      </c>
      <c r="K1527" s="5" t="s">
        <v>21</v>
      </c>
      <c r="L1527" s="5" t="s">
        <v>6107</v>
      </c>
      <c r="M1527" s="5" t="s">
        <v>6058</v>
      </c>
      <c r="N1527" s="7" t="str">
        <f>HYPERLINK("C:\Users\alexa\YandexDisk\Книги\Компьютерная графика\Коичи_Мацуда,_Роджер_Ли_WebGL_Программирование_трехмерной_графики.pdf","Коичи_Мацуда,_Роджер_Ли_WebGL_Программирование_трехмерной_графики.pdf")</f>
        <v>Коичи_Мацуда,_Роджер_Ли_WebGL_Программирование_трехмерной_графики.pdf</v>
      </c>
      <c r="O1527" s="5" t="s">
        <v>6108</v>
      </c>
    </row>
    <row r="1528" spans="1:15" ht="207" x14ac:dyDescent="0.3">
      <c r="A1528" s="2">
        <v>1527</v>
      </c>
      <c r="B1528" s="3" t="s">
        <v>6109</v>
      </c>
      <c r="C1528" s="3" t="s">
        <v>6110</v>
      </c>
      <c r="D1528" s="3" t="s">
        <v>17</v>
      </c>
      <c r="E1528" s="3" t="s">
        <v>6111</v>
      </c>
      <c r="F1528" s="3" t="s">
        <v>6056</v>
      </c>
      <c r="G1528" s="3" t="s">
        <v>6056</v>
      </c>
      <c r="H1528" s="3"/>
      <c r="I1528" s="3" t="s">
        <v>20</v>
      </c>
      <c r="J1528" s="3">
        <v>22.16</v>
      </c>
      <c r="K1528" s="3" t="s">
        <v>21</v>
      </c>
      <c r="L1528" s="3" t="s">
        <v>6112</v>
      </c>
      <c r="M1528" s="3" t="s">
        <v>6058</v>
      </c>
      <c r="N1528" s="6" t="str">
        <f>HYPERLINK("C:\Users\alexa\YandexDisk\Книги\Компьютерная графика\Коммуникативный_и_мультимедийный_дизайн_Графический_пользовател.pdf","Коммуникативный_и_мультимедийный_дизайн_Графический_пользовател.pdf")</f>
        <v>Коммуникативный_и_мультимедийный_дизайн_Графический_пользовател.pdf</v>
      </c>
      <c r="O1528" s="3" t="s">
        <v>6113</v>
      </c>
    </row>
    <row r="1529" spans="1:15" ht="165.6" x14ac:dyDescent="0.3">
      <c r="A1529" s="4">
        <v>1528</v>
      </c>
      <c r="B1529" s="5" t="s">
        <v>6114</v>
      </c>
      <c r="C1529" s="5"/>
      <c r="D1529" s="5"/>
      <c r="E1529" s="5"/>
      <c r="F1529" s="5" t="s">
        <v>6056</v>
      </c>
      <c r="G1529" s="5" t="s">
        <v>6056</v>
      </c>
      <c r="H1529" s="5"/>
      <c r="I1529" s="5" t="s">
        <v>20</v>
      </c>
      <c r="J1529" s="5">
        <v>12.28</v>
      </c>
      <c r="K1529" s="5" t="s">
        <v>21</v>
      </c>
      <c r="L1529" s="5" t="s">
        <v>6115</v>
      </c>
      <c r="M1529" s="5" t="s">
        <v>6058</v>
      </c>
      <c r="N1529" s="7" t="str">
        <f>HYPERLINK("C:\Users\alexa\YandexDisk\Книги\Компьютерная графика\Компьютерная геометрия.pdf","Компьютерная геометрия.pdf")</f>
        <v>Компьютерная геометрия.pdf</v>
      </c>
      <c r="O1529" s="5" t="s">
        <v>6116</v>
      </c>
    </row>
    <row r="1530" spans="1:15" ht="151.80000000000001" x14ac:dyDescent="0.3">
      <c r="A1530" s="2">
        <v>1529</v>
      </c>
      <c r="B1530" s="3" t="s">
        <v>6117</v>
      </c>
      <c r="C1530" s="3" t="s">
        <v>6118</v>
      </c>
      <c r="D1530" s="3" t="s">
        <v>71</v>
      </c>
      <c r="E1530" s="3" t="s">
        <v>18</v>
      </c>
      <c r="F1530" s="3" t="s">
        <v>6056</v>
      </c>
      <c r="G1530" s="3" t="s">
        <v>6056</v>
      </c>
      <c r="H1530" s="3"/>
      <c r="I1530" s="3" t="s">
        <v>20</v>
      </c>
      <c r="J1530" s="3">
        <v>8.49</v>
      </c>
      <c r="K1530" s="3" t="s">
        <v>21</v>
      </c>
      <c r="L1530" s="3" t="s">
        <v>6119</v>
      </c>
      <c r="M1530" s="3" t="s">
        <v>6058</v>
      </c>
      <c r="N1530" s="6" t="str">
        <f>HYPERLINK("C:\Users\alexa\YandexDisk\Книги\Компьютерная графика\Компьютерная графика - Рейтресинг и растеризация.pdf","Компьютерная графика - Рейтресинг и растеризация.pdf")</f>
        <v>Компьютерная графика - Рейтресинг и растеризация.pdf</v>
      </c>
      <c r="O1530" s="3" t="s">
        <v>6120</v>
      </c>
    </row>
    <row r="1531" spans="1:15" ht="179.4" x14ac:dyDescent="0.3">
      <c r="A1531" s="4">
        <v>1530</v>
      </c>
      <c r="B1531" s="5" t="s">
        <v>6121</v>
      </c>
      <c r="C1531" s="5" t="s">
        <v>6122</v>
      </c>
      <c r="D1531" s="5" t="s">
        <v>17</v>
      </c>
      <c r="E1531" s="5" t="s">
        <v>2519</v>
      </c>
      <c r="F1531" s="5" t="s">
        <v>6056</v>
      </c>
      <c r="G1531" s="5" t="s">
        <v>6056</v>
      </c>
      <c r="H1531" s="5"/>
      <c r="I1531" s="5" t="s">
        <v>20</v>
      </c>
      <c r="J1531" s="5">
        <v>17.2</v>
      </c>
      <c r="K1531" s="5" t="s">
        <v>21</v>
      </c>
      <c r="L1531" s="5" t="s">
        <v>6123</v>
      </c>
      <c r="M1531" s="5" t="s">
        <v>6058</v>
      </c>
      <c r="N1531" s="7" t="str">
        <f>HYPERLINK("C:\Users\alexa\YandexDisk\Книги\Компьютерная графика\Компьютерная графика. Модели.pdf","Компьютерная графика. Модели.pdf")</f>
        <v>Компьютерная графика. Модели.pdf</v>
      </c>
      <c r="O1531" s="5" t="s">
        <v>6124</v>
      </c>
    </row>
    <row r="1532" spans="1:15" ht="138" x14ac:dyDescent="0.3">
      <c r="A1532" s="2">
        <v>1531</v>
      </c>
      <c r="B1532" s="3" t="s">
        <v>6117</v>
      </c>
      <c r="C1532" s="3" t="s">
        <v>6118</v>
      </c>
      <c r="D1532" s="3" t="s">
        <v>71</v>
      </c>
      <c r="E1532" s="3" t="s">
        <v>18</v>
      </c>
      <c r="F1532" s="3" t="s">
        <v>6056</v>
      </c>
      <c r="G1532" s="3" t="s">
        <v>6056</v>
      </c>
      <c r="H1532" s="3"/>
      <c r="I1532" s="3" t="s">
        <v>20</v>
      </c>
      <c r="J1532" s="3">
        <v>8.49</v>
      </c>
      <c r="K1532" s="3" t="s">
        <v>21</v>
      </c>
      <c r="L1532" s="3" t="s">
        <v>6125</v>
      </c>
      <c r="M1532" s="3" t="s">
        <v>6058</v>
      </c>
      <c r="N1532" s="6" t="str">
        <f>HYPERLINK("C:\Users\alexa\YandexDisk\Книги\Компьютерная графика\Компьютерная графика.pdf","Компьютерная графика.pdf")</f>
        <v>Компьютерная графика.pdf</v>
      </c>
      <c r="O1532" s="3" t="s">
        <v>6126</v>
      </c>
    </row>
    <row r="1533" spans="1:15" ht="151.80000000000001" x14ac:dyDescent="0.3">
      <c r="A1533" s="4">
        <v>1532</v>
      </c>
      <c r="B1533" s="5" t="s">
        <v>6127</v>
      </c>
      <c r="C1533" s="5" t="s">
        <v>6128</v>
      </c>
      <c r="D1533" s="5" t="s">
        <v>2881</v>
      </c>
      <c r="E1533" s="5"/>
      <c r="F1533" s="5" t="s">
        <v>6056</v>
      </c>
      <c r="G1533" s="5" t="s">
        <v>6056</v>
      </c>
      <c r="H1533" s="5"/>
      <c r="I1533" s="5" t="s">
        <v>721</v>
      </c>
      <c r="J1533" s="5">
        <v>7.59</v>
      </c>
      <c r="K1533" s="5" t="s">
        <v>21</v>
      </c>
      <c r="L1533" s="5" t="s">
        <v>6129</v>
      </c>
      <c r="M1533" s="5" t="s">
        <v>6058</v>
      </c>
      <c r="N1533" s="7" t="str">
        <f>HYPERLINK("C:\Users\alexa\YandexDisk\Книги\Компьютерная графика\Компьютерная_геометрия_и_алгоритмы_машинной_графики_2003_Никулин.djvu","Компьютерная_геометрия_и_алгоритмы_машинной_графики_2003_Никулин.djvu")</f>
        <v>Компьютерная_геометрия_и_алгоритмы_машинной_графики_2003_Никулин.djvu</v>
      </c>
      <c r="O1533" s="5" t="s">
        <v>6130</v>
      </c>
    </row>
    <row r="1534" spans="1:15" ht="124.2" x14ac:dyDescent="0.3">
      <c r="A1534" s="2">
        <v>1533</v>
      </c>
      <c r="B1534" s="3" t="s">
        <v>6117</v>
      </c>
      <c r="C1534" s="3"/>
      <c r="D1534" s="3"/>
      <c r="E1534" s="3"/>
      <c r="F1534" s="3" t="s">
        <v>6056</v>
      </c>
      <c r="G1534" s="3" t="s">
        <v>6056</v>
      </c>
      <c r="H1534" s="3"/>
      <c r="I1534" s="3" t="s">
        <v>280</v>
      </c>
      <c r="J1534" s="3">
        <v>13.87</v>
      </c>
      <c r="K1534" s="3" t="s">
        <v>21</v>
      </c>
      <c r="L1534" s="3" t="s">
        <v>6131</v>
      </c>
      <c r="M1534" s="3" t="s">
        <v>6058</v>
      </c>
      <c r="N1534" s="6" t="str">
        <f>HYPERLINK("C:\Users\alexa\YandexDisk\Книги\Компьютерная графика\Компьютерная_графика_Рейтрейсинг_и_растеризация.epub","Компьютерная_графика_Рейтрейсинг_и_растеризация.epub")</f>
        <v>Компьютерная_графика_Рейтрейсинг_и_растеризация.epub</v>
      </c>
      <c r="O1534" s="3" t="s">
        <v>6132</v>
      </c>
    </row>
    <row r="1535" spans="1:15" ht="165.6" x14ac:dyDescent="0.3">
      <c r="A1535" s="4">
        <v>1534</v>
      </c>
      <c r="B1535" s="5" t="s">
        <v>6117</v>
      </c>
      <c r="C1535" s="5" t="s">
        <v>6118</v>
      </c>
      <c r="D1535" s="5" t="s">
        <v>71</v>
      </c>
      <c r="E1535" s="5" t="s">
        <v>18</v>
      </c>
      <c r="F1535" s="5" t="s">
        <v>6056</v>
      </c>
      <c r="G1535" s="5" t="s">
        <v>6056</v>
      </c>
      <c r="H1535" s="5"/>
      <c r="I1535" s="5" t="s">
        <v>20</v>
      </c>
      <c r="J1535" s="5">
        <v>8.4600000000000009</v>
      </c>
      <c r="K1535" s="5" t="s">
        <v>21</v>
      </c>
      <c r="L1535" s="5" t="s">
        <v>6133</v>
      </c>
      <c r="M1535" s="5" t="s">
        <v>6058</v>
      </c>
      <c r="N1535" s="7" t="str">
        <f>HYPERLINK("C:\Users\alexa\YandexDisk\Книги\Компьютерная графика\Компьютерная_графика_Рейтрейсинг_и_растеризация.pdf","Компьютерная_графика_Рейтрейсинг_и_растеризация.pdf")</f>
        <v>Компьютерная_графика_Рейтрейсинг_и_растеризация.pdf</v>
      </c>
      <c r="O1535" s="5" t="s">
        <v>6134</v>
      </c>
    </row>
    <row r="1536" spans="1:15" ht="179.4" x14ac:dyDescent="0.3">
      <c r="A1536" s="2">
        <v>1535</v>
      </c>
      <c r="B1536" s="3" t="s">
        <v>6135</v>
      </c>
      <c r="C1536" s="3" t="s">
        <v>6136</v>
      </c>
      <c r="D1536" s="3" t="s">
        <v>27</v>
      </c>
      <c r="E1536" s="3" t="s">
        <v>102</v>
      </c>
      <c r="F1536" s="3" t="s">
        <v>6056</v>
      </c>
      <c r="G1536" s="3" t="s">
        <v>6056</v>
      </c>
      <c r="H1536" s="3"/>
      <c r="I1536" s="3" t="s">
        <v>20</v>
      </c>
      <c r="J1536" s="3">
        <v>23.24</v>
      </c>
      <c r="K1536" s="3" t="s">
        <v>21</v>
      </c>
      <c r="L1536" s="3" t="s">
        <v>6137</v>
      </c>
      <c r="M1536" s="3" t="s">
        <v>6058</v>
      </c>
      <c r="N1536" s="6" t="str">
        <f>HYPERLINK("C:\Users\alexa\YandexDisk\Книги\Компьютерная графика\Компьютерное_моделирование_в_промышленном_дизайне_2023_Аббасов.pdf","Компьютерное_моделирование_в_промышленном_дизайне_2023_Аббасов.pdf")</f>
        <v>Компьютерное_моделирование_в_промышленном_дизайне_2023_Аббасов.pdf</v>
      </c>
      <c r="O1536" s="3" t="s">
        <v>6138</v>
      </c>
    </row>
    <row r="1537" spans="1:15" ht="151.80000000000001" x14ac:dyDescent="0.3">
      <c r="A1537" s="4">
        <v>1536</v>
      </c>
      <c r="B1537" s="5" t="s">
        <v>6073</v>
      </c>
      <c r="C1537" s="5" t="s">
        <v>6074</v>
      </c>
      <c r="D1537" s="5" t="s">
        <v>172</v>
      </c>
      <c r="E1537" s="5" t="s">
        <v>6075</v>
      </c>
      <c r="F1537" s="5" t="s">
        <v>6056</v>
      </c>
      <c r="G1537" s="5" t="s">
        <v>6056</v>
      </c>
      <c r="H1537" s="5"/>
      <c r="I1537" s="5" t="s">
        <v>20</v>
      </c>
      <c r="J1537" s="5">
        <v>2.25</v>
      </c>
      <c r="K1537" s="5" t="s">
        <v>21</v>
      </c>
      <c r="L1537" s="5" t="s">
        <v>6139</v>
      </c>
      <c r="M1537" s="5" t="s">
        <v>6058</v>
      </c>
      <c r="N1537" s="7" t="str">
        <f>HYPERLINK("C:\Users\alexa\YandexDisk\Книги\Компьютерная графика\Математика для графики.pdf","Математика для графики.pdf")</f>
        <v>Математика для графики.pdf</v>
      </c>
      <c r="O1537" s="5" t="s">
        <v>6140</v>
      </c>
    </row>
    <row r="1538" spans="1:15" ht="165.6" x14ac:dyDescent="0.3">
      <c r="A1538" s="2">
        <v>1537</v>
      </c>
      <c r="B1538" s="3" t="s">
        <v>6141</v>
      </c>
      <c r="C1538" s="3" t="s">
        <v>6142</v>
      </c>
      <c r="D1538" s="3" t="s">
        <v>59</v>
      </c>
      <c r="E1538" s="3" t="s">
        <v>18</v>
      </c>
      <c r="F1538" s="3" t="s">
        <v>6056</v>
      </c>
      <c r="G1538" s="3" t="s">
        <v>6056</v>
      </c>
      <c r="H1538" s="3"/>
      <c r="I1538" s="3" t="s">
        <v>20</v>
      </c>
      <c r="J1538" s="3">
        <v>14.18</v>
      </c>
      <c r="K1538" s="3" t="s">
        <v>21</v>
      </c>
      <c r="L1538" s="3" t="s">
        <v>6143</v>
      </c>
      <c r="M1538" s="3" t="s">
        <v>6058</v>
      </c>
      <c r="N1538" s="6" t="str">
        <f>HYPERLINK("C:\Users\alexa\YandexDisk\Книги\Компьютерная графика\Никонов_Вячеслав_Вячеславович_КОМПАС_3D_создание_моделей_и_3D_печать.pdf","Никонов_Вячеслав_Вячеславович_КОМПАС_3D_создание_моделей_и_3D_печать.pdf")</f>
        <v>Никонов_Вячеслав_Вячеславович_КОМПАС_3D_создание_моделей_и_3D_печать.pdf</v>
      </c>
      <c r="O1538" s="3" t="s">
        <v>6144</v>
      </c>
    </row>
    <row r="1539" spans="1:15" ht="179.4" x14ac:dyDescent="0.3">
      <c r="A1539" s="4">
        <v>1538</v>
      </c>
      <c r="B1539" s="5" t="s">
        <v>6145</v>
      </c>
      <c r="C1539" s="5" t="s">
        <v>6146</v>
      </c>
      <c r="D1539" s="5" t="s">
        <v>71</v>
      </c>
      <c r="E1539" s="5" t="s">
        <v>6147</v>
      </c>
      <c r="F1539" s="5" t="s">
        <v>6056</v>
      </c>
      <c r="G1539" s="5" t="s">
        <v>6056</v>
      </c>
      <c r="H1539" s="5"/>
      <c r="I1539" s="5" t="s">
        <v>20</v>
      </c>
      <c r="J1539" s="5">
        <v>30.01</v>
      </c>
      <c r="K1539" s="5" t="s">
        <v>21</v>
      </c>
      <c r="L1539" s="5" t="s">
        <v>6148</v>
      </c>
      <c r="M1539" s="5" t="s">
        <v>6058</v>
      </c>
      <c r="N1539" s="7" t="str">
        <f>HYPERLINK("C:\Users\alexa\YandexDisk\Книги\Компьютерная графика\Практическое пособие. Blender 3.0.pdf","Практическое пособие. Blender 3.0.pdf")</f>
        <v>Практическое пособие. Blender 3.0.pdf</v>
      </c>
      <c r="O1539" s="5" t="s">
        <v>6149</v>
      </c>
    </row>
    <row r="1540" spans="1:15" ht="151.80000000000001" x14ac:dyDescent="0.3">
      <c r="A1540" s="2">
        <v>1539</v>
      </c>
      <c r="B1540" s="3" t="s">
        <v>6150</v>
      </c>
      <c r="C1540" s="3" t="s">
        <v>6151</v>
      </c>
      <c r="D1540" s="3" t="s">
        <v>77</v>
      </c>
      <c r="E1540" s="3" t="s">
        <v>102</v>
      </c>
      <c r="F1540" s="3" t="s">
        <v>6056</v>
      </c>
      <c r="G1540" s="3" t="s">
        <v>6056</v>
      </c>
      <c r="H1540" s="3"/>
      <c r="I1540" s="3" t="s">
        <v>20</v>
      </c>
      <c r="J1540" s="3">
        <v>12.27</v>
      </c>
      <c r="K1540" s="3" t="s">
        <v>21</v>
      </c>
      <c r="L1540" s="3" t="s">
        <v>6152</v>
      </c>
      <c r="M1540" s="3" t="s">
        <v>6058</v>
      </c>
      <c r="N1540" s="6" t="str">
        <f>HYPERLINK("C:\Users\alexa\YandexDisk\Книги\Компьютерная графика\Программирование_компьютерной_графики_Современный_OpenGL.pdf","Программирование_компьютерной_графики_Современный_OpenGL.pdf")</f>
        <v>Программирование_компьютерной_графики_Современный_OpenGL.pdf</v>
      </c>
      <c r="O1540" s="3" t="s">
        <v>6153</v>
      </c>
    </row>
    <row r="1541" spans="1:15" ht="110.4" x14ac:dyDescent="0.3">
      <c r="A1541" s="4">
        <v>1540</v>
      </c>
      <c r="B1541" s="5" t="s">
        <v>6154</v>
      </c>
      <c r="C1541" s="5"/>
      <c r="D1541" s="5"/>
      <c r="E1541" s="5"/>
      <c r="F1541" s="5" t="s">
        <v>6056</v>
      </c>
      <c r="G1541" s="5" t="s">
        <v>6056</v>
      </c>
      <c r="H1541" s="5"/>
      <c r="I1541" s="5" t="s">
        <v>20</v>
      </c>
      <c r="J1541" s="5">
        <v>27.89</v>
      </c>
      <c r="K1541" s="5" t="s">
        <v>21</v>
      </c>
      <c r="L1541" s="5" t="s">
        <v>6155</v>
      </c>
      <c r="M1541" s="5" t="s">
        <v>6058</v>
      </c>
      <c r="N1541" s="7" t="str">
        <f>HYPERLINK("C:\Users\alexa\YandexDisk\Книги\Компьютерная графика\Учебник-самоучитель по графическому редактору Blender 3D.pdf","Учебник-самоучитель по графическому редактору Blender 3D.pdf")</f>
        <v>Учебник-самоучитель по графическому редактору Blender 3D.pdf</v>
      </c>
      <c r="O1541" s="5" t="s">
        <v>6156</v>
      </c>
    </row>
    <row r="1542" spans="1:15" ht="27.6" x14ac:dyDescent="0.3">
      <c r="A1542" s="2">
        <v>1541</v>
      </c>
      <c r="B1542" s="3" t="s">
        <v>6157</v>
      </c>
      <c r="C1542" s="3"/>
      <c r="D1542" s="3"/>
      <c r="E1542" s="3"/>
      <c r="F1542" s="3" t="s">
        <v>19</v>
      </c>
      <c r="G1542" s="3" t="s">
        <v>19</v>
      </c>
      <c r="H1542" s="3"/>
      <c r="I1542" s="3" t="s">
        <v>20</v>
      </c>
      <c r="J1542" s="3">
        <v>3.59</v>
      </c>
      <c r="K1542" s="3" t="s">
        <v>21</v>
      </c>
      <c r="L1542" s="3" t="s">
        <v>6158</v>
      </c>
      <c r="M1542" s="3" t="s">
        <v>6159</v>
      </c>
      <c r="N1542" s="6" t="str">
        <f>HYPERLINK("C:\Users\alexa\YandexDisk\Книги\Компьютерные науки\Введение в профессию Том 3 Системы и сети.pdf","Введение в профессию Том 3 Системы и сети.pdf")</f>
        <v>Введение в профессию Том 3 Системы и сети.pdf</v>
      </c>
      <c r="O1542" s="3" t="s">
        <v>930</v>
      </c>
    </row>
    <row r="1543" spans="1:15" ht="151.80000000000001" x14ac:dyDescent="0.3">
      <c r="A1543" s="4">
        <v>1542</v>
      </c>
      <c r="B1543" s="5" t="s">
        <v>6160</v>
      </c>
      <c r="C1543" s="5" t="s">
        <v>6161</v>
      </c>
      <c r="D1543" s="5" t="s">
        <v>59</v>
      </c>
      <c r="E1543" s="5"/>
      <c r="F1543" s="5" t="s">
        <v>19</v>
      </c>
      <c r="G1543" s="5" t="s">
        <v>19</v>
      </c>
      <c r="H1543" s="5"/>
      <c r="I1543" s="5" t="s">
        <v>20</v>
      </c>
      <c r="J1543" s="5">
        <v>10.16</v>
      </c>
      <c r="K1543" s="5" t="s">
        <v>21</v>
      </c>
      <c r="L1543" s="5" t="s">
        <v>6162</v>
      </c>
      <c r="M1543" s="5" t="s">
        <v>6159</v>
      </c>
      <c r="N1543" s="7" t="str">
        <f>HYPERLINK("C:\Users\alexa\YandexDisk\Книги\Компьютерные науки\Понимание языка ассемблера.pdf","Понимание языка ассемблера.pdf")</f>
        <v>Понимание языка ассемблера.pdf</v>
      </c>
      <c r="O1543" s="5" t="s">
        <v>6163</v>
      </c>
    </row>
    <row r="1544" spans="1:15" ht="138" x14ac:dyDescent="0.3">
      <c r="A1544" s="2">
        <v>1543</v>
      </c>
      <c r="B1544" s="3" t="s">
        <v>6164</v>
      </c>
      <c r="C1544" s="3"/>
      <c r="D1544" s="3"/>
      <c r="E1544" s="3"/>
      <c r="F1544" s="3" t="s">
        <v>19</v>
      </c>
      <c r="G1544" s="3" t="s">
        <v>19</v>
      </c>
      <c r="H1544" s="3"/>
      <c r="I1544" s="3" t="s">
        <v>20</v>
      </c>
      <c r="J1544" s="3">
        <v>126.42</v>
      </c>
      <c r="K1544" s="3" t="s">
        <v>21</v>
      </c>
      <c r="L1544" s="3" t="s">
        <v>6165</v>
      </c>
      <c r="M1544" s="3" t="s">
        <v>6159</v>
      </c>
      <c r="N1544" s="6" t="str">
        <f>HYPERLINK("C:\Users\alexa\YandexDisk\Книги\Компьютерные науки\Цифровая обработка сигналов.pdf","Цифровая обработка сигналов.pdf")</f>
        <v>Цифровая обработка сигналов.pdf</v>
      </c>
      <c r="O1544" s="3" t="s">
        <v>6166</v>
      </c>
    </row>
    <row r="1545" spans="1:15" ht="193.2" x14ac:dyDescent="0.3">
      <c r="A1545" s="4">
        <v>1544</v>
      </c>
      <c r="B1545" s="5" t="s">
        <v>6167</v>
      </c>
      <c r="C1545" s="5" t="s">
        <v>6168</v>
      </c>
      <c r="D1545" s="5" t="s">
        <v>476</v>
      </c>
      <c r="E1545" s="5" t="s">
        <v>6169</v>
      </c>
      <c r="F1545" s="5" t="s">
        <v>19</v>
      </c>
      <c r="G1545" s="5" t="s">
        <v>19</v>
      </c>
      <c r="H1545" s="5"/>
      <c r="I1545" s="5" t="s">
        <v>20</v>
      </c>
      <c r="J1545" s="5">
        <v>36.47</v>
      </c>
      <c r="K1545" s="5" t="s">
        <v>21</v>
      </c>
      <c r="L1545" s="5" t="s">
        <v>6170</v>
      </c>
      <c r="M1545" s="5" t="s">
        <v>6159</v>
      </c>
      <c r="N1545" s="7" t="str">
        <f>HYPERLINK("C:\Users\alexa\YandexDisk\Книги\Компьютерные науки\Цифровая схемотехника и архитектура компьютера Дэвид Харрис и Сара Харрис.pdf","Цифровая схемотехника и архитектура компьютера Дэвид Харрис и Сара Харрис.pdf")</f>
        <v>Цифровая схемотехника и архитектура компьютера Дэвид Харрис и Сара Харрис.pdf</v>
      </c>
      <c r="O1545" s="5" t="s">
        <v>6171</v>
      </c>
    </row>
    <row r="1546" spans="1:15" ht="151.80000000000001" x14ac:dyDescent="0.3">
      <c r="A1546" s="2">
        <v>1545</v>
      </c>
      <c r="B1546" s="3" t="s">
        <v>6172</v>
      </c>
      <c r="C1546" s="3"/>
      <c r="D1546" s="3"/>
      <c r="E1546" s="3"/>
      <c r="F1546" s="3" t="s">
        <v>6173</v>
      </c>
      <c r="G1546" s="3" t="s">
        <v>6174</v>
      </c>
      <c r="H1546" s="3" t="s">
        <v>6175</v>
      </c>
      <c r="I1546" s="3" t="s">
        <v>20</v>
      </c>
      <c r="J1546" s="3">
        <v>189.81</v>
      </c>
      <c r="K1546" s="3" t="s">
        <v>21</v>
      </c>
      <c r="L1546" s="3" t="s">
        <v>6176</v>
      </c>
      <c r="M1546" s="3" t="s">
        <v>6177</v>
      </c>
      <c r="N1546" s="6" t="str">
        <f>HYPERLINK("C:\Users\alexa\YandexDisk\Книги\Математика\Абстрактная алгебра\Абстрактная_и_компьютерная_алгебра.pdf","Абстрактная_и_компьютерная_алгебра.pdf")</f>
        <v>Абстрактная_и_компьютерная_алгебра.pdf</v>
      </c>
      <c r="O1546" s="3" t="s">
        <v>6178</v>
      </c>
    </row>
    <row r="1547" spans="1:15" ht="151.80000000000001" x14ac:dyDescent="0.3">
      <c r="A1547" s="4">
        <v>1546</v>
      </c>
      <c r="B1547" s="5" t="s">
        <v>6179</v>
      </c>
      <c r="C1547" s="5" t="s">
        <v>6180</v>
      </c>
      <c r="D1547" s="5" t="s">
        <v>59</v>
      </c>
      <c r="E1547" s="5" t="s">
        <v>148</v>
      </c>
      <c r="F1547" s="5" t="s">
        <v>6181</v>
      </c>
      <c r="G1547" s="5" t="s">
        <v>6174</v>
      </c>
      <c r="H1547" s="5" t="s">
        <v>6182</v>
      </c>
      <c r="I1547" s="5" t="s">
        <v>20</v>
      </c>
      <c r="J1547" s="5">
        <v>4.2</v>
      </c>
      <c r="K1547" s="5" t="s">
        <v>21</v>
      </c>
      <c r="L1547" s="5" t="s">
        <v>6183</v>
      </c>
      <c r="M1547" s="5" t="s">
        <v>6184</v>
      </c>
      <c r="N1547" s="7" t="str">
        <f>HYPERLINK("C:\Users\alexa\YandexDisk\Книги\Математика\Геометрия\Алгебра и геометрия на Python 2020.pdf","Алгебра и геометрия на Python 2020.pdf")</f>
        <v>Алгебра и геометрия на Python 2020.pdf</v>
      </c>
      <c r="O1547" s="5" t="s">
        <v>6185</v>
      </c>
    </row>
    <row r="1548" spans="1:15" ht="138" x14ac:dyDescent="0.3">
      <c r="A1548" s="2">
        <v>1547</v>
      </c>
      <c r="B1548" s="3" t="s">
        <v>6182</v>
      </c>
      <c r="C1548" s="3" t="s">
        <v>6186</v>
      </c>
      <c r="D1548" s="3" t="s">
        <v>6187</v>
      </c>
      <c r="E1548" s="3"/>
      <c r="F1548" s="3" t="s">
        <v>6181</v>
      </c>
      <c r="G1548" s="3" t="s">
        <v>6174</v>
      </c>
      <c r="H1548" s="3" t="s">
        <v>6182</v>
      </c>
      <c r="I1548" s="3" t="s">
        <v>721</v>
      </c>
      <c r="J1548" s="3">
        <v>2.99</v>
      </c>
      <c r="K1548" s="3" t="s">
        <v>21</v>
      </c>
      <c r="L1548" s="3" t="s">
        <v>6188</v>
      </c>
      <c r="M1548" s="3" t="s">
        <v>6184</v>
      </c>
      <c r="N1548" s="6" t="str">
        <f>HYPERLINK("C:\Users\alexa\YandexDisk\Книги\Математика\Геометрия\Геометрия  [1976] для 8 класса Колмогоров.djvu","Геометрия  [1976] для 8 класса Колмогоров.djvu")</f>
        <v>Геометрия  [1976] для 8 класса Колмогоров.djvu</v>
      </c>
      <c r="O1548" s="3" t="s">
        <v>6189</v>
      </c>
    </row>
    <row r="1549" spans="1:15" ht="124.2" x14ac:dyDescent="0.3">
      <c r="A1549" s="4">
        <v>1548</v>
      </c>
      <c r="B1549" s="5" t="s">
        <v>6182</v>
      </c>
      <c r="C1549" s="5" t="s">
        <v>6186</v>
      </c>
      <c r="D1549" s="5" t="s">
        <v>6187</v>
      </c>
      <c r="E1549" s="5"/>
      <c r="F1549" s="5" t="s">
        <v>6181</v>
      </c>
      <c r="G1549" s="5" t="s">
        <v>6174</v>
      </c>
      <c r="H1549" s="5" t="s">
        <v>6182</v>
      </c>
      <c r="I1549" s="5" t="s">
        <v>721</v>
      </c>
      <c r="J1549" s="5">
        <v>8.1999999999999993</v>
      </c>
      <c r="K1549" s="5" t="s">
        <v>21</v>
      </c>
      <c r="L1549" s="5" t="s">
        <v>6190</v>
      </c>
      <c r="M1549" s="5" t="s">
        <v>6184</v>
      </c>
      <c r="N1549" s="7" t="str">
        <f>HYPERLINK("C:\Users\alexa\YandexDisk\Книги\Математика\Геометрия\Геометрия [1976] Учебное пособие для 6-8 классов Колмогоров.djvu","Геометрия [1976] Учебное пособие для 6-8 классов Колмогоров.djvu")</f>
        <v>Геометрия [1976] Учебное пособие для 6-8 классов Колмогоров.djvu</v>
      </c>
      <c r="O1549" s="5" t="s">
        <v>6191</v>
      </c>
    </row>
    <row r="1550" spans="1:15" ht="220.8" x14ac:dyDescent="0.3">
      <c r="A1550" s="2">
        <v>1549</v>
      </c>
      <c r="B1550" s="3" t="s">
        <v>6192</v>
      </c>
      <c r="C1550" s="3" t="s">
        <v>6193</v>
      </c>
      <c r="D1550" s="3" t="s">
        <v>32</v>
      </c>
      <c r="E1550" s="3" t="s">
        <v>6194</v>
      </c>
      <c r="F1550" s="3" t="s">
        <v>6195</v>
      </c>
      <c r="G1550" s="3" t="s">
        <v>6174</v>
      </c>
      <c r="H1550" s="3" t="s">
        <v>6196</v>
      </c>
      <c r="I1550" s="3" t="s">
        <v>20</v>
      </c>
      <c r="J1550" s="3">
        <v>7.96</v>
      </c>
      <c r="K1550" s="3" t="s">
        <v>21</v>
      </c>
      <c r="L1550" s="3" t="s">
        <v>6197</v>
      </c>
      <c r="M1550" s="3" t="s">
        <v>6198</v>
      </c>
      <c r="N1550" s="6" t="str">
        <f>HYPERLINK("C:\Users\alexa\YandexDisk\Книги\Математика\Дискретная математика\Fundamentals_of_discrete_math_for_computer_science_a_problem_solving.pdf","Fundamentals_of_discrete_math_for_computer_science_a_problem_solving.pdf")</f>
        <v>Fundamentals_of_discrete_math_for_computer_science_a_problem_solving.pdf</v>
      </c>
      <c r="O1550" s="3" t="s">
        <v>6199</v>
      </c>
    </row>
    <row r="1551" spans="1:15" ht="165.6" x14ac:dyDescent="0.3">
      <c r="A1551" s="4">
        <v>1550</v>
      </c>
      <c r="B1551" s="5" t="s">
        <v>6200</v>
      </c>
      <c r="C1551" s="5" t="s">
        <v>6201</v>
      </c>
      <c r="D1551" s="5" t="s">
        <v>17</v>
      </c>
      <c r="E1551" s="5" t="s">
        <v>6202</v>
      </c>
      <c r="F1551" s="5" t="s">
        <v>6195</v>
      </c>
      <c r="G1551" s="5" t="s">
        <v>6174</v>
      </c>
      <c r="H1551" s="5" t="s">
        <v>6196</v>
      </c>
      <c r="I1551" s="5" t="s">
        <v>20</v>
      </c>
      <c r="J1551" s="5">
        <v>3.32</v>
      </c>
      <c r="K1551" s="5" t="s">
        <v>21</v>
      </c>
      <c r="L1551" s="5" t="s">
        <v>6203</v>
      </c>
      <c r="M1551" s="5" t="s">
        <v>6198</v>
      </c>
      <c r="N1551" s="7" t="str">
        <f>HYPERLINK("C:\Users\alexa\YandexDisk\Книги\Математика\Дискретная математика\Лекции_по_дискретной_математике_2021_Дехтярь,_Дудаков,_Карлов.pdf","Лекции_по_дискретной_математике_2021_Дехтярь,_Дудаков,_Карлов.pdf")</f>
        <v>Лекции_по_дискретной_математике_2021_Дехтярь,_Дудаков,_Карлов.pdf</v>
      </c>
      <c r="O1551" s="5" t="s">
        <v>6204</v>
      </c>
    </row>
    <row r="1552" spans="1:15" ht="207" x14ac:dyDescent="0.3">
      <c r="A1552" s="2">
        <v>1551</v>
      </c>
      <c r="B1552" s="3" t="s">
        <v>6196</v>
      </c>
      <c r="C1552" s="3" t="s">
        <v>6205</v>
      </c>
      <c r="D1552" s="3" t="s">
        <v>476</v>
      </c>
      <c r="E1552" s="3" t="s">
        <v>18</v>
      </c>
      <c r="F1552" s="3" t="s">
        <v>6195</v>
      </c>
      <c r="G1552" s="3" t="s">
        <v>6174</v>
      </c>
      <c r="H1552" s="3" t="s">
        <v>6196</v>
      </c>
      <c r="I1552" s="3" t="s">
        <v>20</v>
      </c>
      <c r="J1552" s="3">
        <v>26.97</v>
      </c>
      <c r="K1552" s="3" t="s">
        <v>21</v>
      </c>
      <c r="L1552" s="3" t="s">
        <v>6206</v>
      </c>
      <c r="M1552" s="3" t="s">
        <v>6198</v>
      </c>
      <c r="N1552" s="6" t="str">
        <f>HYPERLINK("C:\Users\alexa\YandexDisk\Книги\Математика\Дискретная математика\Новиков diskretnaya-matematika-2-e-izdanie.pdf","Новиков diskretnaya-matematika-2-e-izdanie.pdf")</f>
        <v>Новиков diskretnaya-matematika-2-e-izdanie.pdf</v>
      </c>
      <c r="O1552" s="3" t="s">
        <v>6207</v>
      </c>
    </row>
    <row r="1553" spans="1:15" ht="41.4" x14ac:dyDescent="0.3">
      <c r="A1553" s="4">
        <v>1552</v>
      </c>
      <c r="B1553" s="5" t="s">
        <v>6208</v>
      </c>
      <c r="C1553" s="5" t="s">
        <v>6209</v>
      </c>
      <c r="D1553" s="5"/>
      <c r="E1553" s="5"/>
      <c r="F1553" s="5" t="s">
        <v>6195</v>
      </c>
      <c r="G1553" s="5" t="s">
        <v>6174</v>
      </c>
      <c r="H1553" s="5" t="s">
        <v>6196</v>
      </c>
      <c r="I1553" s="5" t="s">
        <v>20</v>
      </c>
      <c r="J1553" s="5">
        <v>14.41</v>
      </c>
      <c r="K1553" s="5" t="s">
        <v>21</v>
      </c>
      <c r="L1553" s="5" t="s">
        <v>6210</v>
      </c>
      <c r="M1553" s="5" t="s">
        <v>6198</v>
      </c>
      <c r="N1553" s="7" t="str">
        <f>HYPERLINK("C:\Users\alexa\YandexDisk\Книги\Математика\Дискретная математика\По океану дискретной матиматики.pdf","По океану дискретной матиматики.pdf")</f>
        <v>По океану дискретной матиматики.pdf</v>
      </c>
      <c r="O1553" s="5" t="s">
        <v>930</v>
      </c>
    </row>
    <row r="1554" spans="1:15" ht="234.6" x14ac:dyDescent="0.3">
      <c r="A1554" s="2">
        <v>1553</v>
      </c>
      <c r="B1554" s="3" t="s">
        <v>6211</v>
      </c>
      <c r="C1554" s="3" t="s">
        <v>6212</v>
      </c>
      <c r="D1554" s="3" t="s">
        <v>2881</v>
      </c>
      <c r="E1554" s="3" t="s">
        <v>162</v>
      </c>
      <c r="F1554" s="3" t="s">
        <v>6195</v>
      </c>
      <c r="G1554" s="3" t="s">
        <v>6174</v>
      </c>
      <c r="H1554" s="3" t="s">
        <v>6196</v>
      </c>
      <c r="I1554" s="3" t="s">
        <v>20</v>
      </c>
      <c r="J1554" s="3">
        <v>4.78</v>
      </c>
      <c r="K1554" s="3" t="s">
        <v>21</v>
      </c>
      <c r="L1554" s="3" t="s">
        <v>6213</v>
      </c>
      <c r="M1554" s="3" t="s">
        <v>6198</v>
      </c>
      <c r="N1554" s="6" t="str">
        <f>HYPERLINK("C:\Users\alexa\YandexDisk\Книги\Математика\Дискретная математика\Хаггарти  Discretnaya-matematika 2003.pdf","Хаггарти  Discretnaya-matematika 2003.pdf")</f>
        <v>Хаггарти  Discretnaya-matematika 2003.pdf</v>
      </c>
      <c r="O1554" s="3" t="s">
        <v>6214</v>
      </c>
    </row>
    <row r="1555" spans="1:15" ht="179.4" x14ac:dyDescent="0.3">
      <c r="A1555" s="4">
        <v>1554</v>
      </c>
      <c r="B1555" s="5" t="s">
        <v>6211</v>
      </c>
      <c r="C1555" s="5" t="s">
        <v>6215</v>
      </c>
      <c r="D1555" s="5" t="s">
        <v>65</v>
      </c>
      <c r="E1555" s="5" t="s">
        <v>162</v>
      </c>
      <c r="F1555" s="5" t="s">
        <v>6195</v>
      </c>
      <c r="G1555" s="5" t="s">
        <v>6174</v>
      </c>
      <c r="H1555" s="5" t="s">
        <v>6196</v>
      </c>
      <c r="I1555" s="5" t="s">
        <v>20</v>
      </c>
      <c r="J1555" s="5">
        <v>4.03</v>
      </c>
      <c r="K1555" s="5" t="s">
        <v>21</v>
      </c>
      <c r="L1555" s="5" t="s">
        <v>6216</v>
      </c>
      <c r="M1555" s="5" t="s">
        <v>6198</v>
      </c>
      <c r="N1555" s="7" t="str">
        <f>HYPERLINK("C:\Users\alexa\YandexDisk\Книги\Математика\Дискретная математика\Хаггарти diskretnaya-matematika-dlya-programmistov-2-e-izdanie 2012.pdf","Хаггарти diskretnaya-matematika-dlya-programmistov-2-e-izdanie 2012.pdf")</f>
        <v>Хаггарти diskretnaya-matematika-dlya-programmistov-2-e-izdanie 2012.pdf</v>
      </c>
      <c r="O1555" s="5" t="s">
        <v>6217</v>
      </c>
    </row>
    <row r="1556" spans="1:15" ht="138" x14ac:dyDescent="0.3">
      <c r="A1556" s="2">
        <v>1555</v>
      </c>
      <c r="B1556" s="3" t="s">
        <v>6218</v>
      </c>
      <c r="C1556" s="3" t="s">
        <v>6219</v>
      </c>
      <c r="D1556" s="3" t="s">
        <v>77</v>
      </c>
      <c r="E1556" s="3" t="s">
        <v>1127</v>
      </c>
      <c r="F1556" s="3" t="s">
        <v>6220</v>
      </c>
      <c r="G1556" s="3" t="s">
        <v>6174</v>
      </c>
      <c r="H1556" s="3" t="s">
        <v>6221</v>
      </c>
      <c r="I1556" s="3" t="s">
        <v>20</v>
      </c>
      <c r="J1556" s="3">
        <v>3.77</v>
      </c>
      <c r="K1556" s="3" t="s">
        <v>21</v>
      </c>
      <c r="L1556" s="3" t="s">
        <v>6222</v>
      </c>
      <c r="M1556" s="3" t="s">
        <v>6223</v>
      </c>
      <c r="N1556" s="6" t="str">
        <f>HYPERLINK("C:\Users\alexa\YandexDisk\Книги\Математика\Линейная алгебра\!!!Линейная алгебра на Python.pdf","!!!Линейная алгебра на Python.pdf")</f>
        <v>!!!Линейная алгебра на Python.pdf</v>
      </c>
      <c r="O1556" s="3" t="s">
        <v>6224</v>
      </c>
    </row>
    <row r="1557" spans="1:15" ht="193.2" x14ac:dyDescent="0.3">
      <c r="A1557" s="4">
        <v>1556</v>
      </c>
      <c r="B1557" s="5" t="s">
        <v>6225</v>
      </c>
      <c r="C1557" s="5" t="s">
        <v>6226</v>
      </c>
      <c r="D1557" s="5" t="s">
        <v>17</v>
      </c>
      <c r="E1557" s="5" t="s">
        <v>4289</v>
      </c>
      <c r="F1557" s="5" t="s">
        <v>6220</v>
      </c>
      <c r="G1557" s="5" t="s">
        <v>6174</v>
      </c>
      <c r="H1557" s="5" t="s">
        <v>6221</v>
      </c>
      <c r="I1557" s="5" t="s">
        <v>20</v>
      </c>
      <c r="J1557" s="5">
        <v>5.22</v>
      </c>
      <c r="K1557" s="5" t="s">
        <v>21</v>
      </c>
      <c r="L1557" s="5" t="s">
        <v>6227</v>
      </c>
      <c r="M1557" s="5" t="s">
        <v>6223</v>
      </c>
      <c r="N1557" s="7" t="str">
        <f>HYPERLINK("C:\Users\alexa\YandexDisk\Книги\Математика\Линейная алгебра\!!Математика_Линейная_алгебра_и_аналитическая_геометрия.pdf","!!Математика_Линейная_алгебра_и_аналитическая_геометрия.pdf")</f>
        <v>!!Математика_Линейная_алгебра_и_аналитическая_геометрия.pdf</v>
      </c>
      <c r="O1557" s="5" t="s">
        <v>6228</v>
      </c>
    </row>
    <row r="1558" spans="1:15" ht="138" x14ac:dyDescent="0.3">
      <c r="A1558" s="2">
        <v>1557</v>
      </c>
      <c r="B1558" s="3" t="s">
        <v>6229</v>
      </c>
      <c r="C1558" s="3" t="s">
        <v>6230</v>
      </c>
      <c r="D1558" s="3" t="s">
        <v>27</v>
      </c>
      <c r="E1558" s="3" t="s">
        <v>442</v>
      </c>
      <c r="F1558" s="3" t="s">
        <v>6220</v>
      </c>
      <c r="G1558" s="3" t="s">
        <v>6174</v>
      </c>
      <c r="H1558" s="3" t="s">
        <v>6221</v>
      </c>
      <c r="I1558" s="3" t="s">
        <v>20</v>
      </c>
      <c r="J1558" s="3">
        <v>14.03</v>
      </c>
      <c r="K1558" s="3" t="s">
        <v>21</v>
      </c>
      <c r="L1558" s="3" t="s">
        <v>6231</v>
      </c>
      <c r="M1558" s="3" t="s">
        <v>6223</v>
      </c>
      <c r="N1558" s="6" t="str">
        <f>HYPERLINK("C:\Users\alexa\YandexDisk\Книги\Математика\Линейная алгебра\!Прикладная_линейная_алгебра_для_исследователей_данных_2023_Майк.pdf","!Прикладная_линейная_алгебра_для_исследователей_данных_2023_Майк.pdf")</f>
        <v>!Прикладная_линейная_алгебра_для_исследователей_данных_2023_Майк.pdf</v>
      </c>
      <c r="O1558" s="3" t="s">
        <v>6232</v>
      </c>
    </row>
    <row r="1559" spans="1:15" ht="193.2" x14ac:dyDescent="0.3">
      <c r="A1559" s="4">
        <v>1558</v>
      </c>
      <c r="B1559" s="5" t="s">
        <v>6233</v>
      </c>
      <c r="C1559" s="5" t="s">
        <v>6234</v>
      </c>
      <c r="D1559" s="5" t="s">
        <v>59</v>
      </c>
      <c r="E1559" s="5"/>
      <c r="F1559" s="5" t="s">
        <v>6220</v>
      </c>
      <c r="G1559" s="5" t="s">
        <v>6174</v>
      </c>
      <c r="H1559" s="5" t="s">
        <v>6221</v>
      </c>
      <c r="I1559" s="5" t="s">
        <v>20</v>
      </c>
      <c r="J1559" s="5">
        <v>32.39</v>
      </c>
      <c r="K1559" s="5" t="s">
        <v>21</v>
      </c>
      <c r="L1559" s="5" t="s">
        <v>6235</v>
      </c>
      <c r="M1559" s="5" t="s">
        <v>6223</v>
      </c>
      <c r="N1559" s="7" t="str">
        <f>HYPERLINK("C:\Users\alexa\YandexDisk\Книги\Математика\Линейная алгебра\A_Programmer’s_Introduction_to_Mathematics_Jeremy_Kun_A_Programmer’s.pdf","A_Programmer’s_Introduction_to_Mathematics_Jeremy_Kun_A_Programmer’s.pdf")</f>
        <v>A_Programmer’s_Introduction_to_Mathematics_Jeremy_Kun_A_Programmer’s.pdf</v>
      </c>
      <c r="O1559" s="5" t="s">
        <v>6236</v>
      </c>
    </row>
    <row r="1560" spans="1:15" ht="220.8" x14ac:dyDescent="0.3">
      <c r="A1560" s="2">
        <v>1559</v>
      </c>
      <c r="B1560" s="3" t="s">
        <v>6237</v>
      </c>
      <c r="C1560" s="3" t="s">
        <v>6238</v>
      </c>
      <c r="D1560" s="3"/>
      <c r="E1560" s="3"/>
      <c r="F1560" s="3" t="s">
        <v>6220</v>
      </c>
      <c r="G1560" s="3" t="s">
        <v>6174</v>
      </c>
      <c r="H1560" s="3" t="s">
        <v>6221</v>
      </c>
      <c r="I1560" s="3" t="s">
        <v>20</v>
      </c>
      <c r="J1560" s="3">
        <v>12.39</v>
      </c>
      <c r="K1560" s="3" t="s">
        <v>21</v>
      </c>
      <c r="L1560" s="3" t="s">
        <v>6239</v>
      </c>
      <c r="M1560" s="3" t="s">
        <v>6223</v>
      </c>
      <c r="N1560" s="6" t="str">
        <f>HYPERLINK("C:\Users\alexa\YandexDisk\Книги\Математика\Линейная алгебра\Elementary.Linear.Algebra.pdf","Elementary.Linear.Algebra.pdf")</f>
        <v>Elementary.Linear.Algebra.pdf</v>
      </c>
      <c r="O1560" s="3" t="s">
        <v>6240</v>
      </c>
    </row>
    <row r="1561" spans="1:15" ht="179.4" x14ac:dyDescent="0.3">
      <c r="A1561" s="4">
        <v>1560</v>
      </c>
      <c r="B1561" s="5" t="s">
        <v>6241</v>
      </c>
      <c r="C1561" s="5" t="s">
        <v>6242</v>
      </c>
      <c r="D1561" s="5" t="s">
        <v>186</v>
      </c>
      <c r="E1561" s="5"/>
      <c r="F1561" s="5" t="s">
        <v>6220</v>
      </c>
      <c r="G1561" s="5" t="s">
        <v>6174</v>
      </c>
      <c r="H1561" s="5" t="s">
        <v>6221</v>
      </c>
      <c r="I1561" s="5" t="s">
        <v>20</v>
      </c>
      <c r="J1561" s="5">
        <v>6.68</v>
      </c>
      <c r="K1561" s="5" t="s">
        <v>21</v>
      </c>
      <c r="L1561" s="5" t="s">
        <v>6243</v>
      </c>
      <c r="M1561" s="5" t="s">
        <v>6223</v>
      </c>
      <c r="N1561" s="7" t="str">
        <f>HYPERLINK("C:\Users\alexa\YandexDisk\Книги\Математика\Линейная алгебра\Gentle-Introduction-to-Optimization-2014.pdf","Gentle-Introduction-to-Optimization-2014.pdf")</f>
        <v>Gentle-Introduction-to-Optimization-2014.pdf</v>
      </c>
      <c r="O1561" s="5" t="s">
        <v>6244</v>
      </c>
    </row>
    <row r="1562" spans="1:15" ht="193.2" x14ac:dyDescent="0.3">
      <c r="A1562" s="2">
        <v>1561</v>
      </c>
      <c r="B1562" s="3" t="s">
        <v>6245</v>
      </c>
      <c r="C1562" s="3" t="s">
        <v>6246</v>
      </c>
      <c r="D1562" s="3" t="s">
        <v>114</v>
      </c>
      <c r="E1562" s="3" t="s">
        <v>2183</v>
      </c>
      <c r="F1562" s="3" t="s">
        <v>6220</v>
      </c>
      <c r="G1562" s="3" t="s">
        <v>6174</v>
      </c>
      <c r="H1562" s="3" t="s">
        <v>6221</v>
      </c>
      <c r="I1562" s="3" t="s">
        <v>20</v>
      </c>
      <c r="J1562" s="3">
        <v>8.6999999999999993</v>
      </c>
      <c r="K1562" s="3" t="s">
        <v>21</v>
      </c>
      <c r="L1562" s="3" t="s">
        <v>6247</v>
      </c>
      <c r="M1562" s="3" t="s">
        <v>6223</v>
      </c>
      <c r="N1562" s="6" t="str">
        <f>HYPERLINK("C:\Users\alexa\YandexDisk\Книги\Математика\Линейная алгебра\James_M_Van_Verth_Essential_Mathematics_for_Games_and_Interactive.pdf","James_M_Van_Verth_Essential_Mathematics_for_Games_and_Interactive.pdf")</f>
        <v>James_M_Van_Verth_Essential_Mathematics_for_Games_and_Interactive.pdf</v>
      </c>
      <c r="O1562" s="3" t="s">
        <v>6248</v>
      </c>
    </row>
    <row r="1563" spans="1:15" ht="179.4" x14ac:dyDescent="0.3">
      <c r="A1563" s="4">
        <v>1562</v>
      </c>
      <c r="B1563" s="5" t="s">
        <v>6249</v>
      </c>
      <c r="C1563" s="5" t="s">
        <v>6250</v>
      </c>
      <c r="D1563" s="5"/>
      <c r="E1563" s="5"/>
      <c r="F1563" s="5" t="s">
        <v>6220</v>
      </c>
      <c r="G1563" s="5" t="s">
        <v>6174</v>
      </c>
      <c r="H1563" s="5" t="s">
        <v>6221</v>
      </c>
      <c r="I1563" s="5" t="s">
        <v>20</v>
      </c>
      <c r="J1563" s="5">
        <v>14.9</v>
      </c>
      <c r="K1563" s="5" t="s">
        <v>21</v>
      </c>
      <c r="L1563" s="5" t="s">
        <v>6251</v>
      </c>
      <c r="M1563" s="5" t="s">
        <v>6223</v>
      </c>
      <c r="N1563" s="7" t="str">
        <f>HYPERLINK("C:\Users\alexa\YandexDisk\Книги\Математика\Линейная алгебра\Kostrikin_Manin Линейная алгебра и геометрия.pdf","Kostrikin_Manin Линейная алгебра и геометрия.pdf")</f>
        <v>Kostrikin_Manin Линейная алгебра и геометрия.pdf</v>
      </c>
      <c r="O1563" s="5" t="s">
        <v>6252</v>
      </c>
    </row>
    <row r="1564" spans="1:15" ht="179.4" x14ac:dyDescent="0.3">
      <c r="A1564" s="2">
        <v>1563</v>
      </c>
      <c r="B1564" s="3" t="s">
        <v>6253</v>
      </c>
      <c r="C1564" s="3" t="s">
        <v>6254</v>
      </c>
      <c r="D1564" s="3" t="s">
        <v>27</v>
      </c>
      <c r="E1564" s="3" t="s">
        <v>3280</v>
      </c>
      <c r="F1564" s="3" t="s">
        <v>6220</v>
      </c>
      <c r="G1564" s="3" t="s">
        <v>6174</v>
      </c>
      <c r="H1564" s="3" t="s">
        <v>6221</v>
      </c>
      <c r="I1564" s="3" t="s">
        <v>20</v>
      </c>
      <c r="J1564" s="3">
        <v>10.55</v>
      </c>
      <c r="K1564" s="3" t="s">
        <v>21</v>
      </c>
      <c r="L1564" s="3" t="s">
        <v>6255</v>
      </c>
      <c r="M1564" s="3" t="s">
        <v>6223</v>
      </c>
      <c r="N1564" s="6" t="str">
        <f>HYPERLINK("C:\Users\alexa\YandexDisk\Книги\Математика\Линейная алгебра\Linear Algebra for Data Science.pdf","Linear Algebra for Data Science.pdf")</f>
        <v>Linear Algebra for Data Science.pdf</v>
      </c>
      <c r="O1564" s="3" t="s">
        <v>6256</v>
      </c>
    </row>
    <row r="1565" spans="1:15" ht="193.2" x14ac:dyDescent="0.3">
      <c r="A1565" s="4">
        <v>1564</v>
      </c>
      <c r="B1565" s="5" t="s">
        <v>6257</v>
      </c>
      <c r="C1565" s="5" t="s">
        <v>6258</v>
      </c>
      <c r="D1565" s="5" t="s">
        <v>27</v>
      </c>
      <c r="E1565" s="5" t="s">
        <v>3280</v>
      </c>
      <c r="F1565" s="5" t="s">
        <v>6220</v>
      </c>
      <c r="G1565" s="5" t="s">
        <v>6174</v>
      </c>
      <c r="H1565" s="5" t="s">
        <v>6221</v>
      </c>
      <c r="I1565" s="5" t="s">
        <v>20</v>
      </c>
      <c r="J1565" s="5">
        <v>10.31</v>
      </c>
      <c r="K1565" s="5" t="s">
        <v>21</v>
      </c>
      <c r="L1565" s="5" t="s">
        <v>6259</v>
      </c>
      <c r="M1565" s="5" t="s">
        <v>6223</v>
      </c>
      <c r="N1565" s="7" t="str">
        <f>HYPERLINK("C:\Users\alexa\YandexDisk\Книги\Математика\Линейная алгебра\Linear Algebra Tools for Data Mining (1).pdf","Linear Algebra Tools for Data Mining (1).pdf")</f>
        <v>Linear Algebra Tools for Data Mining (1).pdf</v>
      </c>
      <c r="O1565" s="5" t="s">
        <v>6260</v>
      </c>
    </row>
    <row r="1566" spans="1:15" ht="248.4" x14ac:dyDescent="0.3">
      <c r="A1566" s="2">
        <v>1565</v>
      </c>
      <c r="B1566" s="3" t="s">
        <v>6261</v>
      </c>
      <c r="C1566" s="3" t="s">
        <v>6262</v>
      </c>
      <c r="D1566" s="3" t="s">
        <v>27</v>
      </c>
      <c r="E1566" s="3" t="s">
        <v>701</v>
      </c>
      <c r="F1566" s="3" t="s">
        <v>6220</v>
      </c>
      <c r="G1566" s="3" t="s">
        <v>6174</v>
      </c>
      <c r="H1566" s="3" t="s">
        <v>6221</v>
      </c>
      <c r="I1566" s="3" t="s">
        <v>20</v>
      </c>
      <c r="J1566" s="3">
        <v>6.57</v>
      </c>
      <c r="K1566" s="3" t="s">
        <v>21</v>
      </c>
      <c r="L1566" s="3" t="s">
        <v>6263</v>
      </c>
      <c r="M1566" s="3" t="s">
        <v>6223</v>
      </c>
      <c r="N1566" s="6" t="str">
        <f>HYPERLINK("C:\Users\alexa\YandexDisk\Книги\Математика\Линейная алгебра\Linear Programming Computation, 2nd Edition.pdf","Linear Programming Computation, 2nd Edition.pdf")</f>
        <v>Linear Programming Computation, 2nd Edition.pdf</v>
      </c>
      <c r="O1566" s="3" t="s">
        <v>6264</v>
      </c>
    </row>
    <row r="1567" spans="1:15" ht="234.6" x14ac:dyDescent="0.3">
      <c r="A1567" s="4">
        <v>1566</v>
      </c>
      <c r="B1567" s="5" t="s">
        <v>6265</v>
      </c>
      <c r="C1567" s="5" t="s">
        <v>6266</v>
      </c>
      <c r="D1567" s="5" t="s">
        <v>17</v>
      </c>
      <c r="E1567" s="5" t="s">
        <v>97</v>
      </c>
      <c r="F1567" s="5" t="s">
        <v>6220</v>
      </c>
      <c r="G1567" s="5" t="s">
        <v>6174</v>
      </c>
      <c r="H1567" s="5" t="s">
        <v>6221</v>
      </c>
      <c r="I1567" s="5" t="s">
        <v>20</v>
      </c>
      <c r="J1567" s="5">
        <v>16.59</v>
      </c>
      <c r="K1567" s="5" t="s">
        <v>21</v>
      </c>
      <c r="L1567" s="5" t="s">
        <v>6267</v>
      </c>
      <c r="M1567" s="5" t="s">
        <v>6223</v>
      </c>
      <c r="N1567" s="7" t="str">
        <f>HYPERLINK("C:\Users\alexa\YandexDisk\Книги\Математика\Линейная алгебра\Mathematic_for_ML 2021.pdf","Mathematic_for_ML 2021.pdf")</f>
        <v>Mathematic_for_ML 2021.pdf</v>
      </c>
      <c r="O1567" s="5" t="s">
        <v>6268</v>
      </c>
    </row>
    <row r="1568" spans="1:15" ht="207" x14ac:dyDescent="0.3">
      <c r="A1568" s="2">
        <v>1567</v>
      </c>
      <c r="B1568" s="3" t="s">
        <v>6269</v>
      </c>
      <c r="C1568" s="3" t="s">
        <v>6270</v>
      </c>
      <c r="D1568" s="3" t="s">
        <v>59</v>
      </c>
      <c r="E1568" s="3" t="s">
        <v>536</v>
      </c>
      <c r="F1568" s="3" t="s">
        <v>6220</v>
      </c>
      <c r="G1568" s="3" t="s">
        <v>6174</v>
      </c>
      <c r="H1568" s="3" t="s">
        <v>6221</v>
      </c>
      <c r="I1568" s="3" t="s">
        <v>20</v>
      </c>
      <c r="J1568" s="3">
        <v>33.18</v>
      </c>
      <c r="K1568" s="3" t="s">
        <v>21</v>
      </c>
      <c r="L1568" s="3" t="s">
        <v>6271</v>
      </c>
      <c r="M1568" s="3" t="s">
        <v>6223</v>
      </c>
      <c r="N1568" s="6" t="str">
        <f>HYPERLINK("C:\Users\alexa\YandexDisk\Книги\Математика\Линейная алгебра\Math_for_Programmers_-_3D_graphics_machine_learning_and_simulations_with_Python_2020_Paul_Orland.pdf","Math_for_Programmers_-_3D_graphics_machine_learning_and_simulations_with_Python_2020_Paul_Orland.pdf")</f>
        <v>Math_for_Programmers_-_3D_graphics_machine_learning_and_simulations_with_Python_2020_Paul_Orland.pdf</v>
      </c>
      <c r="O1568" s="3" t="s">
        <v>6272</v>
      </c>
    </row>
    <row r="1569" spans="1:15" ht="165.6" x14ac:dyDescent="0.3">
      <c r="A1569" s="4">
        <v>1568</v>
      </c>
      <c r="B1569" s="5" t="s">
        <v>6273</v>
      </c>
      <c r="C1569" s="5" t="s">
        <v>4880</v>
      </c>
      <c r="D1569" s="5"/>
      <c r="E1569" s="5"/>
      <c r="F1569" s="5" t="s">
        <v>6220</v>
      </c>
      <c r="G1569" s="5" t="s">
        <v>6174</v>
      </c>
      <c r="H1569" s="5" t="s">
        <v>6221</v>
      </c>
      <c r="I1569" s="5" t="s">
        <v>280</v>
      </c>
      <c r="J1569" s="5">
        <v>10.35</v>
      </c>
      <c r="K1569" s="5" t="s">
        <v>21</v>
      </c>
      <c r="L1569" s="5" t="s">
        <v>6274</v>
      </c>
      <c r="M1569" s="5" t="s">
        <v>6223</v>
      </c>
      <c r="N1569" s="7" t="str">
        <f>HYPERLINK("C:\Users\alexa\YandexDisk\Книги\Математика\Линейная алгебра\Ronald_T_Kneusel_Math_for_Deep_Learning_What_You_Need_to_Know_to.epub","Ronald_T_Kneusel_Math_for_Deep_Learning_What_You_Need_to_Know_to.epub")</f>
        <v>Ronald_T_Kneusel_Math_for_Deep_Learning_What_You_Need_to_Know_to.epub</v>
      </c>
      <c r="O1569" s="5" t="s">
        <v>6275</v>
      </c>
    </row>
    <row r="1570" spans="1:15" ht="179.4" x14ac:dyDescent="0.3">
      <c r="A1570" s="2">
        <v>1569</v>
      </c>
      <c r="B1570" s="3" t="s">
        <v>6276</v>
      </c>
      <c r="C1570" s="3" t="s">
        <v>6277</v>
      </c>
      <c r="D1570" s="3" t="s">
        <v>59</v>
      </c>
      <c r="E1570" s="3" t="s">
        <v>4289</v>
      </c>
      <c r="F1570" s="3" t="s">
        <v>6220</v>
      </c>
      <c r="G1570" s="3" t="s">
        <v>6174</v>
      </c>
      <c r="H1570" s="3" t="s">
        <v>6221</v>
      </c>
      <c r="I1570" s="3" t="s">
        <v>20</v>
      </c>
      <c r="J1570" s="3">
        <v>5.85</v>
      </c>
      <c r="K1570" s="3" t="s">
        <v>21</v>
      </c>
      <c r="L1570" s="3" t="s">
        <v>6278</v>
      </c>
      <c r="M1570" s="3" t="s">
        <v>6223</v>
      </c>
      <c r="N1570" s="6" t="str">
        <f>HYPERLINK("C:\Users\alexa\YandexDisk\Книги\Математика\Линейная алгебра\Shevaldina_i_dr_-_Metody_optimalnykh_resheniy.pdf","Shevaldina_i_dr_-_Metody_optimalnykh_resheniy.pdf")</f>
        <v>Shevaldina_i_dr_-_Metody_optimalnykh_resheniy.pdf</v>
      </c>
      <c r="O1570" s="3" t="s">
        <v>6279</v>
      </c>
    </row>
    <row r="1571" spans="1:15" ht="193.2" x14ac:dyDescent="0.3">
      <c r="A1571" s="4">
        <v>1570</v>
      </c>
      <c r="B1571" s="5" t="s">
        <v>6280</v>
      </c>
      <c r="C1571" s="5" t="s">
        <v>6281</v>
      </c>
      <c r="D1571" s="5" t="s">
        <v>2849</v>
      </c>
      <c r="E1571" s="5" t="s">
        <v>6282</v>
      </c>
      <c r="F1571" s="5" t="s">
        <v>6220</v>
      </c>
      <c r="G1571" s="5" t="s">
        <v>6174</v>
      </c>
      <c r="H1571" s="5" t="s">
        <v>6221</v>
      </c>
      <c r="I1571" s="5" t="s">
        <v>20</v>
      </c>
      <c r="J1571" s="5">
        <v>5.46</v>
      </c>
      <c r="K1571" s="5" t="s">
        <v>21</v>
      </c>
      <c r="L1571" s="5" t="s">
        <v>6283</v>
      </c>
      <c r="M1571" s="5" t="s">
        <v>6223</v>
      </c>
      <c r="N1571" s="7" t="str">
        <f>HYPERLINK("C:\Users\alexa\YandexDisk\Книги\Математика\Линейная алгебра\Винберг Курс алгебры 2-изд 2001.pdf","Винберг Курс алгебры 2-изд 2001.pdf")</f>
        <v>Винберг Курс алгебры 2-изд 2001.pdf</v>
      </c>
      <c r="O1571" s="5" t="s">
        <v>6284</v>
      </c>
    </row>
    <row r="1572" spans="1:15" ht="41.4" x14ac:dyDescent="0.3">
      <c r="A1572" s="2">
        <v>1571</v>
      </c>
      <c r="B1572" s="3" t="s">
        <v>6285</v>
      </c>
      <c r="C1572" s="3" t="s">
        <v>6286</v>
      </c>
      <c r="D1572" s="3" t="s">
        <v>5439</v>
      </c>
      <c r="E1572" s="3"/>
      <c r="F1572" s="3" t="s">
        <v>6220</v>
      </c>
      <c r="G1572" s="3" t="s">
        <v>6174</v>
      </c>
      <c r="H1572" s="3" t="s">
        <v>6221</v>
      </c>
      <c r="I1572" s="3" t="s">
        <v>20</v>
      </c>
      <c r="J1572" s="3">
        <v>1.39</v>
      </c>
      <c r="K1572" s="3" t="s">
        <v>21</v>
      </c>
      <c r="L1572" s="3" t="s">
        <v>6287</v>
      </c>
      <c r="M1572" s="3" t="s">
        <v>6223</v>
      </c>
      <c r="N1572" s="6" t="str">
        <f>HYPERLINK("C:\Users\alexa\YandexDisk\Книги\Математика\Линейная алгебра\Гельфанд. Лекции по линейной алгебре 1998.pdf","Гельфанд. Лекции по линейной алгебре 1998.pdf")</f>
        <v>Гельфанд. Лекции по линейной алгебре 1998.pdf</v>
      </c>
      <c r="O1572" s="3" t="s">
        <v>930</v>
      </c>
    </row>
    <row r="1573" spans="1:15" ht="151.80000000000001" x14ac:dyDescent="0.3">
      <c r="A1573" s="4">
        <v>1572</v>
      </c>
      <c r="B1573" s="5" t="s">
        <v>6288</v>
      </c>
      <c r="C1573" s="5" t="s">
        <v>6289</v>
      </c>
      <c r="D1573" s="5" t="s">
        <v>32</v>
      </c>
      <c r="E1573" s="5" t="s">
        <v>6290</v>
      </c>
      <c r="F1573" s="5" t="s">
        <v>6220</v>
      </c>
      <c r="G1573" s="5" t="s">
        <v>6174</v>
      </c>
      <c r="H1573" s="5" t="s">
        <v>6221</v>
      </c>
      <c r="I1573" s="5" t="s">
        <v>20</v>
      </c>
      <c r="J1573" s="5">
        <v>11.96</v>
      </c>
      <c r="K1573" s="5" t="s">
        <v>21</v>
      </c>
      <c r="L1573" s="5" t="s">
        <v>6291</v>
      </c>
      <c r="M1573" s="5" t="s">
        <v>6223</v>
      </c>
      <c r="N1573" s="7" t="str">
        <f>HYPERLINK("C:\Users\alexa\YandexDisk\Книги\Математика\Линейная алгебра\Книга Математика на Python.pdf","Книга Математика на Python.pdf")</f>
        <v>Книга Математика на Python.pdf</v>
      </c>
      <c r="O1573" s="5" t="s">
        <v>6292</v>
      </c>
    </row>
    <row r="1574" spans="1:15" ht="124.2" x14ac:dyDescent="0.3">
      <c r="A1574" s="2">
        <v>1573</v>
      </c>
      <c r="B1574" s="3" t="s">
        <v>6293</v>
      </c>
      <c r="C1574" s="3"/>
      <c r="D1574" s="3"/>
      <c r="E1574" s="3"/>
      <c r="F1574" s="3" t="s">
        <v>6220</v>
      </c>
      <c r="G1574" s="3" t="s">
        <v>6174</v>
      </c>
      <c r="H1574" s="3" t="s">
        <v>6221</v>
      </c>
      <c r="I1574" s="3" t="s">
        <v>20</v>
      </c>
      <c r="J1574" s="3">
        <v>0.13</v>
      </c>
      <c r="K1574" s="3" t="s">
        <v>21</v>
      </c>
      <c r="L1574" s="3" t="s">
        <v>6294</v>
      </c>
      <c r="M1574" s="3" t="s">
        <v>6223</v>
      </c>
      <c r="N1574" s="6" t="str">
        <f>HYPERLINK("C:\Users\alexa\YandexDisk\Книги\Математика\Линейная алгебра\Линейное пространство - Лекция.pdf","Линейное пространство - Лекция.pdf")</f>
        <v>Линейное пространство - Лекция.pdf</v>
      </c>
      <c r="O1574" s="3" t="s">
        <v>6295</v>
      </c>
    </row>
    <row r="1575" spans="1:15" ht="193.2" x14ac:dyDescent="0.3">
      <c r="A1575" s="4">
        <v>1574</v>
      </c>
      <c r="B1575" s="5" t="s">
        <v>6296</v>
      </c>
      <c r="C1575" s="5" t="s">
        <v>6297</v>
      </c>
      <c r="D1575" s="5" t="s">
        <v>335</v>
      </c>
      <c r="E1575" s="5" t="s">
        <v>336</v>
      </c>
      <c r="F1575" s="5" t="s">
        <v>6220</v>
      </c>
      <c r="G1575" s="5" t="s">
        <v>6174</v>
      </c>
      <c r="H1575" s="5" t="s">
        <v>6221</v>
      </c>
      <c r="I1575" s="5" t="s">
        <v>20</v>
      </c>
      <c r="J1575" s="5">
        <v>10.62</v>
      </c>
      <c r="K1575" s="5" t="s">
        <v>21</v>
      </c>
      <c r="L1575" s="5" t="s">
        <v>6298</v>
      </c>
      <c r="M1575" s="5" t="s">
        <v>6223</v>
      </c>
      <c r="N1575" s="7" t="str">
        <f>HYPERLINK("C:\Users\alexa\YandexDisk\Книги\Математика\Линейная алгебра\Математика_для_Data_Science.pdf","Математика_для_Data_Science.pdf")</f>
        <v>Математика_для_Data_Science.pdf</v>
      </c>
      <c r="O1575" s="5" t="s">
        <v>6299</v>
      </c>
    </row>
    <row r="1576" spans="1:15" ht="165.6" x14ac:dyDescent="0.3">
      <c r="A1576" s="2">
        <v>1575</v>
      </c>
      <c r="B1576" s="3" t="s">
        <v>6225</v>
      </c>
      <c r="C1576" s="3" t="s">
        <v>6300</v>
      </c>
      <c r="D1576" s="3" t="s">
        <v>17</v>
      </c>
      <c r="E1576" s="3" t="s">
        <v>4289</v>
      </c>
      <c r="F1576" s="3" t="s">
        <v>6220</v>
      </c>
      <c r="G1576" s="3" t="s">
        <v>6174</v>
      </c>
      <c r="H1576" s="3" t="s">
        <v>6221</v>
      </c>
      <c r="I1576" s="3" t="s">
        <v>20</v>
      </c>
      <c r="J1576" s="3">
        <v>5.22</v>
      </c>
      <c r="K1576" s="3" t="s">
        <v>21</v>
      </c>
      <c r="L1576" s="3" t="s">
        <v>6301</v>
      </c>
      <c r="M1576" s="3" t="s">
        <v>6223</v>
      </c>
      <c r="N1576" s="6" t="str">
        <f>HYPERLINK("C:\Users\alexa\YandexDisk\Книги\Математика\Линейная алгебра\Математика_Линейная_алгебра_и_аналитическая_геометрия.pdf","Математика_Линейная_алгебра_и_аналитическая_геометрия.pdf")</f>
        <v>Математика_Линейная_алгебра_и_аналитическая_геометрия.pdf</v>
      </c>
      <c r="O1576" s="3" t="s">
        <v>6302</v>
      </c>
    </row>
    <row r="1577" spans="1:15" ht="220.8" x14ac:dyDescent="0.3">
      <c r="A1577" s="4">
        <v>1576</v>
      </c>
      <c r="B1577" s="5" t="s">
        <v>6303</v>
      </c>
      <c r="C1577" s="5" t="s">
        <v>6304</v>
      </c>
      <c r="D1577" s="5" t="s">
        <v>27</v>
      </c>
      <c r="E1577" s="5" t="s">
        <v>18</v>
      </c>
      <c r="F1577" s="5" t="s">
        <v>6220</v>
      </c>
      <c r="G1577" s="5" t="s">
        <v>6174</v>
      </c>
      <c r="H1577" s="5" t="s">
        <v>6221</v>
      </c>
      <c r="I1577" s="5" t="s">
        <v>20</v>
      </c>
      <c r="J1577" s="5">
        <v>28.51</v>
      </c>
      <c r="K1577" s="5" t="s">
        <v>21</v>
      </c>
      <c r="L1577" s="5" t="s">
        <v>6305</v>
      </c>
      <c r="M1577" s="5" t="s">
        <v>6223</v>
      </c>
      <c r="N1577" s="7" t="str">
        <f>HYPERLINK("C:\Users\alexa\YandexDisk\Книги\Математика\Линейная алгебра\Математические_алгоритмы_для_программистов_3D_графика,_машинное.pdf","Математические_алгоритмы_для_программистов_3D_графика,_машинное.pdf")</f>
        <v>Математические_алгоритмы_для_программистов_3D_графика,_машинное.pdf</v>
      </c>
      <c r="O1577" s="5" t="s">
        <v>6306</v>
      </c>
    </row>
    <row r="1578" spans="1:15" ht="165.6" x14ac:dyDescent="0.3">
      <c r="A1578" s="2">
        <v>1577</v>
      </c>
      <c r="B1578" s="3" t="s">
        <v>6229</v>
      </c>
      <c r="C1578" s="3" t="s">
        <v>6230</v>
      </c>
      <c r="D1578" s="3" t="s">
        <v>27</v>
      </c>
      <c r="E1578" s="3" t="s">
        <v>442</v>
      </c>
      <c r="F1578" s="3" t="s">
        <v>6220</v>
      </c>
      <c r="G1578" s="3" t="s">
        <v>6174</v>
      </c>
      <c r="H1578" s="3" t="s">
        <v>6221</v>
      </c>
      <c r="I1578" s="3" t="s">
        <v>20</v>
      </c>
      <c r="J1578" s="3">
        <v>14.03</v>
      </c>
      <c r="K1578" s="3" t="s">
        <v>21</v>
      </c>
      <c r="L1578" s="3" t="s">
        <v>6307</v>
      </c>
      <c r="M1578" s="3" t="s">
        <v>6223</v>
      </c>
      <c r="N1578" s="6" t="str">
        <f>HYPERLINK("C:\Users\alexa\YandexDisk\Книги\Математика\Линейная алгебра\Прикладная_линейная_алгебра_для_исследователей_данных_2023_Майк.pdf","Прикладная_линейная_алгебра_для_исследователей_данных_2023_Майк.pdf")</f>
        <v>Прикладная_линейная_алгебра_для_исследователей_данных_2023_Майк.pdf</v>
      </c>
      <c r="O1578" s="3" t="s">
        <v>6308</v>
      </c>
    </row>
    <row r="1579" spans="1:15" ht="124.2" x14ac:dyDescent="0.3">
      <c r="A1579" s="4">
        <v>1578</v>
      </c>
      <c r="B1579" s="5" t="s">
        <v>6309</v>
      </c>
      <c r="C1579" s="5" t="s">
        <v>6310</v>
      </c>
      <c r="D1579" s="5"/>
      <c r="E1579" s="5" t="s">
        <v>102</v>
      </c>
      <c r="F1579" s="5" t="s">
        <v>6220</v>
      </c>
      <c r="G1579" s="5" t="s">
        <v>6174</v>
      </c>
      <c r="H1579" s="5" t="s">
        <v>6221</v>
      </c>
      <c r="I1579" s="5" t="s">
        <v>20</v>
      </c>
      <c r="J1579" s="5">
        <v>45.79</v>
      </c>
      <c r="K1579" s="5" t="s">
        <v>21</v>
      </c>
      <c r="L1579" s="5" t="s">
        <v>6311</v>
      </c>
      <c r="M1579" s="5" t="s">
        <v>6223</v>
      </c>
      <c r="N1579" s="7" t="str">
        <f>HYPERLINK("C:\Users\alexa\YandexDisk\Книги\Математика\Линейная алгебра\Син_Такахаси_Ироха_Иноуэ_Занимательная_математика_Линейная_алгебра.pdf","Син_Такахаси_Ироха_Иноуэ_Занимательная_математика_Линейная_алгебра.pdf")</f>
        <v>Син_Такахаси_Ироха_Иноуэ_Занимательная_математика_Линейная_алгебра.pdf</v>
      </c>
      <c r="O1579" s="5" t="s">
        <v>6312</v>
      </c>
    </row>
    <row r="1580" spans="1:15" ht="179.4" x14ac:dyDescent="0.3">
      <c r="A1580" s="2">
        <v>1579</v>
      </c>
      <c r="B1580" s="3" t="s">
        <v>6313</v>
      </c>
      <c r="C1580" s="3" t="s">
        <v>6314</v>
      </c>
      <c r="D1580" s="3"/>
      <c r="E1580" s="3"/>
      <c r="F1580" s="3" t="s">
        <v>6315</v>
      </c>
      <c r="G1580" s="3" t="s">
        <v>6174</v>
      </c>
      <c r="H1580" s="3" t="s">
        <v>6316</v>
      </c>
      <c r="I1580" s="3" t="s">
        <v>280</v>
      </c>
      <c r="J1580" s="3">
        <v>33.44</v>
      </c>
      <c r="K1580" s="3" t="s">
        <v>21</v>
      </c>
      <c r="L1580" s="3" t="s">
        <v>6317</v>
      </c>
      <c r="M1580" s="3" t="s">
        <v>6318</v>
      </c>
      <c r="N1580" s="6" t="str">
        <f>HYPERLINK("C:\Users\alexa\YandexDisk\Книги\Математика\Мат. анализ\Calculus_Essential_calculus_skills_practice.epub","Calculus_Essential_calculus_skills_practice.epub")</f>
        <v>Calculus_Essential_calculus_skills_practice.epub</v>
      </c>
      <c r="O1580" s="3" t="s">
        <v>6319</v>
      </c>
    </row>
    <row r="1581" spans="1:15" ht="179.4" x14ac:dyDescent="0.3">
      <c r="A1581" s="4">
        <v>1580</v>
      </c>
      <c r="B1581" s="5" t="s">
        <v>6320</v>
      </c>
      <c r="C1581" s="5" t="s">
        <v>6321</v>
      </c>
      <c r="D1581" s="5" t="s">
        <v>186</v>
      </c>
      <c r="E1581" s="5" t="s">
        <v>2183</v>
      </c>
      <c r="F1581" s="5" t="s">
        <v>6315</v>
      </c>
      <c r="G1581" s="5" t="s">
        <v>6174</v>
      </c>
      <c r="H1581" s="5" t="s">
        <v>6316</v>
      </c>
      <c r="I1581" s="5" t="s">
        <v>20</v>
      </c>
      <c r="J1581" s="5">
        <v>3.98</v>
      </c>
      <c r="K1581" s="5" t="s">
        <v>21</v>
      </c>
      <c r="L1581" s="5" t="s">
        <v>6322</v>
      </c>
      <c r="M1581" s="5" t="s">
        <v>6318</v>
      </c>
      <c r="N1581" s="7" t="str">
        <f>HYPERLINK("C:\Users\alexa\YandexDisk\Книги\Математика\Мат. анализ\Mathematical Modelin... by Sandip Banerj.pdf","Mathematical Modelin... by Sandip Banerj.pdf")</f>
        <v>Mathematical Modelin... by Sandip Banerj.pdf</v>
      </c>
      <c r="O1581" s="5" t="s">
        <v>6323</v>
      </c>
    </row>
    <row r="1582" spans="1:15" ht="151.80000000000001" x14ac:dyDescent="0.3">
      <c r="A1582" s="2">
        <v>1581</v>
      </c>
      <c r="B1582" s="3" t="s">
        <v>6324</v>
      </c>
      <c r="C1582" s="3" t="s">
        <v>6325</v>
      </c>
      <c r="D1582" s="3" t="s">
        <v>32</v>
      </c>
      <c r="E1582" s="3"/>
      <c r="F1582" s="3" t="s">
        <v>6315</v>
      </c>
      <c r="G1582" s="3" t="s">
        <v>6174</v>
      </c>
      <c r="H1582" s="3" t="s">
        <v>6316</v>
      </c>
      <c r="I1582" s="3" t="s">
        <v>20</v>
      </c>
      <c r="J1582" s="3">
        <v>49.68</v>
      </c>
      <c r="K1582" s="3" t="s">
        <v>21</v>
      </c>
      <c r="L1582" s="3" t="s">
        <v>6326</v>
      </c>
      <c r="M1582" s="3" t="s">
        <v>6318</v>
      </c>
      <c r="N1582" s="6" t="str">
        <f>HYPERLINK("C:\Users\alexa\YandexDisk\Книги\Математика\Мат. анализ\Алгебра 10-11 классы [2018] Колмогоров, Абрамов, Дудницын.pdf","Алгебра 10-11 классы [2018] Колмогоров, Абрамов, Дудницын.pdf")</f>
        <v>Алгебра 10-11 классы [2018] Колмогоров, Абрамов, Дудницын.pdf</v>
      </c>
      <c r="O1582" s="3" t="s">
        <v>6327</v>
      </c>
    </row>
    <row r="1583" spans="1:15" ht="179.4" x14ac:dyDescent="0.3">
      <c r="A1583" s="4">
        <v>1582</v>
      </c>
      <c r="B1583" s="5" t="s">
        <v>6328</v>
      </c>
      <c r="C1583" s="5" t="s">
        <v>6186</v>
      </c>
      <c r="D1583" s="5" t="s">
        <v>6329</v>
      </c>
      <c r="E1583" s="5"/>
      <c r="F1583" s="5" t="s">
        <v>6315</v>
      </c>
      <c r="G1583" s="5" t="s">
        <v>6174</v>
      </c>
      <c r="H1583" s="5" t="s">
        <v>6316</v>
      </c>
      <c r="I1583" s="5" t="s">
        <v>721</v>
      </c>
      <c r="J1583" s="5">
        <v>7.36</v>
      </c>
      <c r="K1583" s="5" t="s">
        <v>21</v>
      </c>
      <c r="L1583" s="5" t="s">
        <v>6330</v>
      </c>
      <c r="M1583" s="5" t="s">
        <v>6318</v>
      </c>
      <c r="N1583" s="7" t="str">
        <f>HYPERLINK("C:\Users\alexa\YandexDisk\Книги\Математика\Мат. анализ\Алгебра и начала анализа [1988] Колмогоров.djvu","Алгебра и начала анализа [1988] Колмогоров.djvu")</f>
        <v>Алгебра и начала анализа [1988] Колмогоров.djvu</v>
      </c>
      <c r="O1583" s="5" t="s">
        <v>6331</v>
      </c>
    </row>
    <row r="1584" spans="1:15" ht="151.80000000000001" x14ac:dyDescent="0.3">
      <c r="A1584" s="2">
        <v>1583</v>
      </c>
      <c r="B1584" s="3" t="s">
        <v>6332</v>
      </c>
      <c r="C1584" s="3" t="s">
        <v>6333</v>
      </c>
      <c r="D1584" s="3" t="s">
        <v>32</v>
      </c>
      <c r="E1584" s="3"/>
      <c r="F1584" s="3" t="s">
        <v>6315</v>
      </c>
      <c r="G1584" s="3" t="s">
        <v>6174</v>
      </c>
      <c r="H1584" s="3" t="s">
        <v>6316</v>
      </c>
      <c r="I1584" s="3" t="s">
        <v>721</v>
      </c>
      <c r="J1584" s="3">
        <v>3.45</v>
      </c>
      <c r="K1584" s="3" t="s">
        <v>21</v>
      </c>
      <c r="L1584" s="3" t="s">
        <v>6334</v>
      </c>
      <c r="M1584" s="3" t="s">
        <v>6318</v>
      </c>
      <c r="N1584" s="6" t="str">
        <f>HYPERLINK("C:\Users\alexa\YandexDisk\Книги\Математика\Мат. анализ\Алгебра и начала математического анализа. Учебник для 10-11 классов [2018] Колмогоров .djvu","Алгебра и начала математического анализа. Учебник для 10-11 классов [2018] Колмогоров .djvu")</f>
        <v>Алгебра и начала математического анализа. Учебник для 10-11 классов [2018] Колмогоров .djvu</v>
      </c>
      <c r="O1584" s="3" t="s">
        <v>6335</v>
      </c>
    </row>
    <row r="1585" spans="1:15" ht="138" x14ac:dyDescent="0.3">
      <c r="A1585" s="4">
        <v>1584</v>
      </c>
      <c r="B1585" s="5" t="s">
        <v>6336</v>
      </c>
      <c r="C1585" s="5" t="s">
        <v>6337</v>
      </c>
      <c r="D1585" s="5" t="s">
        <v>6338</v>
      </c>
      <c r="E1585" s="5"/>
      <c r="F1585" s="5" t="s">
        <v>6315</v>
      </c>
      <c r="G1585" s="5" t="s">
        <v>6174</v>
      </c>
      <c r="H1585" s="5" t="s">
        <v>6316</v>
      </c>
      <c r="I1585" s="5" t="s">
        <v>721</v>
      </c>
      <c r="J1585" s="5">
        <v>3.97</v>
      </c>
      <c r="K1585" s="5" t="s">
        <v>21</v>
      </c>
      <c r="L1585" s="5" t="s">
        <v>6339</v>
      </c>
      <c r="M1585" s="5" t="s">
        <v>6318</v>
      </c>
      <c r="N1585" s="7" t="str">
        <f>HYPERLINK("C:\Users\alexa\YandexDisk\Книги\Математика\Мат. анализ\Александров А.Д. и др. (ред.) - Математика, её содержание, методы и значение. Т.1 - 1956.djvu","Александров А.Д. и др. (ред.) - Математика, её содержание, методы и значение. Т.1 - 1956.djvu")</f>
        <v>Александров А.Д. и др. (ред.) - Математика, её содержание, методы и значение. Т.1 - 1956.djvu</v>
      </c>
      <c r="O1585" s="5" t="s">
        <v>6340</v>
      </c>
    </row>
    <row r="1586" spans="1:15" ht="207" x14ac:dyDescent="0.3">
      <c r="A1586" s="2">
        <v>1585</v>
      </c>
      <c r="B1586" s="3" t="s">
        <v>6341</v>
      </c>
      <c r="C1586" s="3" t="s">
        <v>6337</v>
      </c>
      <c r="D1586" s="3" t="s">
        <v>6338</v>
      </c>
      <c r="E1586" s="3"/>
      <c r="F1586" s="3" t="s">
        <v>6315</v>
      </c>
      <c r="G1586" s="3" t="s">
        <v>6174</v>
      </c>
      <c r="H1586" s="3" t="s">
        <v>6316</v>
      </c>
      <c r="I1586" s="3" t="s">
        <v>721</v>
      </c>
      <c r="J1586" s="3">
        <v>5.12</v>
      </c>
      <c r="K1586" s="3" t="s">
        <v>21</v>
      </c>
      <c r="L1586" s="3" t="s">
        <v>6342</v>
      </c>
      <c r="M1586" s="3" t="s">
        <v>6318</v>
      </c>
      <c r="N1586" s="6" t="str">
        <f>HYPERLINK("C:\Users\alexa\YandexDisk\Книги\Математика\Мат. анализ\Александров А.Д. и др. (ред.) - Математика, её содержание, методы и значение. Т.2 - 1956.djvu","Александров А.Д. и др. (ред.) - Математика, её содержание, методы и значение. Т.2 - 1956.djvu")</f>
        <v>Александров А.Д. и др. (ред.) - Математика, её содержание, методы и значение. Т.2 - 1956.djvu</v>
      </c>
      <c r="O1586" s="3" t="s">
        <v>6343</v>
      </c>
    </row>
    <row r="1587" spans="1:15" ht="151.80000000000001" x14ac:dyDescent="0.3">
      <c r="A1587" s="4">
        <v>1586</v>
      </c>
      <c r="B1587" s="5" t="s">
        <v>6344</v>
      </c>
      <c r="C1587" s="5" t="s">
        <v>6337</v>
      </c>
      <c r="D1587" s="5" t="s">
        <v>6338</v>
      </c>
      <c r="E1587" s="5"/>
      <c r="F1587" s="5" t="s">
        <v>6315</v>
      </c>
      <c r="G1587" s="5" t="s">
        <v>6174</v>
      </c>
      <c r="H1587" s="5" t="s">
        <v>6316</v>
      </c>
      <c r="I1587" s="5" t="s">
        <v>721</v>
      </c>
      <c r="J1587" s="5">
        <v>4.24</v>
      </c>
      <c r="K1587" s="5" t="s">
        <v>21</v>
      </c>
      <c r="L1587" s="5" t="s">
        <v>6345</v>
      </c>
      <c r="M1587" s="5" t="s">
        <v>6318</v>
      </c>
      <c r="N1587" s="7" t="str">
        <f>HYPERLINK("C:\Users\alexa\YandexDisk\Книги\Математика\Мат. анализ\Александров А.Д. и др. (ред.) - Математика, её содержание, методы и значение. Т.3 - 1956.djvu","Александров А.Д. и др. (ред.) - Математика, её содержание, методы и значение. Т.3 - 1956.djvu")</f>
        <v>Александров А.Д. и др. (ред.) - Математика, её содержание, методы и значение. Т.3 - 1956.djvu</v>
      </c>
      <c r="O1587" s="5" t="s">
        <v>6346</v>
      </c>
    </row>
    <row r="1588" spans="1:15" ht="193.2" x14ac:dyDescent="0.3">
      <c r="A1588" s="2">
        <v>1587</v>
      </c>
      <c r="B1588" s="3" t="s">
        <v>6347</v>
      </c>
      <c r="C1588" s="3" t="s">
        <v>6348</v>
      </c>
      <c r="D1588" s="3"/>
      <c r="E1588" s="3" t="s">
        <v>6349</v>
      </c>
      <c r="F1588" s="3" t="s">
        <v>6315</v>
      </c>
      <c r="G1588" s="3" t="s">
        <v>6174</v>
      </c>
      <c r="H1588" s="3" t="s">
        <v>6316</v>
      </c>
      <c r="I1588" s="3" t="s">
        <v>20</v>
      </c>
      <c r="J1588" s="3">
        <v>5.82</v>
      </c>
      <c r="K1588" s="3" t="s">
        <v>21</v>
      </c>
      <c r="L1588" s="3" t="s">
        <v>6350</v>
      </c>
      <c r="M1588" s="3" t="s">
        <v>6318</v>
      </c>
      <c r="N1588" s="6" t="str">
        <f>HYPERLINK("C:\Users\alexa\YandexDisk\Книги\Математика\Мат. анализ\Бесконечная_сила_Как_математический_анализ_раскрывает_тайны_Вселенной.pdf","Бесконечная_сила_Как_математический_анализ_раскрывает_тайны_Вселенной.pdf")</f>
        <v>Бесконечная_сила_Как_математический_анализ_раскрывает_тайны_Вселенной.pdf</v>
      </c>
      <c r="O1588" s="3" t="s">
        <v>6351</v>
      </c>
    </row>
    <row r="1589" spans="1:15" ht="193.2" x14ac:dyDescent="0.3">
      <c r="A1589" s="4">
        <v>1588</v>
      </c>
      <c r="B1589" s="5" t="s">
        <v>6352</v>
      </c>
      <c r="C1589" s="5" t="s">
        <v>6333</v>
      </c>
      <c r="D1589" s="5" t="s">
        <v>2624</v>
      </c>
      <c r="E1589" s="5"/>
      <c r="F1589" s="5" t="s">
        <v>6315</v>
      </c>
      <c r="G1589" s="5" t="s">
        <v>6174</v>
      </c>
      <c r="H1589" s="5" t="s">
        <v>6316</v>
      </c>
      <c r="I1589" s="5" t="s">
        <v>721</v>
      </c>
      <c r="J1589" s="5">
        <v>1.76</v>
      </c>
      <c r="K1589" s="5" t="s">
        <v>21</v>
      </c>
      <c r="L1589" s="5" t="s">
        <v>6353</v>
      </c>
      <c r="M1589" s="5" t="s">
        <v>6318</v>
      </c>
      <c r="N1589" s="7" t="str">
        <f>HYPERLINK("C:\Users\alexa\YandexDisk\Книги\Математика\Мат. анализ\Введение в анализ [2009] Колмогоров.djvu","Введение в анализ [2009] Колмогоров.djvu")</f>
        <v>Введение в анализ [2009] Колмогоров.djvu</v>
      </c>
      <c r="O1589" s="5" t="s">
        <v>6354</v>
      </c>
    </row>
    <row r="1590" spans="1:15" ht="151.80000000000001" x14ac:dyDescent="0.3">
      <c r="A1590" s="2">
        <v>1589</v>
      </c>
      <c r="B1590" s="3" t="s">
        <v>6355</v>
      </c>
      <c r="C1590" s="3" t="s">
        <v>6356</v>
      </c>
      <c r="D1590" s="3" t="s">
        <v>6357</v>
      </c>
      <c r="E1590" s="3"/>
      <c r="F1590" s="3" t="s">
        <v>6315</v>
      </c>
      <c r="G1590" s="3" t="s">
        <v>6174</v>
      </c>
      <c r="H1590" s="3" t="s">
        <v>6316</v>
      </c>
      <c r="I1590" s="3" t="s">
        <v>721</v>
      </c>
      <c r="J1590" s="3">
        <v>7.43</v>
      </c>
      <c r="K1590" s="3" t="s">
        <v>21</v>
      </c>
      <c r="L1590" s="3" t="s">
        <v>6358</v>
      </c>
      <c r="M1590" s="3" t="s">
        <v>6318</v>
      </c>
      <c r="N1590" s="6" t="str">
        <f>HYPERLINK("C:\Users\alexa\YandexDisk\Книги\Математика\Мат. анализ\Введение в теорию функций действительного переменного [1933] Александров, Колмогоров.djvu","Введение в теорию функций действительного переменного [1933] Александров, Колмогоров.djvu")</f>
        <v>Введение в теорию функций действительного переменного [1933] Александров, Колмогоров.djvu</v>
      </c>
      <c r="O1590" s="3" t="s">
        <v>6359</v>
      </c>
    </row>
    <row r="1591" spans="1:15" ht="151.80000000000001" x14ac:dyDescent="0.3">
      <c r="A1591" s="4">
        <v>1590</v>
      </c>
      <c r="B1591" s="5" t="s">
        <v>6360</v>
      </c>
      <c r="C1591" s="5" t="s">
        <v>6361</v>
      </c>
      <c r="D1591" s="5" t="s">
        <v>4484</v>
      </c>
      <c r="E1591" s="5"/>
      <c r="F1591" s="5" t="s">
        <v>6315</v>
      </c>
      <c r="G1591" s="5" t="s">
        <v>6174</v>
      </c>
      <c r="H1591" s="5" t="s">
        <v>6316</v>
      </c>
      <c r="I1591" s="5" t="s">
        <v>721</v>
      </c>
      <c r="J1591" s="5">
        <v>4.57</v>
      </c>
      <c r="K1591" s="5" t="s">
        <v>21</v>
      </c>
      <c r="L1591" s="5" t="s">
        <v>6362</v>
      </c>
      <c r="M1591" s="5" t="s">
        <v>6318</v>
      </c>
      <c r="N1591" s="7" t="str">
        <f>HYPERLINK("C:\Users\alexa\YandexDisk\Книги\Математика\Мат. анализ\Геометрия. Теория аналитических функций [1981] Колмогоров, Юшкевич.djvu","Геометрия. Теория аналитических функций [1981] Колмогоров, Юшкевич.djvu")</f>
        <v>Геометрия. Теория аналитических функций [1981] Колмогоров, Юшкевич.djvu</v>
      </c>
      <c r="O1591" s="5" t="s">
        <v>6363</v>
      </c>
    </row>
    <row r="1592" spans="1:15" ht="151.80000000000001" x14ac:dyDescent="0.3">
      <c r="A1592" s="2">
        <v>1591</v>
      </c>
      <c r="B1592" s="3" t="s">
        <v>6364</v>
      </c>
      <c r="C1592" s="3" t="s">
        <v>6365</v>
      </c>
      <c r="D1592" s="3" t="s">
        <v>59</v>
      </c>
      <c r="E1592" s="3" t="s">
        <v>726</v>
      </c>
      <c r="F1592" s="3" t="s">
        <v>6315</v>
      </c>
      <c r="G1592" s="3" t="s">
        <v>6174</v>
      </c>
      <c r="H1592" s="3" t="s">
        <v>6316</v>
      </c>
      <c r="I1592" s="3" t="s">
        <v>20</v>
      </c>
      <c r="J1592" s="3">
        <v>1.77</v>
      </c>
      <c r="K1592" s="3" t="s">
        <v>21</v>
      </c>
      <c r="L1592" s="3" t="s">
        <v>6366</v>
      </c>
      <c r="M1592" s="3" t="s">
        <v>6318</v>
      </c>
      <c r="N1592" s="6" t="str">
        <f>HYPERLINK("C:\Users\alexa\YandexDisk\Книги\Математика\Мат. анализ\Динамическое_программирование_в_экономических_задачах.pdf","Динамическое_программирование_в_экономических_задачах.pdf")</f>
        <v>Динамическое_программирование_в_экономических_задачах.pdf</v>
      </c>
      <c r="O1592" s="3" t="s">
        <v>6367</v>
      </c>
    </row>
    <row r="1593" spans="1:15" ht="179.4" x14ac:dyDescent="0.3">
      <c r="A1593" s="4">
        <v>1592</v>
      </c>
      <c r="B1593" s="5" t="s">
        <v>6368</v>
      </c>
      <c r="C1593" s="5" t="s">
        <v>6369</v>
      </c>
      <c r="D1593" s="5" t="s">
        <v>6370</v>
      </c>
      <c r="E1593" s="5"/>
      <c r="F1593" s="5" t="s">
        <v>6315</v>
      </c>
      <c r="G1593" s="5" t="s">
        <v>6174</v>
      </c>
      <c r="H1593" s="5" t="s">
        <v>6316</v>
      </c>
      <c r="I1593" s="5" t="s">
        <v>20</v>
      </c>
      <c r="J1593" s="5">
        <v>1.74</v>
      </c>
      <c r="K1593" s="5" t="s">
        <v>21</v>
      </c>
      <c r="L1593" s="5" t="s">
        <v>6371</v>
      </c>
      <c r="M1593" s="5" t="s">
        <v>6318</v>
      </c>
      <c r="N1593" s="7" t="str">
        <f>HYPERLINK("C:\Users\alexa\YandexDisk\Книги\Математика\Мат. анализ\Добровенский Учебник по математике.pdf","Добровенский Учебник по математике.pdf")</f>
        <v>Добровенский Учебник по математике.pdf</v>
      </c>
      <c r="O1593" s="5" t="s">
        <v>6372</v>
      </c>
    </row>
    <row r="1594" spans="1:15" ht="165.6" x14ac:dyDescent="0.3">
      <c r="A1594" s="2">
        <v>1593</v>
      </c>
      <c r="B1594" s="3" t="s">
        <v>6373</v>
      </c>
      <c r="C1594" s="3" t="s">
        <v>6374</v>
      </c>
      <c r="D1594" s="3" t="s">
        <v>335</v>
      </c>
      <c r="E1594" s="3" t="s">
        <v>102</v>
      </c>
      <c r="F1594" s="3" t="s">
        <v>6315</v>
      </c>
      <c r="G1594" s="3" t="s">
        <v>6174</v>
      </c>
      <c r="H1594" s="3" t="s">
        <v>6316</v>
      </c>
      <c r="I1594" s="3" t="s">
        <v>20</v>
      </c>
      <c r="J1594" s="3">
        <v>16.739999999999998</v>
      </c>
      <c r="K1594" s="3" t="s">
        <v>21</v>
      </c>
      <c r="L1594" s="3" t="s">
        <v>6375</v>
      </c>
      <c r="M1594" s="3" t="s">
        <v>6318</v>
      </c>
      <c r="N1594" s="6" t="str">
        <f>HYPERLINK("C:\Users\alexa\YandexDisk\Книги\Математика\Мат. анализ\замечательные математические кривые.pdf","замечательные математические кривые.pdf")</f>
        <v>замечательные математические кривые.pdf</v>
      </c>
      <c r="O1594" s="3" t="s">
        <v>6376</v>
      </c>
    </row>
    <row r="1595" spans="1:15" ht="124.2" x14ac:dyDescent="0.3">
      <c r="A1595" s="4">
        <v>1594</v>
      </c>
      <c r="B1595" s="5" t="s">
        <v>6377</v>
      </c>
      <c r="C1595" s="5"/>
      <c r="D1595" s="5"/>
      <c r="E1595" s="5"/>
      <c r="F1595" s="5" t="s">
        <v>6315</v>
      </c>
      <c r="G1595" s="5" t="s">
        <v>6174</v>
      </c>
      <c r="H1595" s="5" t="s">
        <v>6316</v>
      </c>
      <c r="I1595" s="5" t="s">
        <v>20</v>
      </c>
      <c r="J1595" s="5">
        <v>40.770000000000003</v>
      </c>
      <c r="K1595" s="5" t="s">
        <v>21</v>
      </c>
      <c r="L1595" s="5" t="s">
        <v>6378</v>
      </c>
      <c r="M1595" s="5" t="s">
        <v>6318</v>
      </c>
      <c r="N1595" s="7" t="str">
        <f>HYPERLINK("C:\Users\alexa\YandexDisk\Книги\Математика\Мат. анализ\Занимательная_математика_Анализ_Фурье.pdf","Занимательная_математика_Анализ_Фурье.pdf")</f>
        <v>Занимательная_математика_Анализ_Фурье.pdf</v>
      </c>
      <c r="O1595" s="5" t="s">
        <v>6379</v>
      </c>
    </row>
    <row r="1596" spans="1:15" ht="165.6" x14ac:dyDescent="0.3">
      <c r="A1596" s="2">
        <v>1595</v>
      </c>
      <c r="B1596" s="3" t="s">
        <v>6380</v>
      </c>
      <c r="C1596" s="3" t="s">
        <v>6186</v>
      </c>
      <c r="D1596" s="3" t="s">
        <v>1560</v>
      </c>
      <c r="E1596" s="3"/>
      <c r="F1596" s="3" t="s">
        <v>6315</v>
      </c>
      <c r="G1596" s="3" t="s">
        <v>6174</v>
      </c>
      <c r="H1596" s="3" t="s">
        <v>6316</v>
      </c>
      <c r="I1596" s="3" t="s">
        <v>721</v>
      </c>
      <c r="J1596" s="3">
        <v>27.67</v>
      </c>
      <c r="K1596" s="3" t="s">
        <v>21</v>
      </c>
      <c r="L1596" s="3" t="s">
        <v>6381</v>
      </c>
      <c r="M1596" s="3" t="s">
        <v>6318</v>
      </c>
      <c r="N1596" s="6" t="str">
        <f>HYPERLINK("C:\Users\alexa\YandexDisk\Книги\Математика\Мат. анализ\Колмогоров А.Н. - Избранные труды в 6 томах. Том 4. Математика и математики. Книга 1 - 2007.djvu","Колмогоров А.Н. - Избранные труды в 6 томах. Том 4. Математика и математики. Книга 1 - 2007.djvu")</f>
        <v>Колмогоров А.Н. - Избранные труды в 6 томах. Том 4. Математика и математики. Книга 1 - 2007.djvu</v>
      </c>
      <c r="O1596" s="3" t="s">
        <v>6382</v>
      </c>
    </row>
    <row r="1597" spans="1:15" ht="165.6" x14ac:dyDescent="0.3">
      <c r="A1597" s="4">
        <v>1596</v>
      </c>
      <c r="B1597" s="5" t="s">
        <v>6383</v>
      </c>
      <c r="C1597" s="5" t="s">
        <v>6186</v>
      </c>
      <c r="D1597" s="5" t="s">
        <v>1560</v>
      </c>
      <c r="E1597" s="5"/>
      <c r="F1597" s="5" t="s">
        <v>6315</v>
      </c>
      <c r="G1597" s="5" t="s">
        <v>6174</v>
      </c>
      <c r="H1597" s="5" t="s">
        <v>6316</v>
      </c>
      <c r="I1597" s="5" t="s">
        <v>721</v>
      </c>
      <c r="J1597" s="5">
        <v>22.34</v>
      </c>
      <c r="K1597" s="5" t="s">
        <v>21</v>
      </c>
      <c r="L1597" s="5" t="s">
        <v>6384</v>
      </c>
      <c r="M1597" s="5" t="s">
        <v>6318</v>
      </c>
      <c r="N1597" s="7" t="str">
        <f>HYPERLINK("C:\Users\alexa\YandexDisk\Книги\Математика\Мат. анализ\Колмогоров А.Н. - Избранные труды в 6 томах. Том 4. Математика и математики. Книга 2 - 2007.djvu","Колмогоров А.Н. - Избранные труды в 6 томах. Том 4. Математика и математики. Книга 2 - 2007.djvu")</f>
        <v>Колмогоров А.Н. - Избранные труды в 6 томах. Том 4. Математика и математики. Книга 2 - 2007.djvu</v>
      </c>
      <c r="O1597" s="5" t="s">
        <v>6385</v>
      </c>
    </row>
    <row r="1598" spans="1:15" ht="207" x14ac:dyDescent="0.3">
      <c r="A1598" s="2">
        <v>1597</v>
      </c>
      <c r="B1598" s="3" t="s">
        <v>6386</v>
      </c>
      <c r="C1598" s="3" t="s">
        <v>6387</v>
      </c>
      <c r="D1598" s="3" t="s">
        <v>1022</v>
      </c>
      <c r="E1598" s="3" t="s">
        <v>766</v>
      </c>
      <c r="F1598" s="3" t="s">
        <v>6315</v>
      </c>
      <c r="G1598" s="3" t="s">
        <v>6174</v>
      </c>
      <c r="H1598" s="3" t="s">
        <v>6316</v>
      </c>
      <c r="I1598" s="3" t="s">
        <v>20</v>
      </c>
      <c r="J1598" s="3">
        <v>4.25</v>
      </c>
      <c r="K1598" s="3" t="s">
        <v>21</v>
      </c>
      <c r="L1598" s="3" t="s">
        <v>6388</v>
      </c>
      <c r="M1598" s="3" t="s">
        <v>6318</v>
      </c>
      <c r="N1598" s="6" t="str">
        <f>HYPERLINK("C:\Users\alexa\YandexDisk\Книги\Математика\Мат. анализ\Курант Что такое математика.pdf","Курант Что такое математика.pdf")</f>
        <v>Курант Что такое математика.pdf</v>
      </c>
      <c r="O1598" s="3" t="s">
        <v>6389</v>
      </c>
    </row>
    <row r="1599" spans="1:15" ht="193.2" x14ac:dyDescent="0.3">
      <c r="A1599" s="4">
        <v>1598</v>
      </c>
      <c r="B1599" s="5" t="s">
        <v>6390</v>
      </c>
      <c r="C1599" s="5" t="s">
        <v>6391</v>
      </c>
      <c r="D1599" s="5" t="s">
        <v>59</v>
      </c>
      <c r="E1599" s="5" t="s">
        <v>143</v>
      </c>
      <c r="F1599" s="5" t="s">
        <v>6315</v>
      </c>
      <c r="G1599" s="5" t="s">
        <v>6174</v>
      </c>
      <c r="H1599" s="5" t="s">
        <v>6316</v>
      </c>
      <c r="I1599" s="5" t="s">
        <v>20</v>
      </c>
      <c r="J1599" s="5">
        <v>8.64</v>
      </c>
      <c r="K1599" s="5" t="s">
        <v>21</v>
      </c>
      <c r="L1599" s="5" t="s">
        <v>6392</v>
      </c>
      <c r="M1599" s="5" t="s">
        <v>6318</v>
      </c>
      <c r="N1599" s="7" t="str">
        <f>HYPERLINK("C:\Users\alexa\YandexDisk\Книги\Математика\Мат. анализ\Кутузов_А_С_Введение_в_функциональный_анализ_учебное_пособие_2020.pdf","Кутузов_А_С_Введение_в_функциональный_анализ_учебное_пособие_2020.pdf")</f>
        <v>Кутузов_А_С_Введение_в_функциональный_анализ_учебное_пособие_2020.pdf</v>
      </c>
      <c r="O1599" s="5" t="s">
        <v>6393</v>
      </c>
    </row>
    <row r="1600" spans="1:15" ht="151.80000000000001" x14ac:dyDescent="0.3">
      <c r="A1600" s="2">
        <v>1599</v>
      </c>
      <c r="B1600" s="3" t="s">
        <v>6394</v>
      </c>
      <c r="C1600" s="3" t="s">
        <v>6333</v>
      </c>
      <c r="D1600" s="3" t="s">
        <v>6395</v>
      </c>
      <c r="E1600" s="3"/>
      <c r="F1600" s="3" t="s">
        <v>6315</v>
      </c>
      <c r="G1600" s="3" t="s">
        <v>6174</v>
      </c>
      <c r="H1600" s="3" t="s">
        <v>6316</v>
      </c>
      <c r="I1600" s="3" t="s">
        <v>721</v>
      </c>
      <c r="J1600" s="3">
        <v>6.52</v>
      </c>
      <c r="K1600" s="3" t="s">
        <v>21</v>
      </c>
      <c r="L1600" s="3" t="s">
        <v>6396</v>
      </c>
      <c r="M1600" s="3" t="s">
        <v>6318</v>
      </c>
      <c r="N1600" s="6" t="str">
        <f>HYPERLINK("C:\Users\alexa\YandexDisk\Книги\Математика\Мат. анализ\Математика и механика [Том 1] [1985] Колмогоров.djvu","Математика и механика [Том 1] [1985] Колмогоров.djvu")</f>
        <v>Математика и механика [Том 1] [1985] Колмогоров.djvu</v>
      </c>
      <c r="O1600" s="3" t="s">
        <v>6397</v>
      </c>
    </row>
    <row r="1601" spans="1:15" ht="207" x14ac:dyDescent="0.3">
      <c r="A1601" s="4">
        <v>1600</v>
      </c>
      <c r="B1601" s="5" t="s">
        <v>6398</v>
      </c>
      <c r="C1601" s="5" t="s">
        <v>6399</v>
      </c>
      <c r="D1601" s="5" t="s">
        <v>71</v>
      </c>
      <c r="E1601" s="5" t="s">
        <v>2813</v>
      </c>
      <c r="F1601" s="5" t="s">
        <v>6315</v>
      </c>
      <c r="G1601" s="5" t="s">
        <v>6174</v>
      </c>
      <c r="H1601" s="5" t="s">
        <v>6316</v>
      </c>
      <c r="I1601" s="5" t="s">
        <v>20</v>
      </c>
      <c r="J1601" s="5">
        <v>65.45</v>
      </c>
      <c r="K1601" s="5" t="s">
        <v>21</v>
      </c>
      <c r="L1601" s="5" t="s">
        <v>6400</v>
      </c>
      <c r="M1601" s="5" t="s">
        <v>6318</v>
      </c>
      <c r="N1601" s="7" t="str">
        <f>HYPERLINK("C:\Users\alexa\YandexDisk\Книги\Математика\Мат. анализ\Математика_на_Python_2022_Криволапов_С_Я_,_Хрипунова_М_Б_.pdf","Математика_на_Python_2022_Криволапов_С_Я_,_Хрипунова_М_Б_.pdf")</f>
        <v>Математика_на_Python_2022_Криволапов_С_Я_,_Хрипунова_М_Б_.pdf</v>
      </c>
      <c r="O1601" s="5" t="s">
        <v>6401</v>
      </c>
    </row>
    <row r="1602" spans="1:15" ht="138" x14ac:dyDescent="0.3">
      <c r="A1602" s="2">
        <v>1601</v>
      </c>
      <c r="B1602" s="3" t="s">
        <v>6402</v>
      </c>
      <c r="C1602" s="3" t="s">
        <v>6403</v>
      </c>
      <c r="D1602" s="3" t="s">
        <v>71</v>
      </c>
      <c r="E1602" s="3" t="s">
        <v>4289</v>
      </c>
      <c r="F1602" s="3" t="s">
        <v>6315</v>
      </c>
      <c r="G1602" s="3" t="s">
        <v>6174</v>
      </c>
      <c r="H1602" s="3" t="s">
        <v>6316</v>
      </c>
      <c r="I1602" s="3" t="s">
        <v>20</v>
      </c>
      <c r="J1602" s="3">
        <v>13.23</v>
      </c>
      <c r="K1602" s="3" t="s">
        <v>21</v>
      </c>
      <c r="L1602" s="3" t="s">
        <v>6404</v>
      </c>
      <c r="M1602" s="3" t="s">
        <v>6318</v>
      </c>
      <c r="N1602" s="6" t="str">
        <f>HYPERLINK("C:\Users\alexa\YandexDisk\Книги\Математика\Мат. анализ\Математика_Ряды_Функции_нескольких_переменных.pdf","Математика_Ряды_Функции_нескольких_переменных.pdf")</f>
        <v>Математика_Ряды_Функции_нескольких_переменных.pdf</v>
      </c>
      <c r="O1602" s="3" t="s">
        <v>6405</v>
      </c>
    </row>
    <row r="1603" spans="1:15" ht="165.6" x14ac:dyDescent="0.3">
      <c r="A1603" s="4">
        <v>1602</v>
      </c>
      <c r="B1603" s="5" t="s">
        <v>6406</v>
      </c>
      <c r="C1603" s="5" t="s">
        <v>6407</v>
      </c>
      <c r="D1603" s="5" t="s">
        <v>172</v>
      </c>
      <c r="E1603" s="5"/>
      <c r="F1603" s="5" t="s">
        <v>6315</v>
      </c>
      <c r="G1603" s="5" t="s">
        <v>6174</v>
      </c>
      <c r="H1603" s="5" t="s">
        <v>6316</v>
      </c>
      <c r="I1603" s="5" t="s">
        <v>721</v>
      </c>
      <c r="J1603" s="5">
        <v>3.34</v>
      </c>
      <c r="K1603" s="5" t="s">
        <v>21</v>
      </c>
      <c r="L1603" s="5" t="s">
        <v>6408</v>
      </c>
      <c r="M1603" s="5" t="s">
        <v>6318</v>
      </c>
      <c r="N1603" s="7" t="str">
        <f>HYPERLINK("C:\Users\alexa\YandexDisk\Книги\Математика\Мат. анализ\Математическая логика (3-е изд.) [2006] Колмогоров, Драгалин.djvu","Математическая логика (3-е изд.) [2006] Колмогоров, Драгалин.djvu")</f>
        <v>Математическая логика (3-е изд.) [2006] Колмогоров, Драгалин.djvu</v>
      </c>
      <c r="O1603" s="5" t="s">
        <v>6409</v>
      </c>
    </row>
    <row r="1604" spans="1:15" ht="138" x14ac:dyDescent="0.3">
      <c r="A1604" s="2">
        <v>1603</v>
      </c>
      <c r="B1604" s="3" t="s">
        <v>6410</v>
      </c>
      <c r="C1604" s="3"/>
      <c r="D1604" s="3"/>
      <c r="E1604" s="3"/>
      <c r="F1604" s="3" t="s">
        <v>6315</v>
      </c>
      <c r="G1604" s="3" t="s">
        <v>6174</v>
      </c>
      <c r="H1604" s="3" t="s">
        <v>6316</v>
      </c>
      <c r="I1604" s="3" t="s">
        <v>519</v>
      </c>
      <c r="J1604" s="3">
        <v>224.43</v>
      </c>
      <c r="K1604" s="3" t="s">
        <v>21</v>
      </c>
      <c r="L1604" s="3" t="s">
        <v>6411</v>
      </c>
      <c r="M1604" s="3" t="s">
        <v>6318</v>
      </c>
      <c r="N1604" s="6" t="str">
        <f>HYPERLINK("C:\Users\alexa\YandexDisk\Книги\Математика\Мат. анализ\Математический анализ в 4 ч.zip","Математический анализ в 4 ч.zip")</f>
        <v>Математический анализ в 4 ч.zip</v>
      </c>
      <c r="O1604" s="3" t="s">
        <v>6412</v>
      </c>
    </row>
    <row r="1605" spans="1:15" ht="138" x14ac:dyDescent="0.3">
      <c r="A1605" s="4">
        <v>1604</v>
      </c>
      <c r="B1605" s="5" t="s">
        <v>6413</v>
      </c>
      <c r="C1605" s="5" t="s">
        <v>6414</v>
      </c>
      <c r="D1605" s="5" t="s">
        <v>109</v>
      </c>
      <c r="E1605" s="5" t="s">
        <v>148</v>
      </c>
      <c r="F1605" s="5" t="s">
        <v>6315</v>
      </c>
      <c r="G1605" s="5" t="s">
        <v>6174</v>
      </c>
      <c r="H1605" s="5" t="s">
        <v>6316</v>
      </c>
      <c r="I1605" s="5" t="s">
        <v>20</v>
      </c>
      <c r="J1605" s="5">
        <v>5.48</v>
      </c>
      <c r="K1605" s="5" t="s">
        <v>21</v>
      </c>
      <c r="L1605" s="5" t="s">
        <v>6415</v>
      </c>
      <c r="M1605" s="5" t="s">
        <v>6318</v>
      </c>
      <c r="N1605" s="7" t="str">
        <f>HYPERLINK("C:\Users\alexa\YandexDisk\Книги\Математика\Мат. анализ\Математическое программирование.pdf","Математическое программирование.pdf")</f>
        <v>Математическое программирование.pdf</v>
      </c>
      <c r="O1605" s="5" t="s">
        <v>6416</v>
      </c>
    </row>
    <row r="1606" spans="1:15" ht="193.2" x14ac:dyDescent="0.3">
      <c r="A1606" s="2">
        <v>1605</v>
      </c>
      <c r="B1606" s="3" t="s">
        <v>6413</v>
      </c>
      <c r="C1606" s="3" t="s">
        <v>6417</v>
      </c>
      <c r="D1606" s="3" t="s">
        <v>114</v>
      </c>
      <c r="E1606" s="3" t="s">
        <v>6418</v>
      </c>
      <c r="F1606" s="3" t="s">
        <v>6315</v>
      </c>
      <c r="G1606" s="3" t="s">
        <v>6174</v>
      </c>
      <c r="H1606" s="3" t="s">
        <v>6316</v>
      </c>
      <c r="I1606" s="3" t="s">
        <v>20</v>
      </c>
      <c r="J1606" s="3">
        <v>1.29</v>
      </c>
      <c r="K1606" s="3" t="s">
        <v>21</v>
      </c>
      <c r="L1606" s="3" t="s">
        <v>6419</v>
      </c>
      <c r="M1606" s="3" t="s">
        <v>6318</v>
      </c>
      <c r="N1606" s="6" t="str">
        <f>HYPERLINK("C:\Users\alexa\YandexDisk\Книги\Математика\Мат. анализ\Математическое_программирование.pdf","Математическое_программирование.pdf")</f>
        <v>Математическое_программирование.pdf</v>
      </c>
      <c r="O1606" s="3" t="s">
        <v>6420</v>
      </c>
    </row>
    <row r="1607" spans="1:15" ht="151.80000000000001" x14ac:dyDescent="0.3">
      <c r="A1607" s="4">
        <v>1606</v>
      </c>
      <c r="B1607" s="5" t="s">
        <v>6421</v>
      </c>
      <c r="C1607" s="5" t="s">
        <v>6333</v>
      </c>
      <c r="D1607" s="5" t="s">
        <v>4484</v>
      </c>
      <c r="E1607" s="5"/>
      <c r="F1607" s="5" t="s">
        <v>6315</v>
      </c>
      <c r="G1607" s="5" t="s">
        <v>6174</v>
      </c>
      <c r="H1607" s="5" t="s">
        <v>6316</v>
      </c>
      <c r="I1607" s="5" t="s">
        <v>721</v>
      </c>
      <c r="J1607" s="5">
        <v>8.19</v>
      </c>
      <c r="K1607" s="5" t="s">
        <v>21</v>
      </c>
      <c r="L1607" s="5" t="s">
        <v>6422</v>
      </c>
      <c r="M1607" s="5" t="s">
        <v>6318</v>
      </c>
      <c r="N1607" s="7" t="str">
        <f>HYPERLINK("C:\Users\alexa\YandexDisk\Книги\Математика\Мат. анализ\Некоторые вопросы математики и механики [1981] Колмогоров.djvu","Некоторые вопросы математики и механики [1981] Колмогоров.djvu")</f>
        <v>Некоторые вопросы математики и механики [1981] Колмогоров.djvu</v>
      </c>
      <c r="O1607" s="5" t="s">
        <v>6423</v>
      </c>
    </row>
    <row r="1608" spans="1:15" ht="138" x14ac:dyDescent="0.3">
      <c r="A1608" s="2">
        <v>1607</v>
      </c>
      <c r="B1608" s="3" t="s">
        <v>6424</v>
      </c>
      <c r="C1608" s="3"/>
      <c r="D1608" s="3"/>
      <c r="E1608" s="3"/>
      <c r="F1608" s="3" t="s">
        <v>6315</v>
      </c>
      <c r="G1608" s="3" t="s">
        <v>6174</v>
      </c>
      <c r="H1608" s="3" t="s">
        <v>6316</v>
      </c>
      <c r="I1608" s="3" t="s">
        <v>20</v>
      </c>
      <c r="J1608" s="3">
        <v>17.12</v>
      </c>
      <c r="K1608" s="3" t="s">
        <v>21</v>
      </c>
      <c r="L1608" s="3" t="s">
        <v>6425</v>
      </c>
      <c r="M1608" s="3" t="s">
        <v>6318</v>
      </c>
      <c r="N1608" s="6" t="str">
        <f>HYPERLINK("C:\Users\alexa\YandexDisk\Книги\Математика\Мат. анализ\Основы математического моделирования и оптимизации на языке Python.pdf","Основы математического моделирования и оптимизации на языке Python.pdf")</f>
        <v>Основы математического моделирования и оптимизации на языке Python.pdf</v>
      </c>
      <c r="O1608" s="3" t="s">
        <v>6426</v>
      </c>
    </row>
    <row r="1609" spans="1:15" ht="207" x14ac:dyDescent="0.3">
      <c r="A1609" s="4">
        <v>1608</v>
      </c>
      <c r="B1609" s="5" t="s">
        <v>6427</v>
      </c>
      <c r="C1609" s="5" t="s">
        <v>6428</v>
      </c>
      <c r="D1609" s="5" t="s">
        <v>71</v>
      </c>
      <c r="E1609" s="5" t="s">
        <v>102</v>
      </c>
      <c r="F1609" s="5" t="s">
        <v>6315</v>
      </c>
      <c r="G1609" s="5" t="s">
        <v>6174</v>
      </c>
      <c r="H1609" s="5" t="s">
        <v>6316</v>
      </c>
      <c r="I1609" s="5" t="s">
        <v>20</v>
      </c>
      <c r="J1609" s="5">
        <v>41.48</v>
      </c>
      <c r="K1609" s="5" t="s">
        <v>21</v>
      </c>
      <c r="L1609" s="5" t="s">
        <v>6429</v>
      </c>
      <c r="M1609" s="5" t="s">
        <v>6318</v>
      </c>
      <c r="N1609" s="7" t="str">
        <f>HYPERLINK("C:\Users\alexa\YandexDisk\Книги\Математика\Мат. анализ\Практическое_введение_в_решение_дифференциальных_уравнений_в_Python.pdf","Практическое_введение_в_решение_дифференциальных_уравнений_в_Python.pdf")</f>
        <v>Практическое_введение_в_решение_дифференциальных_уравнений_в_Python.pdf</v>
      </c>
      <c r="O1609" s="5" t="s">
        <v>6430</v>
      </c>
    </row>
    <row r="1610" spans="1:15" ht="165.6" x14ac:dyDescent="0.3">
      <c r="A1610" s="2">
        <v>1609</v>
      </c>
      <c r="B1610" s="3" t="s">
        <v>6431</v>
      </c>
      <c r="C1610" s="3"/>
      <c r="D1610" s="3"/>
      <c r="E1610" s="3"/>
      <c r="F1610" s="3" t="s">
        <v>6315</v>
      </c>
      <c r="G1610" s="3" t="s">
        <v>6174</v>
      </c>
      <c r="H1610" s="3" t="s">
        <v>6316</v>
      </c>
      <c r="I1610" s="3" t="s">
        <v>20</v>
      </c>
      <c r="J1610" s="3">
        <v>6.78</v>
      </c>
      <c r="K1610" s="3" t="s">
        <v>21</v>
      </c>
      <c r="L1610" s="3" t="s">
        <v>6432</v>
      </c>
      <c r="M1610" s="3" t="s">
        <v>6318</v>
      </c>
      <c r="N1610" s="6" t="str">
        <f>HYPERLINK("C:\Users\alexa\YandexDisk\Книги\Математика\Мат. анализ\Руководство к решению тестовых задач по математике.pdf","Руководство к решению тестовых задач по математике.pdf")</f>
        <v>Руководство к решению тестовых задач по математике.pdf</v>
      </c>
      <c r="O1610" s="3" t="s">
        <v>6433</v>
      </c>
    </row>
    <row r="1611" spans="1:15" ht="179.4" x14ac:dyDescent="0.3">
      <c r="A1611" s="4">
        <v>1610</v>
      </c>
      <c r="B1611" s="5" t="s">
        <v>6434</v>
      </c>
      <c r="C1611" s="5" t="s">
        <v>6435</v>
      </c>
      <c r="D1611" s="5" t="s">
        <v>71</v>
      </c>
      <c r="E1611" s="5" t="s">
        <v>6436</v>
      </c>
      <c r="F1611" s="5" t="s">
        <v>6315</v>
      </c>
      <c r="G1611" s="5" t="s">
        <v>6174</v>
      </c>
      <c r="H1611" s="5" t="s">
        <v>6316</v>
      </c>
      <c r="I1611" s="5" t="s">
        <v>20</v>
      </c>
      <c r="J1611" s="5">
        <v>15.41</v>
      </c>
      <c r="K1611" s="5" t="s">
        <v>21</v>
      </c>
      <c r="L1611" s="5" t="s">
        <v>6437</v>
      </c>
      <c r="M1611" s="5" t="s">
        <v>6318</v>
      </c>
      <c r="N1611" s="7" t="str">
        <f>HYPERLINK("C:\Users\alexa\YandexDisk\Книги\Математика\Мат. анализ\Саватеев-Введение в настоящую математику.pdf","Саватеев-Введение в настоящую математику.pdf")</f>
        <v>Саватеев-Введение в настоящую математику.pdf</v>
      </c>
      <c r="O1611" s="5" t="s">
        <v>6438</v>
      </c>
    </row>
    <row r="1612" spans="1:15" ht="165.6" x14ac:dyDescent="0.3">
      <c r="A1612" s="2">
        <v>1611</v>
      </c>
      <c r="B1612" s="3" t="s">
        <v>6439</v>
      </c>
      <c r="C1612" s="3" t="s">
        <v>6440</v>
      </c>
      <c r="D1612" s="3" t="s">
        <v>17</v>
      </c>
      <c r="E1612" s="3"/>
      <c r="F1612" s="3" t="s">
        <v>6315</v>
      </c>
      <c r="G1612" s="3" t="s">
        <v>6174</v>
      </c>
      <c r="H1612" s="3" t="s">
        <v>6316</v>
      </c>
      <c r="I1612" s="3" t="s">
        <v>20</v>
      </c>
      <c r="J1612" s="3">
        <v>1.1399999999999999</v>
      </c>
      <c r="K1612" s="3" t="s">
        <v>21</v>
      </c>
      <c r="L1612" s="3" t="s">
        <v>6441</v>
      </c>
      <c r="M1612" s="3" t="s">
        <v>6318</v>
      </c>
      <c r="N1612" s="6" t="str">
        <f>HYPERLINK("C:\Users\alexa\YandexDisk\Книги\Математика\Мат. анализ\Саватеев-Сборник задач.pdf","Саватеев-Сборник задач.pdf")</f>
        <v>Саватеев-Сборник задач.pdf</v>
      </c>
      <c r="O1612" s="3" t="s">
        <v>6442</v>
      </c>
    </row>
    <row r="1613" spans="1:15" ht="248.4" x14ac:dyDescent="0.3">
      <c r="A1613" s="4">
        <v>1612</v>
      </c>
      <c r="B1613" s="5" t="s">
        <v>6443</v>
      </c>
      <c r="C1613" s="5" t="s">
        <v>6444</v>
      </c>
      <c r="D1613" s="5" t="s">
        <v>32</v>
      </c>
      <c r="E1613" s="5" t="s">
        <v>102</v>
      </c>
      <c r="F1613" s="5" t="s">
        <v>6315</v>
      </c>
      <c r="G1613" s="5" t="s">
        <v>6174</v>
      </c>
      <c r="H1613" s="5" t="s">
        <v>6316</v>
      </c>
      <c r="I1613" s="5" t="s">
        <v>20</v>
      </c>
      <c r="J1613" s="5">
        <v>50.01</v>
      </c>
      <c r="K1613" s="5" t="s">
        <v>21</v>
      </c>
      <c r="L1613" s="5" t="s">
        <v>6445</v>
      </c>
      <c r="M1613" s="5" t="s">
        <v>6318</v>
      </c>
      <c r="N1613" s="7" t="str">
        <f>HYPERLINK("C:\Users\alexa\YandexDisk\Книги\Математика\Мат. анализ\Сато_Минору_Занимательная_математика_Дифференциальные_уравнения.pdf","Сато_Минору_Занимательная_математика_Дифференциальные_уравнения.pdf")</f>
        <v>Сато_Минору_Занимательная_математика_Дифференциальные_уравнения.pdf</v>
      </c>
      <c r="O1613" s="5" t="s">
        <v>6446</v>
      </c>
    </row>
    <row r="1614" spans="1:15" ht="151.80000000000001" x14ac:dyDescent="0.3">
      <c r="A1614" s="2">
        <v>1613</v>
      </c>
      <c r="B1614" s="3" t="s">
        <v>6447</v>
      </c>
      <c r="C1614" s="3" t="s">
        <v>6448</v>
      </c>
      <c r="D1614" s="3"/>
      <c r="E1614" s="3"/>
      <c r="F1614" s="3" t="s">
        <v>6315</v>
      </c>
      <c r="G1614" s="3" t="s">
        <v>6174</v>
      </c>
      <c r="H1614" s="3" t="s">
        <v>6316</v>
      </c>
      <c r="I1614" s="3" t="s">
        <v>20</v>
      </c>
      <c r="J1614" s="3">
        <v>30.04</v>
      </c>
      <c r="K1614" s="3" t="s">
        <v>21</v>
      </c>
      <c r="L1614" s="3" t="s">
        <v>6449</v>
      </c>
      <c r="M1614" s="3" t="s">
        <v>6318</v>
      </c>
      <c r="N1614" s="6" t="str">
        <f>HYPERLINK("C:\Users\alexa\YandexDisk\Книги\Математика\Мат. анализ\Син_Тогами_Занимательная_математика_Производные_и_интегралы_Образовательная.pdf","Син_Тогами_Занимательная_математика_Производные_и_интегралы_Образовательная.pdf")</f>
        <v>Син_Тогами_Занимательная_математика_Производные_и_интегралы_Образовательная.pdf</v>
      </c>
      <c r="O1614" s="3" t="s">
        <v>6450</v>
      </c>
    </row>
    <row r="1615" spans="1:15" ht="151.80000000000001" x14ac:dyDescent="0.3">
      <c r="A1615" s="4">
        <v>1614</v>
      </c>
      <c r="B1615" s="5" t="s">
        <v>6368</v>
      </c>
      <c r="C1615" s="5" t="s">
        <v>6369</v>
      </c>
      <c r="D1615" s="5" t="s">
        <v>6370</v>
      </c>
      <c r="E1615" s="5"/>
      <c r="F1615" s="5" t="s">
        <v>6315</v>
      </c>
      <c r="G1615" s="5" t="s">
        <v>6174</v>
      </c>
      <c r="H1615" s="5" t="s">
        <v>6316</v>
      </c>
      <c r="I1615" s="5" t="s">
        <v>20</v>
      </c>
      <c r="J1615" s="5">
        <v>1.74</v>
      </c>
      <c r="K1615" s="5" t="s">
        <v>21</v>
      </c>
      <c r="L1615" s="5" t="s">
        <v>6451</v>
      </c>
      <c r="M1615" s="5" t="s">
        <v>6318</v>
      </c>
      <c r="N1615" s="7" t="str">
        <f>HYPERLINK("C:\Users\alexa\YandexDisk\Книги\Математика\Мат. анализ\Учебник по математике.pdf","Учебник по математике.pdf")</f>
        <v>Учебник по математике.pdf</v>
      </c>
      <c r="O1615" s="5" t="s">
        <v>6452</v>
      </c>
    </row>
    <row r="1616" spans="1:15" ht="193.2" x14ac:dyDescent="0.3">
      <c r="A1616" s="2">
        <v>1615</v>
      </c>
      <c r="B1616" s="3" t="s">
        <v>6386</v>
      </c>
      <c r="C1616" s="3" t="s">
        <v>6387</v>
      </c>
      <c r="D1616" s="3" t="s">
        <v>1022</v>
      </c>
      <c r="E1616" s="3" t="s">
        <v>766</v>
      </c>
      <c r="F1616" s="3" t="s">
        <v>6315</v>
      </c>
      <c r="G1616" s="3" t="s">
        <v>6174</v>
      </c>
      <c r="H1616" s="3" t="s">
        <v>6316</v>
      </c>
      <c r="I1616" s="3" t="s">
        <v>20</v>
      </c>
      <c r="J1616" s="3">
        <v>4.25</v>
      </c>
      <c r="K1616" s="3" t="s">
        <v>21</v>
      </c>
      <c r="L1616" s="3" t="s">
        <v>6453</v>
      </c>
      <c r="M1616" s="3" t="s">
        <v>6318</v>
      </c>
      <c r="N1616" s="6" t="str">
        <f>HYPERLINK("C:\Users\alexa\YandexDisk\Книги\Математика\Мат. анализ\Что такое математика 2015.pdf","Что такое математика 2015.pdf")</f>
        <v>Что такое математика 2015.pdf</v>
      </c>
      <c r="O1616" s="3" t="s">
        <v>6454</v>
      </c>
    </row>
    <row r="1617" spans="1:15" ht="193.2" x14ac:dyDescent="0.3">
      <c r="A1617" s="4">
        <v>1616</v>
      </c>
      <c r="B1617" s="5" t="s">
        <v>6455</v>
      </c>
      <c r="C1617" s="5" t="s">
        <v>6456</v>
      </c>
      <c r="D1617" s="5" t="s">
        <v>161</v>
      </c>
      <c r="E1617" s="5"/>
      <c r="F1617" s="5" t="s">
        <v>6315</v>
      </c>
      <c r="G1617" s="5" t="s">
        <v>6174</v>
      </c>
      <c r="H1617" s="5" t="s">
        <v>6316</v>
      </c>
      <c r="I1617" s="5" t="s">
        <v>721</v>
      </c>
      <c r="J1617" s="5">
        <v>3.91</v>
      </c>
      <c r="K1617" s="5" t="s">
        <v>21</v>
      </c>
      <c r="L1617" s="5" t="s">
        <v>6457</v>
      </c>
      <c r="M1617" s="5" t="s">
        <v>6318</v>
      </c>
      <c r="N1617" s="7" t="str">
        <f>HYPERLINK("C:\Users\alexa\YandexDisk\Книги\Математика\Мат. анализ\Элементы теории функций и функционального анализа [2004] Колмогоров, Фомин.djvu","Элементы теории функций и функционального анализа [2004] Колмогоров, Фомин.djvu")</f>
        <v>Элементы теории функций и функционального анализа [2004] Колмогоров, Фомин.djvu</v>
      </c>
      <c r="O1617" s="5" t="s">
        <v>6458</v>
      </c>
    </row>
    <row r="1618" spans="1:15" ht="165.6" x14ac:dyDescent="0.3">
      <c r="A1618" s="2">
        <v>1617</v>
      </c>
      <c r="B1618" s="3" t="s">
        <v>6459</v>
      </c>
      <c r="C1618" s="3" t="s">
        <v>6460</v>
      </c>
      <c r="D1618" s="3" t="s">
        <v>77</v>
      </c>
      <c r="E1618" s="3" t="s">
        <v>2158</v>
      </c>
      <c r="F1618" s="3" t="s">
        <v>6315</v>
      </c>
      <c r="G1618" s="3" t="s">
        <v>6174</v>
      </c>
      <c r="H1618" s="3" t="s">
        <v>6316</v>
      </c>
      <c r="I1618" s="3" t="s">
        <v>20</v>
      </c>
      <c r="J1618" s="3">
        <v>1.59</v>
      </c>
      <c r="K1618" s="3" t="s">
        <v>21</v>
      </c>
      <c r="L1618" s="3" t="s">
        <v>6461</v>
      </c>
      <c r="M1618" s="3" t="s">
        <v>6318</v>
      </c>
      <c r="N1618" s="6" t="str">
        <f>HYPERLINK("C:\Users\alexa\YandexDisk\Книги\Математика\Мат. анализ\Ю_В_Вайнштейн,_Т_Г_Пенькова,_В_И_Вайнштейн_Математическая_логика.pdf","Ю_В_Вайнштейн,_Т_Г_Пенькова,_В_И_Вайнштейн_Математическая_логика.pdf")</f>
        <v>Ю_В_Вайнштейн,_Т_Г_Пенькова,_В_И_Вайнштейн_Математическая_логика.pdf</v>
      </c>
      <c r="O1618" s="3" t="s">
        <v>6462</v>
      </c>
    </row>
    <row r="1619" spans="1:15" ht="193.2" x14ac:dyDescent="0.3">
      <c r="A1619" s="4">
        <v>1618</v>
      </c>
      <c r="B1619" s="5" t="s">
        <v>6463</v>
      </c>
      <c r="C1619" s="5" t="s">
        <v>6464</v>
      </c>
      <c r="D1619" s="5" t="s">
        <v>50</v>
      </c>
      <c r="E1619" s="5" t="s">
        <v>6465</v>
      </c>
      <c r="F1619" s="5" t="s">
        <v>6466</v>
      </c>
      <c r="G1619" s="5" t="s">
        <v>6174</v>
      </c>
      <c r="H1619" s="5" t="s">
        <v>199</v>
      </c>
      <c r="I1619" s="5" t="s">
        <v>20</v>
      </c>
      <c r="J1619" s="5">
        <v>79.209999999999994</v>
      </c>
      <c r="K1619" s="5" t="s">
        <v>21</v>
      </c>
      <c r="L1619" s="5" t="s">
        <v>6467</v>
      </c>
      <c r="M1619" s="5" t="s">
        <v>6468</v>
      </c>
      <c r="N1619" s="7" t="str">
        <f>HYPERLINK("C:\Users\alexa\YandexDisk\Книги\Математика\Общие вопросы\Джексон_Т_Математика_Иллюстрированная.pdf","Джексон_Т_Математика_Иллюстрированная.pdf")</f>
        <v>Джексон_Т_Математика_Иллюстрированная.pdf</v>
      </c>
      <c r="O1619" s="5" t="s">
        <v>6469</v>
      </c>
    </row>
    <row r="1620" spans="1:15" ht="151.80000000000001" x14ac:dyDescent="0.3">
      <c r="A1620" s="2">
        <v>1619</v>
      </c>
      <c r="B1620" s="3" t="s">
        <v>6470</v>
      </c>
      <c r="C1620" s="3" t="s">
        <v>6471</v>
      </c>
      <c r="D1620" s="3" t="s">
        <v>32</v>
      </c>
      <c r="E1620" s="3" t="s">
        <v>303</v>
      </c>
      <c r="F1620" s="3" t="s">
        <v>6466</v>
      </c>
      <c r="G1620" s="3" t="s">
        <v>6174</v>
      </c>
      <c r="H1620" s="3" t="s">
        <v>199</v>
      </c>
      <c r="I1620" s="3" t="s">
        <v>20</v>
      </c>
      <c r="J1620" s="3">
        <v>5.51</v>
      </c>
      <c r="K1620" s="3" t="s">
        <v>21</v>
      </c>
      <c r="L1620" s="3" t="s">
        <v>6472</v>
      </c>
      <c r="M1620" s="3" t="s">
        <v>6468</v>
      </c>
      <c r="N1620" s="6" t="str">
        <f>HYPERLINK("C:\Users\alexa\YandexDisk\Книги\Математика\Общие вопросы\Как_не_ошибаться_Сила_математического_мышления_2018_Джордан_Элленберг.pdf","Как_не_ошибаться_Сила_математического_мышления_2018_Джордан_Элленберг.pdf")</f>
        <v>Как_не_ошибаться_Сила_математического_мышления_2018_Джордан_Элленберг.pdf</v>
      </c>
      <c r="O1620" s="3" t="s">
        <v>6473</v>
      </c>
    </row>
    <row r="1621" spans="1:15" ht="179.4" x14ac:dyDescent="0.3">
      <c r="A1621" s="4">
        <v>1620</v>
      </c>
      <c r="B1621" s="5" t="s">
        <v>6474</v>
      </c>
      <c r="C1621" s="5" t="s">
        <v>6475</v>
      </c>
      <c r="D1621" s="5" t="s">
        <v>17</v>
      </c>
      <c r="E1621" s="5" t="s">
        <v>528</v>
      </c>
      <c r="F1621" s="5" t="s">
        <v>6466</v>
      </c>
      <c r="G1621" s="5" t="s">
        <v>6174</v>
      </c>
      <c r="H1621" s="5" t="s">
        <v>199</v>
      </c>
      <c r="I1621" s="5" t="s">
        <v>20</v>
      </c>
      <c r="J1621" s="5">
        <v>5.64</v>
      </c>
      <c r="K1621" s="5" t="s">
        <v>21</v>
      </c>
      <c r="L1621" s="5" t="s">
        <v>6476</v>
      </c>
      <c r="M1621" s="5" t="s">
        <v>6468</v>
      </c>
      <c r="N1621" s="7" t="str">
        <f>HYPERLINK("C:\Users\alexa\YandexDisk\Книги\Математика\Общие вопросы\Математика для Дебилов.pdf","Математика для Дебилов.pdf")</f>
        <v>Математика для Дебилов.pdf</v>
      </c>
      <c r="O1621" s="5" t="s">
        <v>6477</v>
      </c>
    </row>
    <row r="1622" spans="1:15" ht="220.8" x14ac:dyDescent="0.3">
      <c r="A1622" s="2">
        <v>1621</v>
      </c>
      <c r="B1622" s="3" t="s">
        <v>6478</v>
      </c>
      <c r="C1622" s="3" t="s">
        <v>6479</v>
      </c>
      <c r="D1622" s="3" t="s">
        <v>59</v>
      </c>
      <c r="E1622" s="3" t="s">
        <v>303</v>
      </c>
      <c r="F1622" s="3" t="s">
        <v>6466</v>
      </c>
      <c r="G1622" s="3" t="s">
        <v>6174</v>
      </c>
      <c r="H1622" s="3" t="s">
        <v>199</v>
      </c>
      <c r="I1622" s="3" t="s">
        <v>20</v>
      </c>
      <c r="J1622" s="3">
        <v>9.5399999999999991</v>
      </c>
      <c r="K1622" s="3" t="s">
        <v>21</v>
      </c>
      <c r="L1622" s="3" t="s">
        <v>6480</v>
      </c>
      <c r="M1622" s="3" t="s">
        <v>6468</v>
      </c>
      <c r="N1622" s="6" t="str">
        <f>HYPERLINK("C:\Users\alexa\YandexDisk\Книги\Математика\Общие вопросы\Математика_в_огне_Нескучный_неучебник_2020_Джейсон_Уилкс.pdf","Математика_в_огне_Нескучный_неучебник_2020_Джейсон_Уилкс.pdf")</f>
        <v>Математика_в_огне_Нескучный_неучебник_2020_Джейсон_Уилкс.pdf</v>
      </c>
      <c r="O1622" s="3" t="s">
        <v>6481</v>
      </c>
    </row>
    <row r="1623" spans="1:15" ht="151.80000000000001" x14ac:dyDescent="0.3">
      <c r="A1623" s="4">
        <v>1622</v>
      </c>
      <c r="B1623" s="5" t="s">
        <v>6482</v>
      </c>
      <c r="C1623" s="5" t="s">
        <v>6333</v>
      </c>
      <c r="D1623" s="5" t="s">
        <v>6483</v>
      </c>
      <c r="E1623" s="5"/>
      <c r="F1623" s="5" t="s">
        <v>6466</v>
      </c>
      <c r="G1623" s="5" t="s">
        <v>6174</v>
      </c>
      <c r="H1623" s="5" t="s">
        <v>199</v>
      </c>
      <c r="I1623" s="5" t="s">
        <v>721</v>
      </c>
      <c r="J1623" s="5">
        <v>1.33</v>
      </c>
      <c r="K1623" s="5" t="s">
        <v>21</v>
      </c>
      <c r="L1623" s="5" t="s">
        <v>6484</v>
      </c>
      <c r="M1623" s="5" t="s">
        <v>6468</v>
      </c>
      <c r="N1623" s="7" t="str">
        <f>HYPERLINK("C:\Users\alexa\YandexDisk\Книги\Математика\Общие вопросы\О профессии математика [1960] Колмогоров.djvu","О профессии математика [1960] Колмогоров.djvu")</f>
        <v>О профессии математика [1960] Колмогоров.djvu</v>
      </c>
      <c r="O1623" s="5" t="s">
        <v>6485</v>
      </c>
    </row>
    <row r="1624" spans="1:15" ht="193.2" x14ac:dyDescent="0.3">
      <c r="A1624" s="2">
        <v>1623</v>
      </c>
      <c r="B1624" s="3" t="s">
        <v>6486</v>
      </c>
      <c r="C1624" s="3" t="s">
        <v>6487</v>
      </c>
      <c r="D1624" s="3" t="s">
        <v>17</v>
      </c>
      <c r="E1624" s="3" t="s">
        <v>18</v>
      </c>
      <c r="F1624" s="3" t="s">
        <v>6488</v>
      </c>
      <c r="G1624" s="3" t="s">
        <v>6174</v>
      </c>
      <c r="H1624" s="3" t="s">
        <v>6489</v>
      </c>
      <c r="I1624" s="3" t="s">
        <v>20</v>
      </c>
      <c r="J1624" s="3">
        <v>6.37</v>
      </c>
      <c r="K1624" s="3" t="s">
        <v>21</v>
      </c>
      <c r="L1624" s="3" t="s">
        <v>6490</v>
      </c>
      <c r="M1624" s="3" t="s">
        <v>6491</v>
      </c>
      <c r="N1624" s="6" t="str">
        <f>HYPERLINK("C:\Users\alexa\YandexDisk\Книги\Математика\Статистика\!_Библиотека_программиста_Уилл_Курт_Байесовская_статистика_Star_Wars®.pdf","!_Библиотека_программиста_Уилл_Курт_Байесовская_статистика_Star_Wars®.pdf")</f>
        <v>!_Библиотека_программиста_Уилл_Курт_Байесовская_статистика_Star_Wars®.pdf</v>
      </c>
      <c r="O1624" s="3" t="s">
        <v>6492</v>
      </c>
    </row>
    <row r="1625" spans="1:15" ht="165.6" x14ac:dyDescent="0.3">
      <c r="A1625" s="4">
        <v>1624</v>
      </c>
      <c r="B1625" s="5" t="s">
        <v>6493</v>
      </c>
      <c r="C1625" s="5" t="s">
        <v>6494</v>
      </c>
      <c r="D1625" s="5" t="s">
        <v>59</v>
      </c>
      <c r="E1625" s="5" t="s">
        <v>6495</v>
      </c>
      <c r="F1625" s="5" t="s">
        <v>6488</v>
      </c>
      <c r="G1625" s="5" t="s">
        <v>6174</v>
      </c>
      <c r="H1625" s="5" t="s">
        <v>6489</v>
      </c>
      <c r="I1625" s="5" t="s">
        <v>20</v>
      </c>
      <c r="J1625" s="5">
        <v>5.66</v>
      </c>
      <c r="K1625" s="5" t="s">
        <v>21</v>
      </c>
      <c r="L1625" s="5" t="s">
        <v>6496</v>
      </c>
      <c r="M1625" s="5" t="s">
        <v>6491</v>
      </c>
      <c r="N1625" s="7" t="str">
        <f>HYPERLINK("C:\Users\alexa\YandexDisk\Книги\Математика\Статистика\Applied statistic with R.pdf","Applied statistic with R.pdf")</f>
        <v>Applied statistic with R.pdf</v>
      </c>
      <c r="O1625" s="5" t="s">
        <v>6497</v>
      </c>
    </row>
    <row r="1626" spans="1:15" ht="179.4" x14ac:dyDescent="0.3">
      <c r="A1626" s="2">
        <v>1625</v>
      </c>
      <c r="B1626" s="3" t="s">
        <v>6498</v>
      </c>
      <c r="C1626" s="3" t="s">
        <v>6499</v>
      </c>
      <c r="D1626" s="3"/>
      <c r="E1626" s="3"/>
      <c r="F1626" s="3" t="s">
        <v>6488</v>
      </c>
      <c r="G1626" s="3" t="s">
        <v>6174</v>
      </c>
      <c r="H1626" s="3" t="s">
        <v>6489</v>
      </c>
      <c r="I1626" s="3" t="s">
        <v>20</v>
      </c>
      <c r="J1626" s="3">
        <v>9.93</v>
      </c>
      <c r="K1626" s="3" t="s">
        <v>21</v>
      </c>
      <c r="L1626" s="3" t="s">
        <v>6500</v>
      </c>
      <c r="M1626" s="3" t="s">
        <v>6491</v>
      </c>
      <c r="N1626" s="6" t="str">
        <f>HYPERLINK("C:\Users\alexa\YandexDisk\Книги\Математика\Статистика\Essential Math for Data Science.pdf","Essential Math for Data Science.pdf")</f>
        <v>Essential Math for Data Science.pdf</v>
      </c>
      <c r="O1626" s="3" t="s">
        <v>6501</v>
      </c>
    </row>
    <row r="1627" spans="1:15" ht="110.4" x14ac:dyDescent="0.3">
      <c r="A1627" s="4">
        <v>1626</v>
      </c>
      <c r="B1627" s="5" t="s">
        <v>6502</v>
      </c>
      <c r="C1627" s="5"/>
      <c r="D1627" s="5"/>
      <c r="E1627" s="5"/>
      <c r="F1627" s="5" t="s">
        <v>6488</v>
      </c>
      <c r="G1627" s="5" t="s">
        <v>6174</v>
      </c>
      <c r="H1627" s="5" t="s">
        <v>6489</v>
      </c>
      <c r="I1627" s="5" t="s">
        <v>1147</v>
      </c>
      <c r="J1627" s="5">
        <v>4.28</v>
      </c>
      <c r="K1627" s="5" t="s">
        <v>21</v>
      </c>
      <c r="L1627" s="5" t="s">
        <v>6503</v>
      </c>
      <c r="M1627" s="5" t="s">
        <v>6491</v>
      </c>
      <c r="N1627" s="7" t="str">
        <f>HYPERLINK("C:\Users\alexa\YandexDisk\Книги\Математика\Статистика\Statistika_i_kotiki.docx","Statistika_i_kotiki.docx")</f>
        <v>Statistika_i_kotiki.docx</v>
      </c>
      <c r="O1627" s="5" t="s">
        <v>6504</v>
      </c>
    </row>
    <row r="1628" spans="1:15" ht="165.6" x14ac:dyDescent="0.3">
      <c r="A1628" s="2">
        <v>1627</v>
      </c>
      <c r="B1628" s="3" t="s">
        <v>6505</v>
      </c>
      <c r="C1628" s="3" t="s">
        <v>6506</v>
      </c>
      <c r="D1628" s="3" t="s">
        <v>32</v>
      </c>
      <c r="E1628" s="3" t="s">
        <v>3351</v>
      </c>
      <c r="F1628" s="3" t="s">
        <v>6488</v>
      </c>
      <c r="G1628" s="3" t="s">
        <v>6174</v>
      </c>
      <c r="H1628" s="3" t="s">
        <v>6489</v>
      </c>
      <c r="I1628" s="3" t="s">
        <v>20</v>
      </c>
      <c r="J1628" s="3">
        <v>10.54</v>
      </c>
      <c r="K1628" s="3" t="s">
        <v>21</v>
      </c>
      <c r="L1628" s="3" t="s">
        <v>6507</v>
      </c>
      <c r="M1628" s="3" t="s">
        <v>6491</v>
      </c>
      <c r="N1628" s="6" t="str">
        <f>HYPERLINK("C:\Users\alexa\YandexDisk\Книги\Математика\Статистика\Statistika_i_kotiki.pdf","Statistika_i_kotiki.pdf")</f>
        <v>Statistika_i_kotiki.pdf</v>
      </c>
      <c r="O1628" s="3" t="s">
        <v>6508</v>
      </c>
    </row>
    <row r="1629" spans="1:15" ht="193.2" x14ac:dyDescent="0.3">
      <c r="A1629" s="4">
        <v>1628</v>
      </c>
      <c r="B1629" s="5" t="s">
        <v>6509</v>
      </c>
      <c r="C1629" s="5" t="s">
        <v>6510</v>
      </c>
      <c r="D1629" s="5" t="s">
        <v>59</v>
      </c>
      <c r="E1629" s="5" t="s">
        <v>6511</v>
      </c>
      <c r="F1629" s="5" t="s">
        <v>6488</v>
      </c>
      <c r="G1629" s="5" t="s">
        <v>6174</v>
      </c>
      <c r="H1629" s="5" t="s">
        <v>6489</v>
      </c>
      <c r="I1629" s="5" t="s">
        <v>20</v>
      </c>
      <c r="J1629" s="5">
        <v>20.91</v>
      </c>
      <c r="K1629" s="5" t="s">
        <v>21</v>
      </c>
      <c r="L1629" s="5" t="s">
        <v>6512</v>
      </c>
      <c r="M1629" s="5" t="s">
        <v>6491</v>
      </c>
      <c r="N1629" s="7" t="str">
        <f>HYPERLINK("C:\Users\alexa\YandexDisk\Книги\Математика\Статистика\Анализ_временных_рядов_и_прогнозирование.pdf","Анализ_временных_рядов_и_прогнозирование.pdf")</f>
        <v>Анализ_временных_рядов_и_прогнозирование.pdf</v>
      </c>
      <c r="O1629" s="5" t="s">
        <v>6513</v>
      </c>
    </row>
    <row r="1630" spans="1:15" ht="151.80000000000001" x14ac:dyDescent="0.3">
      <c r="A1630" s="2">
        <v>1629</v>
      </c>
      <c r="B1630" s="3" t="s">
        <v>6514</v>
      </c>
      <c r="C1630" s="3" t="s">
        <v>6515</v>
      </c>
      <c r="D1630" s="3"/>
      <c r="E1630" s="3" t="s">
        <v>102</v>
      </c>
      <c r="F1630" s="3" t="s">
        <v>6488</v>
      </c>
      <c r="G1630" s="3" t="s">
        <v>6174</v>
      </c>
      <c r="H1630" s="3" t="s">
        <v>6489</v>
      </c>
      <c r="I1630" s="3" t="s">
        <v>20</v>
      </c>
      <c r="J1630" s="3">
        <v>4.26</v>
      </c>
      <c r="K1630" s="3" t="s">
        <v>21</v>
      </c>
      <c r="L1630" s="3" t="s">
        <v>6516</v>
      </c>
      <c r="M1630" s="3" t="s">
        <v>6491</v>
      </c>
      <c r="N1630" s="6" t="str">
        <f>HYPERLINK("C:\Users\alexa\YandexDisk\Книги\Математика\Статистика\Байесовские модели (Python).pdf","Байесовские модели (Python).pdf")</f>
        <v>Байесовские модели (Python).pdf</v>
      </c>
      <c r="O1630" s="3" t="s">
        <v>6517</v>
      </c>
    </row>
    <row r="1631" spans="1:15" ht="179.4" x14ac:dyDescent="0.3">
      <c r="A1631" s="4">
        <v>1630</v>
      </c>
      <c r="B1631" s="5" t="s">
        <v>6486</v>
      </c>
      <c r="C1631" s="5" t="s">
        <v>6518</v>
      </c>
      <c r="D1631" s="5" t="s">
        <v>17</v>
      </c>
      <c r="E1631" s="5" t="s">
        <v>18</v>
      </c>
      <c r="F1631" s="5" t="s">
        <v>6488</v>
      </c>
      <c r="G1631" s="5" t="s">
        <v>6174</v>
      </c>
      <c r="H1631" s="5" t="s">
        <v>6489</v>
      </c>
      <c r="I1631" s="5" t="s">
        <v>20</v>
      </c>
      <c r="J1631" s="5">
        <v>6.37</v>
      </c>
      <c r="K1631" s="5" t="s">
        <v>21</v>
      </c>
      <c r="L1631" s="5" t="s">
        <v>6519</v>
      </c>
      <c r="M1631" s="5" t="s">
        <v>6491</v>
      </c>
      <c r="N1631" s="7" t="str">
        <f>HYPERLINK("C:\Users\alexa\YandexDisk\Книги\Математика\Статистика\Библиотека_программиста_Уилл_Курт_Байесовская_статистика_Star_Wars®.pdf","Библиотека_программиста_Уилл_Курт_Байесовская_статистика_Star_Wars®.pdf")</f>
        <v>Библиотека_программиста_Уилл_Курт_Байесовская_статистика_Star_Wars®.pdf</v>
      </c>
      <c r="O1631" s="5" t="s">
        <v>6520</v>
      </c>
    </row>
    <row r="1632" spans="1:15" ht="193.2" x14ac:dyDescent="0.3">
      <c r="A1632" s="2">
        <v>1631</v>
      </c>
      <c r="B1632" s="3" t="s">
        <v>6521</v>
      </c>
      <c r="C1632" s="3" t="s">
        <v>6522</v>
      </c>
      <c r="D1632" s="3" t="s">
        <v>114</v>
      </c>
      <c r="E1632" s="3"/>
      <c r="F1632" s="3" t="s">
        <v>6488</v>
      </c>
      <c r="G1632" s="3" t="s">
        <v>6174</v>
      </c>
      <c r="H1632" s="3" t="s">
        <v>6489</v>
      </c>
      <c r="I1632" s="3" t="s">
        <v>20</v>
      </c>
      <c r="J1632" s="3">
        <v>17.38</v>
      </c>
      <c r="K1632" s="3" t="s">
        <v>21</v>
      </c>
      <c r="L1632" s="3" t="s">
        <v>6523</v>
      </c>
      <c r="M1632" s="3" t="s">
        <v>6491</v>
      </c>
      <c r="N1632" s="6" t="str">
        <f>HYPERLINK("C:\Users\alexa\YandexDisk\Книги\Математика\Статистика\Голая_статистика_Самая_интересная_книга_о_самой_скучной_науке_2016.pdf","Голая_статистика_Самая_интересная_книга_о_самой_скучной_науке_2016.pdf")</f>
        <v>Голая_статистика_Самая_интересная_книга_о_самой_скучной_науке_2016.pdf</v>
      </c>
      <c r="O1632" s="3" t="s">
        <v>6524</v>
      </c>
    </row>
    <row r="1633" spans="1:15" ht="165.6" x14ac:dyDescent="0.3">
      <c r="A1633" s="4">
        <v>1632</v>
      </c>
      <c r="B1633" s="5" t="s">
        <v>6525</v>
      </c>
      <c r="C1633" s="5" t="s">
        <v>6526</v>
      </c>
      <c r="D1633" s="5" t="s">
        <v>17</v>
      </c>
      <c r="E1633" s="5"/>
      <c r="F1633" s="5" t="s">
        <v>6488</v>
      </c>
      <c r="G1633" s="5" t="s">
        <v>6174</v>
      </c>
      <c r="H1633" s="5" t="s">
        <v>6489</v>
      </c>
      <c r="I1633" s="5" t="s">
        <v>20</v>
      </c>
      <c r="J1633" s="5">
        <v>7.55</v>
      </c>
      <c r="K1633" s="5" t="s">
        <v>21</v>
      </c>
      <c r="L1633" s="5" t="s">
        <v>6527</v>
      </c>
      <c r="M1633" s="5" t="s">
        <v>6491</v>
      </c>
      <c r="N1633" s="7" t="str">
        <f>HYPERLINK("C:\Users\alexa\YandexDisk\Книги\Математика\Статистика\Искусство_статистики_Как_находить_ответы_в_данных_2021_Дэвид_Шпигельхалтер.pdf","Искусство_статистики_Как_находить_ответы_в_данных_2021_Дэвид_Шпигельхалтер.pdf")</f>
        <v>Искусство_статистики_Как_находить_ответы_в_данных_2021_Дэвид_Шпигельхалтер.pdf</v>
      </c>
      <c r="O1633" s="5" t="s">
        <v>6528</v>
      </c>
    </row>
    <row r="1634" spans="1:15" ht="138" x14ac:dyDescent="0.3">
      <c r="A1634" s="2">
        <v>1633</v>
      </c>
      <c r="B1634" s="3" t="s">
        <v>6529</v>
      </c>
      <c r="C1634" s="3" t="s">
        <v>6530</v>
      </c>
      <c r="D1634" s="3" t="s">
        <v>27</v>
      </c>
      <c r="E1634" s="3"/>
      <c r="F1634" s="3" t="s">
        <v>6488</v>
      </c>
      <c r="G1634" s="3" t="s">
        <v>6174</v>
      </c>
      <c r="H1634" s="3" t="s">
        <v>6489</v>
      </c>
      <c r="I1634" s="3" t="s">
        <v>20</v>
      </c>
      <c r="J1634" s="3">
        <v>13.59</v>
      </c>
      <c r="K1634" s="3" t="s">
        <v>21</v>
      </c>
      <c r="L1634" s="3" t="s">
        <v>6531</v>
      </c>
      <c r="M1634" s="3" t="s">
        <v>6491</v>
      </c>
      <c r="N1634" s="6" t="str">
        <f>HYPERLINK("C:\Users\alexa\YandexDisk\Книги\Математика\Статистика\Как отучить статистику лгать.pdf","Как отучить статистику лгать.pdf")</f>
        <v>Как отучить статистику лгать.pdf</v>
      </c>
      <c r="O1634" s="3" t="s">
        <v>6532</v>
      </c>
    </row>
    <row r="1635" spans="1:15" ht="165.6" x14ac:dyDescent="0.3">
      <c r="A1635" s="4">
        <v>1634</v>
      </c>
      <c r="B1635" s="5" t="s">
        <v>6533</v>
      </c>
      <c r="C1635" s="5" t="s">
        <v>6534</v>
      </c>
      <c r="D1635" s="5" t="s">
        <v>186</v>
      </c>
      <c r="E1635" s="5" t="s">
        <v>6535</v>
      </c>
      <c r="F1635" s="5" t="s">
        <v>6488</v>
      </c>
      <c r="G1635" s="5" t="s">
        <v>6174</v>
      </c>
      <c r="H1635" s="5" t="s">
        <v>6489</v>
      </c>
      <c r="I1635" s="5" t="s">
        <v>20</v>
      </c>
      <c r="J1635" s="5">
        <v>143.82</v>
      </c>
      <c r="K1635" s="5" t="s">
        <v>21</v>
      </c>
      <c r="L1635" s="5" t="s">
        <v>6536</v>
      </c>
      <c r="M1635" s="5" t="s">
        <v>6491</v>
      </c>
      <c r="N1635" s="7" t="str">
        <f>HYPERLINK("C:\Users\alexa\YandexDisk\Книги\Математика\Статистика\Математические_методы_принятия_решений_2_е_издание_2014_Грешилов.pdf","Математические_методы_принятия_решений_2_е_издание_2014_Грешилов.pdf")</f>
        <v>Математические_методы_принятия_решений_2_е_издание_2014_Грешилов.pdf</v>
      </c>
      <c r="O1635" s="5" t="s">
        <v>6537</v>
      </c>
    </row>
    <row r="1636" spans="1:15" ht="193.2" x14ac:dyDescent="0.3">
      <c r="A1636" s="2">
        <v>1635</v>
      </c>
      <c r="B1636" s="3" t="s">
        <v>6533</v>
      </c>
      <c r="C1636" s="3" t="s">
        <v>6534</v>
      </c>
      <c r="D1636" s="3" t="s">
        <v>186</v>
      </c>
      <c r="E1636" s="3" t="s">
        <v>6535</v>
      </c>
      <c r="F1636" s="3" t="s">
        <v>6488</v>
      </c>
      <c r="G1636" s="3" t="s">
        <v>6174</v>
      </c>
      <c r="H1636" s="3" t="s">
        <v>6489</v>
      </c>
      <c r="I1636" s="3" t="s">
        <v>20</v>
      </c>
      <c r="J1636" s="3">
        <v>143.82</v>
      </c>
      <c r="K1636" s="3" t="s">
        <v>21</v>
      </c>
      <c r="L1636" s="3" t="s">
        <v>6538</v>
      </c>
      <c r="M1636" s="3" t="s">
        <v>6491</v>
      </c>
      <c r="N1636" s="6" t="str">
        <f>HYPERLINK("C:\Users\alexa\YandexDisk\Книги\Математика\Статистика\Математические_методы_принятия_решений_МВТУ_2_е_издание_2014.pdf","Математические_методы_принятия_решений_МВТУ_2_е_издание_2014.pdf")</f>
        <v>Математические_методы_принятия_решений_МВТУ_2_е_издание_2014.pdf</v>
      </c>
      <c r="O1636" s="3" t="s">
        <v>6539</v>
      </c>
    </row>
    <row r="1637" spans="1:15" ht="193.2" x14ac:dyDescent="0.3">
      <c r="A1637" s="4">
        <v>1636</v>
      </c>
      <c r="B1637" s="5" t="s">
        <v>5330</v>
      </c>
      <c r="C1637" s="5" t="s">
        <v>5331</v>
      </c>
      <c r="D1637" s="5" t="s">
        <v>59</v>
      </c>
      <c r="E1637" s="5" t="s">
        <v>1431</v>
      </c>
      <c r="F1637" s="5" t="s">
        <v>6488</v>
      </c>
      <c r="G1637" s="5" t="s">
        <v>6174</v>
      </c>
      <c r="H1637" s="5" t="s">
        <v>6489</v>
      </c>
      <c r="I1637" s="5" t="s">
        <v>20</v>
      </c>
      <c r="J1637" s="5">
        <v>99.81</v>
      </c>
      <c r="K1637" s="5" t="s">
        <v>21</v>
      </c>
      <c r="L1637" s="5" t="s">
        <v>6540</v>
      </c>
      <c r="M1637" s="5" t="s">
        <v>6491</v>
      </c>
      <c r="N1637" s="7" t="str">
        <f>HYPERLINK("C:\Users\alexa\YandexDisk\Книги\Математика\Статистика\Основы статистического обучения 2021.pdf","Основы статистического обучения 2021.pdf")</f>
        <v>Основы статистического обучения 2021.pdf</v>
      </c>
      <c r="O1637" s="5" t="s">
        <v>6541</v>
      </c>
    </row>
    <row r="1638" spans="1:15" ht="207" x14ac:dyDescent="0.3">
      <c r="A1638" s="2">
        <v>1637</v>
      </c>
      <c r="B1638" s="3" t="s">
        <v>1049</v>
      </c>
      <c r="C1638" s="3" t="s">
        <v>6542</v>
      </c>
      <c r="D1638" s="3" t="s">
        <v>32</v>
      </c>
      <c r="E1638" s="3" t="s">
        <v>402</v>
      </c>
      <c r="F1638" s="3" t="s">
        <v>6488</v>
      </c>
      <c r="G1638" s="3" t="s">
        <v>6174</v>
      </c>
      <c r="H1638" s="3" t="s">
        <v>6489</v>
      </c>
      <c r="I1638" s="3" t="s">
        <v>20</v>
      </c>
      <c r="J1638" s="3">
        <v>7.55</v>
      </c>
      <c r="K1638" s="3" t="s">
        <v>21</v>
      </c>
      <c r="L1638" s="3" t="s">
        <v>6543</v>
      </c>
      <c r="M1638" s="3" t="s">
        <v>6491</v>
      </c>
      <c r="N1638" s="6" t="str">
        <f>HYPERLINK("C:\Users\alexa\YandexDisk\Книги\Математика\Статистика\Практическая статистика для специалистов Data Science.pdf","Практическая статистика для специалистов Data Science.pdf")</f>
        <v>Практическая статистика для специалистов Data Science.pdf</v>
      </c>
      <c r="O1638" s="3" t="s">
        <v>6544</v>
      </c>
    </row>
    <row r="1639" spans="1:15" ht="179.4" x14ac:dyDescent="0.3">
      <c r="A1639" s="4">
        <v>1638</v>
      </c>
      <c r="B1639" s="5" t="s">
        <v>6545</v>
      </c>
      <c r="C1639" s="5" t="s">
        <v>1372</v>
      </c>
      <c r="D1639" s="5" t="s">
        <v>17</v>
      </c>
      <c r="E1639" s="5" t="s">
        <v>442</v>
      </c>
      <c r="F1639" s="5" t="s">
        <v>6488</v>
      </c>
      <c r="G1639" s="5" t="s">
        <v>6174</v>
      </c>
      <c r="H1639" s="5" t="s">
        <v>6489</v>
      </c>
      <c r="I1639" s="5" t="s">
        <v>20</v>
      </c>
      <c r="J1639" s="5">
        <v>37.99</v>
      </c>
      <c r="K1639" s="5" t="s">
        <v>21</v>
      </c>
      <c r="L1639" s="5" t="s">
        <v>6546</v>
      </c>
      <c r="M1639" s="5" t="s">
        <v>6491</v>
      </c>
      <c r="N1639" s="7" t="str">
        <f>HYPERLINK("C:\Users\alexa\YandexDisk\Книги\Математика\Статистика\Практический_анализ_временных_рядов 2021.pdf","Практический_анализ_временных_рядов 2021.pdf")</f>
        <v>Практический_анализ_временных_рядов 2021.pdf</v>
      </c>
      <c r="O1639" s="5" t="s">
        <v>6547</v>
      </c>
    </row>
    <row r="1640" spans="1:15" ht="165.6" x14ac:dyDescent="0.3">
      <c r="A1640" s="2">
        <v>1639</v>
      </c>
      <c r="B1640" s="3" t="s">
        <v>6548</v>
      </c>
      <c r="C1640" s="3" t="s">
        <v>6549</v>
      </c>
      <c r="D1640" s="3" t="s">
        <v>71</v>
      </c>
      <c r="E1640" s="3" t="s">
        <v>102</v>
      </c>
      <c r="F1640" s="3" t="s">
        <v>6488</v>
      </c>
      <c r="G1640" s="3" t="s">
        <v>6174</v>
      </c>
      <c r="H1640" s="3" t="s">
        <v>6489</v>
      </c>
      <c r="I1640" s="3" t="s">
        <v>20</v>
      </c>
      <c r="J1640" s="3">
        <v>81.28</v>
      </c>
      <c r="K1640" s="3" t="s">
        <v>21</v>
      </c>
      <c r="L1640" s="3" t="s">
        <v>6550</v>
      </c>
      <c r="M1640" s="3" t="s">
        <v>6491</v>
      </c>
      <c r="N1640" s="6" t="str">
        <f>HYPERLINK("C:\Users\alexa\YandexDisk\Книги\Математика\Статистика\Регрессия- теория и практика 2022.pdf","Регрессия- теория и практика 2022.pdf")</f>
        <v>Регрессия- теория и практика 2022.pdf</v>
      </c>
      <c r="O1640" s="3" t="s">
        <v>6551</v>
      </c>
    </row>
    <row r="1641" spans="1:15" ht="151.80000000000001" x14ac:dyDescent="0.3">
      <c r="A1641" s="4">
        <v>1640</v>
      </c>
      <c r="B1641" s="5" t="s">
        <v>6552</v>
      </c>
      <c r="C1641" s="5" t="s">
        <v>6553</v>
      </c>
      <c r="D1641" s="5" t="s">
        <v>274</v>
      </c>
      <c r="E1641" s="5" t="s">
        <v>6554</v>
      </c>
      <c r="F1641" s="5" t="s">
        <v>6488</v>
      </c>
      <c r="G1641" s="5" t="s">
        <v>6174</v>
      </c>
      <c r="H1641" s="5" t="s">
        <v>6489</v>
      </c>
      <c r="I1641" s="5" t="s">
        <v>20</v>
      </c>
      <c r="J1641" s="5">
        <v>10.96</v>
      </c>
      <c r="K1641" s="5" t="s">
        <v>21</v>
      </c>
      <c r="L1641" s="5" t="s">
        <v>6555</v>
      </c>
      <c r="M1641" s="5" t="s">
        <v>6491</v>
      </c>
      <c r="N1641" s="7" t="str">
        <f>HYPERLINK("C:\Users\alexa\YandexDisk\Книги\Математика\Статистика\Син_Такахаси_Занимательная_статистика_Образовательная_манга_2010.pdf","Син_Такахаси_Занимательная_статистика_Образовательная_манга_2010.pdf")</f>
        <v>Син_Такахаси_Занимательная_статистика_Образовательная_манга_2010.pdf</v>
      </c>
      <c r="O1641" s="5" t="s">
        <v>6556</v>
      </c>
    </row>
    <row r="1642" spans="1:15" ht="165.6" x14ac:dyDescent="0.3">
      <c r="A1642" s="2">
        <v>1641</v>
      </c>
      <c r="B1642" s="3" t="s">
        <v>6557</v>
      </c>
      <c r="C1642" s="3" t="s">
        <v>6553</v>
      </c>
      <c r="D1642" s="3" t="s">
        <v>186</v>
      </c>
      <c r="E1642" s="3" t="s">
        <v>102</v>
      </c>
      <c r="F1642" s="3" t="s">
        <v>6488</v>
      </c>
      <c r="G1642" s="3" t="s">
        <v>6174</v>
      </c>
      <c r="H1642" s="3" t="s">
        <v>6489</v>
      </c>
      <c r="I1642" s="3" t="s">
        <v>20</v>
      </c>
      <c r="J1642" s="3">
        <v>77.53</v>
      </c>
      <c r="K1642" s="3" t="s">
        <v>21</v>
      </c>
      <c r="L1642" s="3" t="s">
        <v>6558</v>
      </c>
      <c r="M1642" s="3" t="s">
        <v>6491</v>
      </c>
      <c r="N1642" s="6" t="str">
        <f>HYPERLINK("C:\Users\alexa\YandexDisk\Книги\Математика\Статистика\Син_Такахаси_Занимательная_статистика_Регрессионный_анализ.pdf","Син_Такахаси_Занимательная_статистика_Регрессионный_анализ.pdf")</f>
        <v>Син_Такахаси_Занимательная_статистика_Регрессионный_анализ.pdf</v>
      </c>
      <c r="O1642" s="3" t="s">
        <v>6559</v>
      </c>
    </row>
    <row r="1643" spans="1:15" ht="220.8" x14ac:dyDescent="0.3">
      <c r="A1643" s="4">
        <v>1642</v>
      </c>
      <c r="B1643" s="5" t="s">
        <v>6560</v>
      </c>
      <c r="C1643" s="5" t="s">
        <v>6553</v>
      </c>
      <c r="D1643" s="5" t="s">
        <v>1022</v>
      </c>
      <c r="E1643" s="5" t="s">
        <v>6561</v>
      </c>
      <c r="F1643" s="5" t="s">
        <v>6488</v>
      </c>
      <c r="G1643" s="5" t="s">
        <v>6174</v>
      </c>
      <c r="H1643" s="5" t="s">
        <v>6489</v>
      </c>
      <c r="I1643" s="5" t="s">
        <v>20</v>
      </c>
      <c r="J1643" s="5">
        <v>29.41</v>
      </c>
      <c r="K1643" s="5" t="s">
        <v>21</v>
      </c>
      <c r="L1643" s="5" t="s">
        <v>6562</v>
      </c>
      <c r="M1643" s="5" t="s">
        <v>6491</v>
      </c>
      <c r="N1643" s="7" t="str">
        <f>HYPERLINK("C:\Users\alexa\YandexDisk\Книги\Математика\Статистика\Син_Такахаси_Занимательная_статистика_Факторный_анализ.pdf","Син_Такахаси_Занимательная_статистика_Факторный_анализ.pdf")</f>
        <v>Син_Такахаси_Занимательная_статистика_Факторный_анализ.pdf</v>
      </c>
      <c r="O1643" s="5" t="s">
        <v>6563</v>
      </c>
    </row>
    <row r="1644" spans="1:15" ht="151.80000000000001" x14ac:dyDescent="0.3">
      <c r="A1644" s="2">
        <v>1643</v>
      </c>
      <c r="B1644" s="3" t="s">
        <v>6505</v>
      </c>
      <c r="C1644" s="3" t="s">
        <v>6506</v>
      </c>
      <c r="D1644" s="3" t="s">
        <v>32</v>
      </c>
      <c r="E1644" s="3" t="s">
        <v>3351</v>
      </c>
      <c r="F1644" s="3" t="s">
        <v>6488</v>
      </c>
      <c r="G1644" s="3" t="s">
        <v>6174</v>
      </c>
      <c r="H1644" s="3" t="s">
        <v>6489</v>
      </c>
      <c r="I1644" s="3" t="s">
        <v>20</v>
      </c>
      <c r="J1644" s="3">
        <v>10.31</v>
      </c>
      <c r="K1644" s="3" t="s">
        <v>21</v>
      </c>
      <c r="L1644" s="3" t="s">
        <v>6564</v>
      </c>
      <c r="M1644" s="3" t="s">
        <v>6491</v>
      </c>
      <c r="N1644" s="6" t="str">
        <f>HYPERLINK("C:\Users\alexa\YandexDisk\Книги\Математика\Статистика\Статистика и котики.pdf","Статистика и котики.pdf")</f>
        <v>Статистика и котики.pdf</v>
      </c>
      <c r="O1644" s="3" t="s">
        <v>6565</v>
      </c>
    </row>
    <row r="1645" spans="1:15" ht="207" x14ac:dyDescent="0.3">
      <c r="A1645" s="4">
        <v>1644</v>
      </c>
      <c r="B1645" s="5" t="s">
        <v>6566</v>
      </c>
      <c r="C1645" s="5" t="s">
        <v>6567</v>
      </c>
      <c r="D1645" s="5"/>
      <c r="E1645" s="5" t="s">
        <v>102</v>
      </c>
      <c r="F1645" s="5" t="s">
        <v>6488</v>
      </c>
      <c r="G1645" s="5" t="s">
        <v>6174</v>
      </c>
      <c r="H1645" s="5" t="s">
        <v>6489</v>
      </c>
      <c r="I1645" s="5" t="s">
        <v>20</v>
      </c>
      <c r="J1645" s="5">
        <v>25.49</v>
      </c>
      <c r="K1645" s="5" t="s">
        <v>21</v>
      </c>
      <c r="L1645" s="5" t="s">
        <v>6568</v>
      </c>
      <c r="M1645" s="5" t="s">
        <v>6491</v>
      </c>
      <c r="N1645" s="7" t="str">
        <f>HYPERLINK("C:\Users\alexa\YandexDisk\Книги\Математика\Статистика\Статистика_для_тех,_кто_ненавидит_статистику.pdf","Статистика_для_тех,_кто_ненавидит_статистику.pdf")</f>
        <v>Статистика_для_тех,_кто_ненавидит_статистику.pdf</v>
      </c>
      <c r="O1645" s="5" t="s">
        <v>6569</v>
      </c>
    </row>
    <row r="1646" spans="1:15" ht="179.4" x14ac:dyDescent="0.3">
      <c r="A1646" s="2">
        <v>1645</v>
      </c>
      <c r="B1646" s="3" t="s">
        <v>6570</v>
      </c>
      <c r="C1646" s="3" t="s">
        <v>6571</v>
      </c>
      <c r="D1646" s="3" t="s">
        <v>17</v>
      </c>
      <c r="E1646" s="3" t="s">
        <v>148</v>
      </c>
      <c r="F1646" s="3" t="s">
        <v>6488</v>
      </c>
      <c r="G1646" s="3" t="s">
        <v>6174</v>
      </c>
      <c r="H1646" s="3" t="s">
        <v>6489</v>
      </c>
      <c r="I1646" s="3" t="s">
        <v>20</v>
      </c>
      <c r="J1646" s="3">
        <v>3.45</v>
      </c>
      <c r="K1646" s="3" t="s">
        <v>21</v>
      </c>
      <c r="L1646" s="3" t="s">
        <v>6572</v>
      </c>
      <c r="M1646" s="3" t="s">
        <v>6491</v>
      </c>
      <c r="N1646" s="6" t="str">
        <f>HYPERLINK("C:\Users\alexa\YandexDisk\Книги\Математика\Статистика\Статистический_анализ_экспериментальных_данных.pdf","Статистический_анализ_экспериментальных_данных.pdf")</f>
        <v>Статистический_анализ_экспериментальных_данных.pdf</v>
      </c>
      <c r="O1646" s="3" t="s">
        <v>6573</v>
      </c>
    </row>
    <row r="1647" spans="1:15" ht="179.4" x14ac:dyDescent="0.3">
      <c r="A1647" s="4">
        <v>1646</v>
      </c>
      <c r="B1647" s="5" t="s">
        <v>5506</v>
      </c>
      <c r="C1647" s="5" t="s">
        <v>4892</v>
      </c>
      <c r="D1647" s="5" t="s">
        <v>27</v>
      </c>
      <c r="E1647" s="5" t="s">
        <v>227</v>
      </c>
      <c r="F1647" s="5" t="s">
        <v>6574</v>
      </c>
      <c r="G1647" s="5" t="s">
        <v>6174</v>
      </c>
      <c r="H1647" s="5" t="s">
        <v>6575</v>
      </c>
      <c r="I1647" s="5" t="s">
        <v>20</v>
      </c>
      <c r="J1647" s="5">
        <v>9.67</v>
      </c>
      <c r="K1647" s="5" t="s">
        <v>21</v>
      </c>
      <c r="L1647" s="5" t="s">
        <v>6576</v>
      </c>
      <c r="M1647" s="5" t="s">
        <v>6577</v>
      </c>
      <c r="N1647" s="7" t="str">
        <f>HYPERLINK("C:\Users\alexa\YandexDisk\Книги\Математика\Теория вероятностей\Apress_Bayesian_Optimization_Theory_and_Practice_Using_Python.pdf","Apress_Bayesian_Optimization_Theory_and_Practice_Using_Python.pdf")</f>
        <v>Apress_Bayesian_Optimization_Theory_and_Practice_Using_Python.pdf</v>
      </c>
      <c r="O1647" s="5" t="s">
        <v>6578</v>
      </c>
    </row>
    <row r="1648" spans="1:15" ht="151.80000000000001" x14ac:dyDescent="0.3">
      <c r="A1648" s="2">
        <v>1647</v>
      </c>
      <c r="B1648" s="3" t="s">
        <v>6579</v>
      </c>
      <c r="C1648" s="3" t="s">
        <v>6580</v>
      </c>
      <c r="D1648" s="3" t="s">
        <v>2881</v>
      </c>
      <c r="E1648" s="3" t="s">
        <v>2531</v>
      </c>
      <c r="F1648" s="3" t="s">
        <v>6574</v>
      </c>
      <c r="G1648" s="3" t="s">
        <v>6174</v>
      </c>
      <c r="H1648" s="3" t="s">
        <v>6575</v>
      </c>
      <c r="I1648" s="3" t="s">
        <v>20</v>
      </c>
      <c r="J1648" s="3">
        <v>7.02</v>
      </c>
      <c r="K1648" s="3" t="s">
        <v>21</v>
      </c>
      <c r="L1648" s="3" t="s">
        <v>6581</v>
      </c>
      <c r="M1648" s="3" t="s">
        <v>6577</v>
      </c>
      <c r="N1648" s="6" t="str">
        <f>HYPERLINK("C:\Users\alexa\YandexDisk\Книги\Математика\Теория вероятностей\E_S_Venttsel_L_A_Ovcharov_Zadachi_i_uprazhnenia_po_teorii_veroyatnostey.pdf","E_S_Venttsel_L_A_Ovcharov_Zadachi_i_uprazhnenia_po_teorii_veroyatnostey.pdf")</f>
        <v>E_S_Venttsel_L_A_Ovcharov_Zadachi_i_uprazhnenia_po_teorii_veroyatnostey.pdf</v>
      </c>
      <c r="O1648" s="3" t="s">
        <v>6582</v>
      </c>
    </row>
    <row r="1649" spans="1:15" ht="151.80000000000001" x14ac:dyDescent="0.3">
      <c r="A1649" s="4">
        <v>1648</v>
      </c>
      <c r="B1649" s="5" t="s">
        <v>6583</v>
      </c>
      <c r="C1649" s="5" t="s">
        <v>6584</v>
      </c>
      <c r="D1649" s="5"/>
      <c r="E1649" s="5"/>
      <c r="F1649" s="5" t="s">
        <v>6574</v>
      </c>
      <c r="G1649" s="5" t="s">
        <v>6174</v>
      </c>
      <c r="H1649" s="5" t="s">
        <v>6575</v>
      </c>
      <c r="I1649" s="5" t="s">
        <v>20</v>
      </c>
      <c r="J1649" s="5">
        <v>36.35</v>
      </c>
      <c r="K1649" s="5" t="s">
        <v>21</v>
      </c>
      <c r="L1649" s="5" t="s">
        <v>6585</v>
      </c>
      <c r="M1649" s="5" t="s">
        <v>6577</v>
      </c>
      <c r="N1649" s="7" t="str">
        <f>HYPERLINK("C:\Users\alexa\YandexDisk\Книги\Математика\Теория вероятностей\Mathematicians Playing Games.pdf","Mathematicians Playing Games.pdf")</f>
        <v>Mathematicians Playing Games.pdf</v>
      </c>
      <c r="O1649" s="5" t="s">
        <v>6586</v>
      </c>
    </row>
    <row r="1650" spans="1:15" ht="41.4" x14ac:dyDescent="0.3">
      <c r="A1650" s="2">
        <v>1649</v>
      </c>
      <c r="B1650" s="3" t="s">
        <v>6587</v>
      </c>
      <c r="C1650" s="3" t="s">
        <v>6588</v>
      </c>
      <c r="D1650" s="3"/>
      <c r="E1650" s="3"/>
      <c r="F1650" s="3" t="s">
        <v>6574</v>
      </c>
      <c r="G1650" s="3" t="s">
        <v>6174</v>
      </c>
      <c r="H1650" s="3" t="s">
        <v>6575</v>
      </c>
      <c r="I1650" s="3" t="s">
        <v>20</v>
      </c>
      <c r="J1650" s="3">
        <v>4.46</v>
      </c>
      <c r="K1650" s="3" t="s">
        <v>21</v>
      </c>
      <c r="L1650" s="3" t="s">
        <v>6589</v>
      </c>
      <c r="M1650" s="3" t="s">
        <v>6577</v>
      </c>
      <c r="N1650" s="6" t="str">
        <f>HYPERLINK("C:\Users\alexa\YandexDisk\Книги\Математика\Теория вероятностей\Probability For Dummies (Deborah J. Rumsey).pdf","Probability For Dummies (Deborah J. Rumsey).pdf")</f>
        <v>Probability For Dummies (Deborah J. Rumsey).pdf</v>
      </c>
      <c r="O1650" s="3" t="s">
        <v>930</v>
      </c>
    </row>
    <row r="1651" spans="1:15" ht="138" x14ac:dyDescent="0.3">
      <c r="A1651" s="4">
        <v>1650</v>
      </c>
      <c r="B1651" s="5" t="s">
        <v>6590</v>
      </c>
      <c r="C1651" s="5" t="s">
        <v>6591</v>
      </c>
      <c r="D1651" s="5" t="s">
        <v>476</v>
      </c>
      <c r="E1651" s="5" t="s">
        <v>18</v>
      </c>
      <c r="F1651" s="5" t="s">
        <v>6574</v>
      </c>
      <c r="G1651" s="5" t="s">
        <v>6174</v>
      </c>
      <c r="H1651" s="5" t="s">
        <v>6575</v>
      </c>
      <c r="I1651" s="5" t="s">
        <v>20</v>
      </c>
      <c r="J1651" s="5">
        <v>9.94</v>
      </c>
      <c r="K1651" s="5" t="s">
        <v>21</v>
      </c>
      <c r="L1651" s="5" t="s">
        <v>6592</v>
      </c>
      <c r="M1651" s="5" t="s">
        <v>6577</v>
      </c>
      <c r="N1651" s="7" t="str">
        <f>HYPERLINK("C:\Users\alexa\YandexDisk\Книги\Математика\Теория вероятностей\teoriya-veroyatnostey-i-matematicheskaya-statistika.pdf","teoriya-veroyatnostey-i-matematicheskaya-statistika.pdf")</f>
        <v>teoriya-veroyatnostey-i-matematicheskaya-statistika.pdf</v>
      </c>
      <c r="O1651" s="5" t="s">
        <v>6593</v>
      </c>
    </row>
    <row r="1652" spans="1:15" ht="193.2" x14ac:dyDescent="0.3">
      <c r="A1652" s="2">
        <v>1651</v>
      </c>
      <c r="B1652" s="3" t="s">
        <v>6594</v>
      </c>
      <c r="C1652" s="3" t="s">
        <v>6595</v>
      </c>
      <c r="D1652" s="3" t="s">
        <v>476</v>
      </c>
      <c r="E1652" s="3"/>
      <c r="F1652" s="3" t="s">
        <v>6574</v>
      </c>
      <c r="G1652" s="3" t="s">
        <v>6174</v>
      </c>
      <c r="H1652" s="3" t="s">
        <v>6575</v>
      </c>
      <c r="I1652" s="3" t="s">
        <v>20</v>
      </c>
      <c r="J1652" s="3">
        <v>29.45</v>
      </c>
      <c r="K1652" s="3" t="s">
        <v>21</v>
      </c>
      <c r="L1652" s="3" t="s">
        <v>6596</v>
      </c>
      <c r="M1652" s="3" t="s">
        <v>6577</v>
      </c>
      <c r="N1652" s="6" t="str">
        <f>HYPERLINK("C:\Users\alexa\YandexDisk\Книги\Математика\Теория вероятностей\Алон Спенсер Veroyatnostny_metod_-_2013.pdf","Алон Спенсер Veroyatnostny_metod_-_2013.pdf")</f>
        <v>Алон Спенсер Veroyatnostny_metod_-_2013.pdf</v>
      </c>
      <c r="O1652" s="3" t="s">
        <v>6597</v>
      </c>
    </row>
    <row r="1653" spans="1:15" ht="234.6" x14ac:dyDescent="0.3">
      <c r="A1653" s="4">
        <v>1652</v>
      </c>
      <c r="B1653" s="5" t="s">
        <v>5651</v>
      </c>
      <c r="C1653" s="5" t="s">
        <v>5652</v>
      </c>
      <c r="D1653" s="5" t="s">
        <v>109</v>
      </c>
      <c r="E1653" s="5" t="s">
        <v>86</v>
      </c>
      <c r="F1653" s="5" t="s">
        <v>6574</v>
      </c>
      <c r="G1653" s="5" t="s">
        <v>6174</v>
      </c>
      <c r="H1653" s="5" t="s">
        <v>6575</v>
      </c>
      <c r="I1653" s="5" t="s">
        <v>20</v>
      </c>
      <c r="J1653" s="5">
        <v>29.12</v>
      </c>
      <c r="K1653" s="5" t="s">
        <v>21</v>
      </c>
      <c r="L1653" s="5" t="s">
        <v>6598</v>
      </c>
      <c r="M1653" s="5" t="s">
        <v>6577</v>
      </c>
      <c r="N1653" s="7" t="str">
        <f>HYPERLINK("C:\Users\alexa\YandexDisk\Книги\Математика\Теория вероятностей\Байесовские_модели_восприятия_и_действия_2024_Вэй_Цзи_Ма,_Конрад.pdf","Байесовские_модели_восприятия_и_действия_2024_Вэй_Цзи_Ма,_Конрад.pdf")</f>
        <v>Байесовские_модели_восприятия_и_действия_2024_Вэй_Цзи_Ма,_Конрад.pdf</v>
      </c>
      <c r="O1653" s="5" t="s">
        <v>6599</v>
      </c>
    </row>
    <row r="1654" spans="1:15" ht="193.2" x14ac:dyDescent="0.3">
      <c r="A1654" s="2">
        <v>1653</v>
      </c>
      <c r="B1654" s="3" t="s">
        <v>6600</v>
      </c>
      <c r="C1654" s="3" t="s">
        <v>6601</v>
      </c>
      <c r="D1654" s="3" t="s">
        <v>17</v>
      </c>
      <c r="E1654" s="3" t="s">
        <v>148</v>
      </c>
      <c r="F1654" s="3" t="s">
        <v>6574</v>
      </c>
      <c r="G1654" s="3" t="s">
        <v>6174</v>
      </c>
      <c r="H1654" s="3" t="s">
        <v>6575</v>
      </c>
      <c r="I1654" s="3" t="s">
        <v>20</v>
      </c>
      <c r="J1654" s="3">
        <v>12.38</v>
      </c>
      <c r="K1654" s="3" t="s">
        <v>21</v>
      </c>
      <c r="L1654" s="3" t="s">
        <v>6602</v>
      </c>
      <c r="M1654" s="3" t="s">
        <v>6577</v>
      </c>
      <c r="N1654" s="6" t="str">
        <f>HYPERLINK("C:\Users\alexa\YandexDisk\Книги\Математика\Теория вероятностей\Вероятностное программирование.pdf","Вероятностное программирование.pdf")</f>
        <v>Вероятностное программирование.pdf</v>
      </c>
      <c r="O1654" s="3" t="s">
        <v>6603</v>
      </c>
    </row>
    <row r="1655" spans="1:15" ht="220.8" x14ac:dyDescent="0.3">
      <c r="A1655" s="4">
        <v>1654</v>
      </c>
      <c r="B1655" s="5" t="s">
        <v>6604</v>
      </c>
      <c r="C1655" s="5"/>
      <c r="D1655" s="5"/>
      <c r="E1655" s="5" t="s">
        <v>102</v>
      </c>
      <c r="F1655" s="5" t="s">
        <v>6574</v>
      </c>
      <c r="G1655" s="5" t="s">
        <v>6174</v>
      </c>
      <c r="H1655" s="5" t="s">
        <v>6575</v>
      </c>
      <c r="I1655" s="5" t="s">
        <v>20</v>
      </c>
      <c r="J1655" s="5">
        <v>3.68</v>
      </c>
      <c r="K1655" s="5" t="s">
        <v>21</v>
      </c>
      <c r="L1655" s="5" t="s">
        <v>6605</v>
      </c>
      <c r="M1655" s="5" t="s">
        <v>6577</v>
      </c>
      <c r="N1655" s="7" t="str">
        <f>HYPERLINK("C:\Users\alexa\YandexDisk\Книги\Математика\Теория вероятностей\Вероятностные_графовые_модели_Принципы_и_приложения.pdf","Вероятностные_графовые_модели_Принципы_и_приложения.pdf")</f>
        <v>Вероятностные_графовые_модели_Принципы_и_приложения.pdf</v>
      </c>
      <c r="O1655" s="5" t="s">
        <v>6606</v>
      </c>
    </row>
    <row r="1656" spans="1:15" ht="165.6" x14ac:dyDescent="0.3">
      <c r="A1656" s="2">
        <v>1655</v>
      </c>
      <c r="B1656" s="3" t="s">
        <v>6607</v>
      </c>
      <c r="C1656" s="3" t="s">
        <v>6608</v>
      </c>
      <c r="D1656" s="3" t="s">
        <v>6609</v>
      </c>
      <c r="E1656" s="3"/>
      <c r="F1656" s="3" t="s">
        <v>6574</v>
      </c>
      <c r="G1656" s="3" t="s">
        <v>6174</v>
      </c>
      <c r="H1656" s="3" t="s">
        <v>6575</v>
      </c>
      <c r="I1656" s="3" t="s">
        <v>20</v>
      </c>
      <c r="J1656" s="3">
        <v>11.3</v>
      </c>
      <c r="K1656" s="3" t="s">
        <v>21</v>
      </c>
      <c r="L1656" s="3" t="s">
        <v>6610</v>
      </c>
      <c r="M1656" s="3" t="s">
        <v>6577</v>
      </c>
      <c r="N1656" s="6" t="str">
        <f>HYPERLINK("C:\Users\alexa\YandexDisk\Книги\Математика\Теория вероятностей\Математическая логика. Алгебра. Теория чисел. Теория вероятностей [1978] Колмогоров А.Н., Юшкевич.pdf","Математическая логика. Алгебра. Теория чисел. Теория вероятностей [1978] Колмогоров А.Н., Юшкевич.pdf")</f>
        <v>Математическая логика. Алгебра. Теория чисел. Теория вероятностей [1978] Колмогоров А.Н., Юшкевич.pdf</v>
      </c>
      <c r="O1656" s="3" t="s">
        <v>6611</v>
      </c>
    </row>
    <row r="1657" spans="1:15" ht="165.6" x14ac:dyDescent="0.3">
      <c r="A1657" s="4">
        <v>1656</v>
      </c>
      <c r="B1657" s="5" t="s">
        <v>6612</v>
      </c>
      <c r="C1657" s="5" t="s">
        <v>6613</v>
      </c>
      <c r="D1657" s="5" t="s">
        <v>59</v>
      </c>
      <c r="E1657" s="5" t="s">
        <v>148</v>
      </c>
      <c r="F1657" s="5" t="s">
        <v>6574</v>
      </c>
      <c r="G1657" s="5" t="s">
        <v>6174</v>
      </c>
      <c r="H1657" s="5" t="s">
        <v>6575</v>
      </c>
      <c r="I1657" s="5" t="s">
        <v>20</v>
      </c>
      <c r="J1657" s="5">
        <v>2.75</v>
      </c>
      <c r="K1657" s="5" t="s">
        <v>21</v>
      </c>
      <c r="L1657" s="5" t="s">
        <v>6614</v>
      </c>
      <c r="M1657" s="5" t="s">
        <v>6577</v>
      </c>
      <c r="N1657" s="7" t="str">
        <f>HYPERLINK("C:\Users\alexa\YandexDisk\Книги\Математика\Теория вероятностей\Моделирование_задач_принятия_решений.pdf","Моделирование_задач_принятия_решений.pdf")</f>
        <v>Моделирование_задач_принятия_решений.pdf</v>
      </c>
      <c r="O1657" s="5" t="s">
        <v>6615</v>
      </c>
    </row>
    <row r="1658" spans="1:15" ht="151.80000000000001" x14ac:dyDescent="0.3">
      <c r="A1658" s="2">
        <v>1657</v>
      </c>
      <c r="B1658" s="3" t="s">
        <v>6616</v>
      </c>
      <c r="C1658" s="3" t="s">
        <v>6617</v>
      </c>
      <c r="D1658" s="3" t="s">
        <v>17</v>
      </c>
      <c r="E1658" s="3" t="s">
        <v>102</v>
      </c>
      <c r="F1658" s="3" t="s">
        <v>6574</v>
      </c>
      <c r="G1658" s="3" t="s">
        <v>6174</v>
      </c>
      <c r="H1658" s="3" t="s">
        <v>6575</v>
      </c>
      <c r="I1658" s="3" t="s">
        <v>20</v>
      </c>
      <c r="J1658" s="3">
        <v>19.420000000000002</v>
      </c>
      <c r="K1658" s="3" t="s">
        <v>21</v>
      </c>
      <c r="L1658" s="3" t="s">
        <v>6618</v>
      </c>
      <c r="M1658" s="3" t="s">
        <v>6577</v>
      </c>
      <c r="N1658" s="6" t="str">
        <f>HYPERLINK("C:\Users\alexa\YandexDisk\Книги\Математика\Теория вероятностей\Наука о сетях вводный курс.pdf","Наука о сетях вводный курс.pdf")</f>
        <v>Наука о сетях вводный курс.pdf</v>
      </c>
      <c r="O1658" s="3" t="s">
        <v>6619</v>
      </c>
    </row>
    <row r="1659" spans="1:15" ht="179.4" x14ac:dyDescent="0.3">
      <c r="A1659" s="4">
        <v>1658</v>
      </c>
      <c r="B1659" s="5" t="s">
        <v>6620</v>
      </c>
      <c r="C1659" s="5" t="s">
        <v>6621</v>
      </c>
      <c r="D1659" s="5" t="s">
        <v>59</v>
      </c>
      <c r="E1659" s="5" t="s">
        <v>726</v>
      </c>
      <c r="F1659" s="5" t="s">
        <v>6574</v>
      </c>
      <c r="G1659" s="5" t="s">
        <v>6174</v>
      </c>
      <c r="H1659" s="5" t="s">
        <v>6575</v>
      </c>
      <c r="I1659" s="5" t="s">
        <v>20</v>
      </c>
      <c r="J1659" s="5">
        <v>31.6</v>
      </c>
      <c r="K1659" s="5" t="s">
        <v>21</v>
      </c>
      <c r="L1659" s="5" t="s">
        <v>6622</v>
      </c>
      <c r="M1659" s="5" t="s">
        <v>6577</v>
      </c>
      <c r="N1659" s="7" t="str">
        <f>HYPERLINK("C:\Users\alexa\YandexDisk\Книги\Математика\Теория вероятностей\Нечеткое_моделирование_и_управление.pdf","Нечеткое_моделирование_и_управление.pdf")</f>
        <v>Нечеткое_моделирование_и_управление.pdf</v>
      </c>
      <c r="O1659" s="5" t="s">
        <v>6623</v>
      </c>
    </row>
    <row r="1660" spans="1:15" ht="179.4" x14ac:dyDescent="0.3">
      <c r="A1660" s="2">
        <v>1659</v>
      </c>
      <c r="B1660" s="3" t="s">
        <v>6624</v>
      </c>
      <c r="C1660" s="3" t="s">
        <v>6625</v>
      </c>
      <c r="D1660" s="3" t="s">
        <v>6626</v>
      </c>
      <c r="E1660" s="3"/>
      <c r="F1660" s="3" t="s">
        <v>6574</v>
      </c>
      <c r="G1660" s="3" t="s">
        <v>6174</v>
      </c>
      <c r="H1660" s="3" t="s">
        <v>6575</v>
      </c>
      <c r="I1660" s="3" t="s">
        <v>721</v>
      </c>
      <c r="J1660" s="3">
        <v>6.26</v>
      </c>
      <c r="K1660" s="3" t="s">
        <v>21</v>
      </c>
      <c r="L1660" s="3" t="s">
        <v>6627</v>
      </c>
      <c r="M1660" s="3" t="s">
        <v>6577</v>
      </c>
      <c r="N1660" s="6" t="str">
        <f>HYPERLINK("C:\Users\alexa\YandexDisk\Книги\Математика\Теория вероятностей\Предельные распределения для сумм независимых случайных величин [1949] Гнеденко, Колмогоров.djvu","Предельные распределения для сумм независимых случайных величин [1949] Гнеденко, Колмогоров.djvu")</f>
        <v>Предельные распределения для сумм независимых случайных величин [1949] Гнеденко, Колмогоров.djvu</v>
      </c>
      <c r="O1660" s="3" t="s">
        <v>6628</v>
      </c>
    </row>
    <row r="1661" spans="1:15" ht="193.2" x14ac:dyDescent="0.3">
      <c r="A1661" s="4">
        <v>1660</v>
      </c>
      <c r="B1661" s="5" t="s">
        <v>6629</v>
      </c>
      <c r="C1661" s="5" t="s">
        <v>6333</v>
      </c>
      <c r="D1661" s="5" t="s">
        <v>6630</v>
      </c>
      <c r="E1661" s="5"/>
      <c r="F1661" s="5" t="s">
        <v>6574</v>
      </c>
      <c r="G1661" s="5" t="s">
        <v>6174</v>
      </c>
      <c r="H1661" s="5" t="s">
        <v>6575</v>
      </c>
      <c r="I1661" s="5" t="s">
        <v>721</v>
      </c>
      <c r="J1661" s="5">
        <v>13.55</v>
      </c>
      <c r="K1661" s="5" t="s">
        <v>21</v>
      </c>
      <c r="L1661" s="5" t="s">
        <v>6631</v>
      </c>
      <c r="M1661" s="5" t="s">
        <v>6577</v>
      </c>
      <c r="N1661" s="7" t="str">
        <f>HYPERLINK("C:\Users\alexa\YandexDisk\Книги\Математика\Теория вероятностей\Теория вероятностей и математическая статистика [Том 2] [1987] Колмогоров.djvu","Теория вероятностей и математическая статистика [Том 2] [1987] Колмогоров.djvu")</f>
        <v>Теория вероятностей и математическая статистика [Том 2] [1987] Колмогоров.djvu</v>
      </c>
      <c r="O1661" s="5" t="s">
        <v>6632</v>
      </c>
    </row>
    <row r="1662" spans="1:15" ht="207" x14ac:dyDescent="0.3">
      <c r="A1662" s="2">
        <v>1661</v>
      </c>
      <c r="B1662" s="3" t="s">
        <v>6633</v>
      </c>
      <c r="C1662" s="3" t="s">
        <v>6634</v>
      </c>
      <c r="D1662" s="3" t="s">
        <v>71</v>
      </c>
      <c r="E1662" s="3" t="s">
        <v>2733</v>
      </c>
      <c r="F1662" s="3" t="s">
        <v>6574</v>
      </c>
      <c r="G1662" s="3" t="s">
        <v>6174</v>
      </c>
      <c r="H1662" s="3" t="s">
        <v>6575</v>
      </c>
      <c r="I1662" s="3" t="s">
        <v>20</v>
      </c>
      <c r="J1662" s="3">
        <v>76.25</v>
      </c>
      <c r="K1662" s="3" t="s">
        <v>21</v>
      </c>
      <c r="L1662" s="3" t="s">
        <v>6635</v>
      </c>
      <c r="M1662" s="3" t="s">
        <v>6577</v>
      </c>
      <c r="N1662" s="6" t="str">
        <f>HYPERLINK("C:\Users\alexa\YandexDisk\Книги\Математика\Теория вероятностей\Теория вероятностей, математическая статистика и анализ данных.pdf","Теория вероятностей, математическая статистика и анализ данных.pdf")</f>
        <v>Теория вероятностей, математическая статистика и анализ данных.pdf</v>
      </c>
      <c r="O1662" s="3" t="s">
        <v>6636</v>
      </c>
    </row>
    <row r="1663" spans="1:15" ht="165.6" x14ac:dyDescent="0.3">
      <c r="A1663" s="4">
        <v>1662</v>
      </c>
      <c r="B1663" s="5" t="s">
        <v>6637</v>
      </c>
      <c r="C1663" s="5" t="s">
        <v>6638</v>
      </c>
      <c r="D1663" s="5" t="s">
        <v>17</v>
      </c>
      <c r="E1663" s="5" t="s">
        <v>148</v>
      </c>
      <c r="F1663" s="5" t="s">
        <v>6574</v>
      </c>
      <c r="G1663" s="5" t="s">
        <v>6174</v>
      </c>
      <c r="H1663" s="5" t="s">
        <v>6575</v>
      </c>
      <c r="I1663" s="5" t="s">
        <v>20</v>
      </c>
      <c r="J1663" s="5">
        <v>2.96</v>
      </c>
      <c r="K1663" s="5" t="s">
        <v>21</v>
      </c>
      <c r="L1663" s="5" t="s">
        <v>6639</v>
      </c>
      <c r="M1663" s="5" t="s">
        <v>6577</v>
      </c>
      <c r="N1663" s="7" t="str">
        <f>HYPERLINK("C:\Users\alexa\YandexDisk\Книги\Математика\Теория вероятностей\Теория вероятностей.pdf","Теория вероятностей.pdf")</f>
        <v>Теория вероятностей.pdf</v>
      </c>
      <c r="O1663" s="5" t="s">
        <v>6640</v>
      </c>
    </row>
    <row r="1664" spans="1:15" ht="41.4" x14ac:dyDescent="0.3">
      <c r="A1664" s="2">
        <v>1663</v>
      </c>
      <c r="B1664" s="3" t="s">
        <v>6641</v>
      </c>
      <c r="C1664" s="3" t="s">
        <v>6642</v>
      </c>
      <c r="D1664" s="3" t="s">
        <v>6630</v>
      </c>
      <c r="E1664" s="3"/>
      <c r="F1664" s="3" t="s">
        <v>6574</v>
      </c>
      <c r="G1664" s="3" t="s">
        <v>6174</v>
      </c>
      <c r="H1664" s="3" t="s">
        <v>6575</v>
      </c>
      <c r="I1664" s="3" t="s">
        <v>721</v>
      </c>
      <c r="J1664" s="3">
        <v>4.58</v>
      </c>
      <c r="K1664" s="3" t="s">
        <v>21</v>
      </c>
      <c r="L1664" s="3" t="s">
        <v>6643</v>
      </c>
      <c r="M1664" s="3" t="s">
        <v>6577</v>
      </c>
      <c r="N1664" s="6" t="str">
        <f>HYPERLINK("C:\Users\alexa\YandexDisk\Книги\Математика\Теория вероятностей\Теория информации и теория алгоритмов [Том 3] [1987] Колмогоров.djvu","Теория информации и теория алгоритмов [Том 3] [1987] Колмогоров.djvu")</f>
        <v>Теория информации и теория алгоритмов [Том 3] [1987] Колмогоров.djvu</v>
      </c>
      <c r="O1664" s="3" t="s">
        <v>1735</v>
      </c>
    </row>
    <row r="1665" spans="1:15" ht="220.8" x14ac:dyDescent="0.3">
      <c r="A1665" s="4">
        <v>1664</v>
      </c>
      <c r="B1665" s="5" t="s">
        <v>6644</v>
      </c>
      <c r="C1665" s="5" t="s">
        <v>6645</v>
      </c>
      <c r="D1665" s="5" t="s">
        <v>114</v>
      </c>
      <c r="E1665" s="5" t="s">
        <v>6646</v>
      </c>
      <c r="F1665" s="5" t="s">
        <v>6574</v>
      </c>
      <c r="G1665" s="5" t="s">
        <v>6174</v>
      </c>
      <c r="H1665" s="5" t="s">
        <v>6575</v>
      </c>
      <c r="I1665" s="5" t="s">
        <v>20</v>
      </c>
      <c r="J1665" s="5">
        <v>2.35</v>
      </c>
      <c r="K1665" s="5" t="s">
        <v>21</v>
      </c>
      <c r="L1665" s="5" t="s">
        <v>6647</v>
      </c>
      <c r="M1665" s="5" t="s">
        <v>6577</v>
      </c>
      <c r="N1665" s="7" t="str">
        <f>HYPERLINK("C:\Users\alexa\YandexDisk\Книги\Математика\Теория вероятностей\Теория_вероятностей,_математическая_статистика,_математическ.pdf","Теория_вероятностей,_математическая_статистика,_математическ.pdf")</f>
        <v>Теория_вероятностей,_математическая_статистика,_математическ.pdf</v>
      </c>
      <c r="O1665" s="5" t="s">
        <v>6648</v>
      </c>
    </row>
    <row r="1666" spans="1:15" ht="193.2" x14ac:dyDescent="0.3">
      <c r="A1666" s="2">
        <v>1665</v>
      </c>
      <c r="B1666" s="3" t="s">
        <v>6649</v>
      </c>
      <c r="C1666" s="3" t="s">
        <v>6650</v>
      </c>
      <c r="D1666" s="3" t="s">
        <v>17</v>
      </c>
      <c r="E1666" s="3" t="s">
        <v>402</v>
      </c>
      <c r="F1666" s="3" t="s">
        <v>6574</v>
      </c>
      <c r="G1666" s="3" t="s">
        <v>6174</v>
      </c>
      <c r="H1666" s="3" t="s">
        <v>6575</v>
      </c>
      <c r="I1666" s="3" t="s">
        <v>20</v>
      </c>
      <c r="J1666" s="3">
        <v>17.399999999999999</v>
      </c>
      <c r="K1666" s="3" t="s">
        <v>21</v>
      </c>
      <c r="L1666" s="3" t="s">
        <v>6651</v>
      </c>
      <c r="M1666" s="3" t="s">
        <v>6577</v>
      </c>
      <c r="N1666" s="6" t="str">
        <f>HYPERLINK("C:\Users\alexa\YandexDisk\Книги\Математика\Теория вероятностей\Теория_вероятностей_и_математическая_статистика_Руководство_по_решению.pdf","Теория_вероятностей_и_математическая_статистика_Руководство_по_решению.pdf")</f>
        <v>Теория_вероятностей_и_математическая_статистика_Руководство_по_решению.pdf</v>
      </c>
      <c r="O1666" s="3" t="s">
        <v>6652</v>
      </c>
    </row>
    <row r="1667" spans="1:15" ht="179.4" x14ac:dyDescent="0.3">
      <c r="A1667" s="4">
        <v>1666</v>
      </c>
      <c r="B1667" s="5" t="s">
        <v>6653</v>
      </c>
      <c r="C1667" s="5" t="s">
        <v>6654</v>
      </c>
      <c r="D1667" s="5" t="s">
        <v>71</v>
      </c>
      <c r="E1667" s="5" t="s">
        <v>4289</v>
      </c>
      <c r="F1667" s="5" t="s">
        <v>6574</v>
      </c>
      <c r="G1667" s="5" t="s">
        <v>6174</v>
      </c>
      <c r="H1667" s="5" t="s">
        <v>6575</v>
      </c>
      <c r="I1667" s="5" t="s">
        <v>20</v>
      </c>
      <c r="J1667" s="5">
        <v>21.57</v>
      </c>
      <c r="K1667" s="5" t="s">
        <v>21</v>
      </c>
      <c r="L1667" s="5" t="s">
        <v>6655</v>
      </c>
      <c r="M1667" s="5" t="s">
        <v>6577</v>
      </c>
      <c r="N1667" s="7" t="str">
        <f>HYPERLINK("C:\Users\alexa\YandexDisk\Книги\Математика\Теория вероятностей\Теория_вероятностей_и_математическая_статистика_с_элементами_дополненной.pdf","Теория_вероятностей_и_математическая_статистика_с_элементами_дополненной.pdf")</f>
        <v>Теория_вероятностей_и_математическая_статистика_с_элементами_дополненной.pdf</v>
      </c>
      <c r="O1667" s="5" t="s">
        <v>6656</v>
      </c>
    </row>
    <row r="1668" spans="1:15" ht="179.4" x14ac:dyDescent="0.3">
      <c r="A1668" s="2">
        <v>1667</v>
      </c>
      <c r="B1668" s="3" t="s">
        <v>6590</v>
      </c>
      <c r="C1668" s="3" t="s">
        <v>6657</v>
      </c>
      <c r="D1668" s="3" t="s">
        <v>17</v>
      </c>
      <c r="E1668" s="3" t="s">
        <v>148</v>
      </c>
      <c r="F1668" s="3" t="s">
        <v>6574</v>
      </c>
      <c r="G1668" s="3" t="s">
        <v>6174</v>
      </c>
      <c r="H1668" s="3" t="s">
        <v>6575</v>
      </c>
      <c r="I1668" s="3" t="s">
        <v>20</v>
      </c>
      <c r="J1668" s="3">
        <v>2.77</v>
      </c>
      <c r="K1668" s="3" t="s">
        <v>21</v>
      </c>
      <c r="L1668" s="3" t="s">
        <v>6658</v>
      </c>
      <c r="M1668" s="3" t="s">
        <v>6577</v>
      </c>
      <c r="N1668" s="6" t="str">
        <f>HYPERLINK("C:\Users\alexa\YandexDisk\Книги\Математика\Теория вероятностей\Теория_вероятностей_и_математическая_статистика_Учебное_пособие.pdf","Теория_вероятностей_и_математическая_статистика_Учебное_пособие.pdf")</f>
        <v>Теория_вероятностей_и_математическая_статистика_Учебное_пособие.pdf</v>
      </c>
      <c r="O1668" s="3" t="s">
        <v>6659</v>
      </c>
    </row>
    <row r="1669" spans="1:15" ht="165.6" x14ac:dyDescent="0.3">
      <c r="A1669" s="4">
        <v>1668</v>
      </c>
      <c r="B1669" s="5" t="s">
        <v>6660</v>
      </c>
      <c r="C1669" s="5" t="s">
        <v>6661</v>
      </c>
      <c r="D1669" s="5" t="s">
        <v>1565</v>
      </c>
      <c r="E1669" s="5" t="s">
        <v>678</v>
      </c>
      <c r="F1669" s="5" t="s">
        <v>6662</v>
      </c>
      <c r="G1669" s="5" t="s">
        <v>6174</v>
      </c>
      <c r="H1669" s="5" t="s">
        <v>6663</v>
      </c>
      <c r="I1669" s="5" t="s">
        <v>20</v>
      </c>
      <c r="J1669" s="5">
        <v>3.4</v>
      </c>
      <c r="K1669" s="5" t="s">
        <v>21</v>
      </c>
      <c r="L1669" s="5" t="s">
        <v>6664</v>
      </c>
      <c r="M1669" s="5" t="s">
        <v>6665</v>
      </c>
      <c r="N1669" s="7" t="str">
        <f>HYPERLINK("C:\Users\alexa\YandexDisk\Книги\Математика\Теория графов\Graphs, Networks and Algorithms (Dieter Jungnickel).pdf","Graphs, Networks and Algorithms (Dieter Jungnickel).pdf")</f>
        <v>Graphs, Networks and Algorithms (Dieter Jungnickel).pdf</v>
      </c>
      <c r="O1669" s="5" t="s">
        <v>6666</v>
      </c>
    </row>
    <row r="1670" spans="1:15" ht="179.4" x14ac:dyDescent="0.3">
      <c r="A1670" s="2">
        <v>1669</v>
      </c>
      <c r="B1670" s="3" t="s">
        <v>6667</v>
      </c>
      <c r="C1670" s="3" t="s">
        <v>6668</v>
      </c>
      <c r="D1670" s="3" t="s">
        <v>77</v>
      </c>
      <c r="E1670" s="3" t="s">
        <v>1431</v>
      </c>
      <c r="F1670" s="3" t="s">
        <v>6662</v>
      </c>
      <c r="G1670" s="3" t="s">
        <v>6174</v>
      </c>
      <c r="H1670" s="3" t="s">
        <v>6663</v>
      </c>
      <c r="I1670" s="3" t="s">
        <v>20</v>
      </c>
      <c r="J1670" s="3">
        <v>25.66</v>
      </c>
      <c r="K1670" s="3" t="s">
        <v>21</v>
      </c>
      <c r="L1670" s="3" t="s">
        <v>6669</v>
      </c>
      <c r="M1670" s="3" t="s">
        <v>6665</v>
      </c>
      <c r="N1670" s="6" t="str">
        <f>HYPERLINK("C:\Users\alexa\YandexDisk\Книги\Математика\Теория графов\Введение_в_теорию_графов_2019_Робин_Уилсон.pdf","Введение_в_теорию_графов_2019_Робин_Уилсон.pdf")</f>
        <v>Введение_в_теорию_графов_2019_Робин_Уилсон.pdf</v>
      </c>
      <c r="O1670" s="3" t="s">
        <v>6670</v>
      </c>
    </row>
    <row r="1671" spans="1:15" ht="138" x14ac:dyDescent="0.3">
      <c r="A1671" s="4">
        <v>1670</v>
      </c>
      <c r="B1671" s="5" t="s">
        <v>647</v>
      </c>
      <c r="C1671" s="5" t="s">
        <v>648</v>
      </c>
      <c r="D1671" s="5" t="s">
        <v>50</v>
      </c>
      <c r="E1671" s="5" t="s">
        <v>649</v>
      </c>
      <c r="F1671" s="5" t="s">
        <v>6662</v>
      </c>
      <c r="G1671" s="5" t="s">
        <v>6174</v>
      </c>
      <c r="H1671" s="5" t="s">
        <v>6663</v>
      </c>
      <c r="I1671" s="5" t="s">
        <v>20</v>
      </c>
      <c r="J1671" s="5">
        <v>17.13</v>
      </c>
      <c r="K1671" s="5" t="s">
        <v>21</v>
      </c>
      <c r="L1671" s="5" t="s">
        <v>6671</v>
      </c>
      <c r="M1671" s="5" t="s">
        <v>6665</v>
      </c>
      <c r="N1671" s="7" t="str">
        <f>HYPERLINK("C:\Users\alexa\YandexDisk\Книги\Математика\Теория графов\Графы-Алгоритмы на языке С.pdf","Графы-Алгоритмы на языке С.pdf")</f>
        <v>Графы-Алгоритмы на языке С.pdf</v>
      </c>
      <c r="O1671" s="5" t="s">
        <v>6672</v>
      </c>
    </row>
    <row r="1672" spans="1:15" ht="124.2" x14ac:dyDescent="0.3">
      <c r="A1672" s="2">
        <v>1671</v>
      </c>
      <c r="B1672" s="3" t="s">
        <v>6673</v>
      </c>
      <c r="C1672" s="3"/>
      <c r="D1672" s="3"/>
      <c r="E1672" s="3"/>
      <c r="F1672" s="3" t="s">
        <v>6662</v>
      </c>
      <c r="G1672" s="3" t="s">
        <v>6174</v>
      </c>
      <c r="H1672" s="3" t="s">
        <v>6663</v>
      </c>
      <c r="I1672" s="3" t="s">
        <v>20</v>
      </c>
      <c r="J1672" s="3">
        <v>47.81</v>
      </c>
      <c r="K1672" s="3" t="s">
        <v>21</v>
      </c>
      <c r="L1672" s="3" t="s">
        <v>6674</v>
      </c>
      <c r="M1672" s="3" t="s">
        <v>6665</v>
      </c>
      <c r="N1672" s="6" t="str">
        <f>HYPERLINK("C:\Users\alexa\YandexDisk\Книги\Математика\Теория графов\Основы теории и алгоритмы на графах.pdf","Основы теории и алгоритмы на графах.pdf")</f>
        <v>Основы теории и алгоритмы на графах.pdf</v>
      </c>
      <c r="O1672" s="3" t="s">
        <v>6675</v>
      </c>
    </row>
    <row r="1673" spans="1:15" ht="193.2" x14ac:dyDescent="0.3">
      <c r="A1673" s="4">
        <v>1672</v>
      </c>
      <c r="B1673" s="5" t="s">
        <v>6663</v>
      </c>
      <c r="C1673" s="5" t="s">
        <v>6676</v>
      </c>
      <c r="D1673" s="5"/>
      <c r="E1673" s="5"/>
      <c r="F1673" s="5" t="s">
        <v>6662</v>
      </c>
      <c r="G1673" s="5" t="s">
        <v>6174</v>
      </c>
      <c r="H1673" s="5" t="s">
        <v>6663</v>
      </c>
      <c r="I1673" s="5" t="s">
        <v>20</v>
      </c>
      <c r="J1673" s="5">
        <v>3.14</v>
      </c>
      <c r="K1673" s="5" t="s">
        <v>21</v>
      </c>
      <c r="L1673" s="5" t="s">
        <v>6677</v>
      </c>
      <c r="M1673" s="5" t="s">
        <v>6665</v>
      </c>
      <c r="N1673" s="7" t="str">
        <f>HYPERLINK("C:\Users\alexa\YandexDisk\Книги\Математика\Теория графов\Теория графов.pdf","Теория графов.pdf")</f>
        <v>Теория графов.pdf</v>
      </c>
      <c r="O1673" s="5" t="s">
        <v>6678</v>
      </c>
    </row>
    <row r="1674" spans="1:15" ht="179.4" x14ac:dyDescent="0.3">
      <c r="A1674" s="2">
        <v>1673</v>
      </c>
      <c r="B1674" s="3" t="s">
        <v>6679</v>
      </c>
      <c r="C1674" s="3" t="s">
        <v>6680</v>
      </c>
      <c r="D1674" s="3" t="s">
        <v>50</v>
      </c>
      <c r="E1674" s="3" t="s">
        <v>303</v>
      </c>
      <c r="F1674" s="3" t="s">
        <v>6681</v>
      </c>
      <c r="G1674" s="3" t="s">
        <v>6174</v>
      </c>
      <c r="H1674" s="3" t="s">
        <v>6682</v>
      </c>
      <c r="I1674" s="3" t="s">
        <v>20</v>
      </c>
      <c r="J1674" s="3">
        <v>7.41</v>
      </c>
      <c r="K1674" s="3" t="s">
        <v>21</v>
      </c>
      <c r="L1674" s="3" t="s">
        <v>6683</v>
      </c>
      <c r="M1674" s="3" t="s">
        <v>6684</v>
      </c>
      <c r="N1674" s="6" t="str">
        <f>HYPERLINK("C:\Users\alexa\YandexDisk\Книги\Математика\Теория игр\Авинаш_К_Диксит,_Сьюзан_Скит,_Дэвид_Т_Рейли_Стратегические_игры.pdf","Авинаш_К_Диксит,_Сьюзан_Скит,_Дэвид_Т_Рейли_Стратегические_игры.pdf")</f>
        <v>Авинаш_К_Диксит,_Сьюзан_Скит,_Дэвид_Т_Рейли_Стратегические_игры.pdf</v>
      </c>
      <c r="O1674" s="3" t="s">
        <v>6685</v>
      </c>
    </row>
    <row r="1675" spans="1:15" ht="193.2" x14ac:dyDescent="0.3">
      <c r="A1675" s="4">
        <v>1674</v>
      </c>
      <c r="B1675" s="5" t="s">
        <v>6686</v>
      </c>
      <c r="C1675" s="5" t="s">
        <v>6687</v>
      </c>
      <c r="D1675" s="5" t="s">
        <v>17</v>
      </c>
      <c r="E1675" s="5" t="s">
        <v>148</v>
      </c>
      <c r="F1675" s="5" t="s">
        <v>6681</v>
      </c>
      <c r="G1675" s="5" t="s">
        <v>6174</v>
      </c>
      <c r="H1675" s="5" t="s">
        <v>6682</v>
      </c>
      <c r="I1675" s="5" t="s">
        <v>20</v>
      </c>
      <c r="J1675" s="5">
        <v>3.48</v>
      </c>
      <c r="K1675" s="5" t="s">
        <v>21</v>
      </c>
      <c r="L1675" s="5" t="s">
        <v>6688</v>
      </c>
      <c r="M1675" s="5" t="s">
        <v>6684</v>
      </c>
      <c r="N1675" s="7" t="str">
        <f>HYPERLINK("C:\Users\alexa\YandexDisk\Книги\Математика\Теория игр\Математическая_теория_игр_и_приложения.pdf","Математическая_теория_игр_и_приложения.pdf")</f>
        <v>Математическая_теория_игр_и_приложения.pdf</v>
      </c>
      <c r="O1675" s="5" t="s">
        <v>6689</v>
      </c>
    </row>
    <row r="1676" spans="1:15" ht="193.2" x14ac:dyDescent="0.3">
      <c r="A1676" s="2">
        <v>1675</v>
      </c>
      <c r="B1676" s="3" t="s">
        <v>6690</v>
      </c>
      <c r="C1676" s="3" t="s">
        <v>6691</v>
      </c>
      <c r="D1676" s="3" t="s">
        <v>17</v>
      </c>
      <c r="E1676" s="3" t="s">
        <v>2519</v>
      </c>
      <c r="F1676" s="3" t="s">
        <v>6681</v>
      </c>
      <c r="G1676" s="3" t="s">
        <v>6174</v>
      </c>
      <c r="H1676" s="3" t="s">
        <v>6682</v>
      </c>
      <c r="I1676" s="3" t="s">
        <v>20</v>
      </c>
      <c r="J1676" s="3">
        <v>7.64</v>
      </c>
      <c r="K1676" s="3" t="s">
        <v>21</v>
      </c>
      <c r="L1676" s="3" t="s">
        <v>6692</v>
      </c>
      <c r="M1676" s="3" t="s">
        <v>6684</v>
      </c>
      <c r="N1676" s="6" t="str">
        <f>HYPERLINK("C:\Users\alexa\YandexDisk\Книги\Математика\Теория игр\Сетевые игры.pdf","Сетевые игры.pdf")</f>
        <v>Сетевые игры.pdf</v>
      </c>
      <c r="O1676" s="3" t="s">
        <v>6693</v>
      </c>
    </row>
    <row r="1677" spans="1:15" ht="41.4" x14ac:dyDescent="0.3">
      <c r="A1677" s="4">
        <v>1676</v>
      </c>
      <c r="B1677" s="5" t="s">
        <v>6682</v>
      </c>
      <c r="C1677" s="5"/>
      <c r="D1677" s="5"/>
      <c r="E1677" s="5"/>
      <c r="F1677" s="5" t="s">
        <v>6681</v>
      </c>
      <c r="G1677" s="5" t="s">
        <v>6174</v>
      </c>
      <c r="H1677" s="5" t="s">
        <v>6682</v>
      </c>
      <c r="I1677" s="5" t="s">
        <v>20</v>
      </c>
      <c r="J1677" s="5">
        <v>23.15</v>
      </c>
      <c r="K1677" s="5" t="s">
        <v>21</v>
      </c>
      <c r="L1677" s="5" t="s">
        <v>6694</v>
      </c>
      <c r="M1677" s="5" t="s">
        <v>6684</v>
      </c>
      <c r="N1677" s="7" t="str">
        <f>HYPERLINK("C:\Users\alexa\YandexDisk\Книги\Математика\Теория игр\Теория игр.pdf","Теория игр.pdf")</f>
        <v>Теория игр.pdf</v>
      </c>
      <c r="O1677" s="5" t="s">
        <v>6695</v>
      </c>
    </row>
    <row r="1678" spans="1:15" ht="207" x14ac:dyDescent="0.3">
      <c r="A1678" s="2">
        <v>1677</v>
      </c>
      <c r="B1678" s="3" t="s">
        <v>6364</v>
      </c>
      <c r="C1678" s="3" t="s">
        <v>6365</v>
      </c>
      <c r="D1678" s="3" t="s">
        <v>59</v>
      </c>
      <c r="E1678" s="3" t="s">
        <v>726</v>
      </c>
      <c r="F1678" s="3" t="s">
        <v>6696</v>
      </c>
      <c r="G1678" s="3" t="s">
        <v>6174</v>
      </c>
      <c r="H1678" s="3" t="s">
        <v>6697</v>
      </c>
      <c r="I1678" s="3" t="s">
        <v>20</v>
      </c>
      <c r="J1678" s="3">
        <v>1.77</v>
      </c>
      <c r="K1678" s="3" t="s">
        <v>21</v>
      </c>
      <c r="L1678" s="3" t="s">
        <v>6698</v>
      </c>
      <c r="M1678" s="3" t="s">
        <v>6699</v>
      </c>
      <c r="N1678" s="6" t="str">
        <f>HYPERLINK("C:\Users\alexa\YandexDisk\Книги\Математика\Численные методы\!!!Динамическое программирование.pdf","!!!Динамическое программирование.pdf")</f>
        <v>!!!Динамическое программирование.pdf</v>
      </c>
      <c r="O1678" s="3" t="s">
        <v>6700</v>
      </c>
    </row>
    <row r="1679" spans="1:15" ht="207" x14ac:dyDescent="0.3">
      <c r="A1679" s="4">
        <v>1678</v>
      </c>
      <c r="B1679" s="5" t="s">
        <v>6701</v>
      </c>
      <c r="C1679" s="5" t="s">
        <v>6702</v>
      </c>
      <c r="D1679" s="5"/>
      <c r="E1679" s="5"/>
      <c r="F1679" s="5" t="s">
        <v>6696</v>
      </c>
      <c r="G1679" s="5" t="s">
        <v>6174</v>
      </c>
      <c r="H1679" s="5" t="s">
        <v>6697</v>
      </c>
      <c r="I1679" s="5" t="s">
        <v>20</v>
      </c>
      <c r="J1679" s="5">
        <v>17.27</v>
      </c>
      <c r="K1679" s="5" t="s">
        <v>21</v>
      </c>
      <c r="L1679" s="5" t="s">
        <v>6703</v>
      </c>
      <c r="M1679" s="5" t="s">
        <v>6699</v>
      </c>
      <c r="N1679" s="7" t="str">
        <f>HYPERLINK("C:\Users\alexa\YandexDisk\Книги\Математика\Численные методы\Advanced_Mathematical_Techniques_in_Computational_and_Intelligen.pdf","Advanced_Mathematical_Techniques_in_Computational_and_Intelligen.pdf")</f>
        <v>Advanced_Mathematical_Techniques_in_Computational_and_Intelligen.pdf</v>
      </c>
      <c r="O1679" s="5" t="s">
        <v>6704</v>
      </c>
    </row>
    <row r="1680" spans="1:15" ht="207" x14ac:dyDescent="0.3">
      <c r="A1680" s="2">
        <v>1679</v>
      </c>
      <c r="B1680" s="3" t="s">
        <v>6705</v>
      </c>
      <c r="C1680" s="3" t="s">
        <v>6706</v>
      </c>
      <c r="D1680" s="3" t="s">
        <v>71</v>
      </c>
      <c r="E1680" s="3" t="s">
        <v>6707</v>
      </c>
      <c r="F1680" s="3" t="s">
        <v>6696</v>
      </c>
      <c r="G1680" s="3" t="s">
        <v>6174</v>
      </c>
      <c r="H1680" s="3" t="s">
        <v>6697</v>
      </c>
      <c r="I1680" s="3" t="s">
        <v>20</v>
      </c>
      <c r="J1680" s="3">
        <v>15.81</v>
      </c>
      <c r="K1680" s="3" t="s">
        <v>21</v>
      </c>
      <c r="L1680" s="3" t="s">
        <v>6708</v>
      </c>
      <c r="M1680" s="3" t="s">
        <v>6699</v>
      </c>
      <c r="N1680" s="6" t="str">
        <f>HYPERLINK("C:\Users\alexa\YandexDisk\Книги\Математика\Численные методы\Applied_Numerical_Methods_with_Python_for_Engineers_and_Scientis.pdf","Applied_Numerical_Methods_with_Python_for_Engineers_and_Scientis.pdf")</f>
        <v>Applied_Numerical_Methods_with_Python_for_Engineers_and_Scientis.pdf</v>
      </c>
      <c r="O1680" s="3" t="s">
        <v>6709</v>
      </c>
    </row>
    <row r="1681" spans="1:15" ht="165.6" x14ac:dyDescent="0.3">
      <c r="A1681" s="4">
        <v>1680</v>
      </c>
      <c r="B1681" s="5" t="s">
        <v>6710</v>
      </c>
      <c r="C1681" s="5" t="s">
        <v>6711</v>
      </c>
      <c r="D1681" s="5" t="s">
        <v>27</v>
      </c>
      <c r="E1681" s="5" t="s">
        <v>227</v>
      </c>
      <c r="F1681" s="5" t="s">
        <v>6696</v>
      </c>
      <c r="G1681" s="5" t="s">
        <v>6174</v>
      </c>
      <c r="H1681" s="5" t="s">
        <v>6697</v>
      </c>
      <c r="I1681" s="5" t="s">
        <v>20</v>
      </c>
      <c r="J1681" s="5">
        <v>42.86</v>
      </c>
      <c r="K1681" s="5" t="s">
        <v>21</v>
      </c>
      <c r="L1681" s="5" t="s">
        <v>6712</v>
      </c>
      <c r="M1681" s="5" t="s">
        <v>6699</v>
      </c>
      <c r="N1681" s="7" t="str">
        <f>HYPERLINK("C:\Users\alexa\YandexDisk\Книги\Математика\Численные методы\Numerical.Methods.Using.Kotlin.pdf","Numerical.Methods.Using.Kotlin.pdf")</f>
        <v>Numerical.Methods.Using.Kotlin.pdf</v>
      </c>
      <c r="O1681" s="5" t="s">
        <v>6713</v>
      </c>
    </row>
    <row r="1682" spans="1:15" ht="165.6" x14ac:dyDescent="0.3">
      <c r="A1682" s="2">
        <v>1681</v>
      </c>
      <c r="B1682" s="3" t="s">
        <v>6714</v>
      </c>
      <c r="C1682" s="3" t="s">
        <v>6715</v>
      </c>
      <c r="D1682" s="3" t="s">
        <v>114</v>
      </c>
      <c r="E1682" s="3" t="s">
        <v>4289</v>
      </c>
      <c r="F1682" s="3" t="s">
        <v>6696</v>
      </c>
      <c r="G1682" s="3" t="s">
        <v>6174</v>
      </c>
      <c r="H1682" s="3" t="s">
        <v>6697</v>
      </c>
      <c r="I1682" s="3" t="s">
        <v>20</v>
      </c>
      <c r="J1682" s="3">
        <v>2.87</v>
      </c>
      <c r="K1682" s="3" t="s">
        <v>21</v>
      </c>
      <c r="L1682" s="3" t="s">
        <v>6716</v>
      </c>
      <c r="M1682" s="3" t="s">
        <v>6699</v>
      </c>
      <c r="N1682" s="6" t="str">
        <f>HYPERLINK("C:\Users\alexa\YandexDisk\Книги\Математика\Численные методы\Zenkov_-_Chislennye_metody.pdf","Zenkov_-_Chislennye_metody.pdf")</f>
        <v>Zenkov_-_Chislennye_metody.pdf</v>
      </c>
      <c r="O1682" s="3" t="s">
        <v>6717</v>
      </c>
    </row>
    <row r="1683" spans="1:15" ht="138" x14ac:dyDescent="0.3">
      <c r="A1683" s="4">
        <v>1682</v>
      </c>
      <c r="B1683" s="5" t="s">
        <v>6718</v>
      </c>
      <c r="C1683" s="5"/>
      <c r="D1683" s="5"/>
      <c r="E1683" s="5"/>
      <c r="F1683" s="5" t="s">
        <v>6696</v>
      </c>
      <c r="G1683" s="5" t="s">
        <v>6174</v>
      </c>
      <c r="H1683" s="5" t="s">
        <v>6697</v>
      </c>
      <c r="I1683" s="5" t="s">
        <v>20</v>
      </c>
      <c r="J1683" s="5">
        <v>23.83</v>
      </c>
      <c r="K1683" s="5" t="s">
        <v>21</v>
      </c>
      <c r="L1683" s="5" t="s">
        <v>6719</v>
      </c>
      <c r="M1683" s="5" t="s">
        <v>6699</v>
      </c>
      <c r="N1683" s="7" t="str">
        <f>HYPERLINK("C:\Users\alexa\YandexDisk\Книги\Математика\Численные методы\Вычислительная математика для IT.pdf","Вычислительная математика для IT.pdf")</f>
        <v>Вычислительная математика для IT.pdf</v>
      </c>
      <c r="O1683" s="5" t="s">
        <v>6720</v>
      </c>
    </row>
    <row r="1684" spans="1:15" ht="138" x14ac:dyDescent="0.3">
      <c r="A1684" s="2">
        <v>1683</v>
      </c>
      <c r="B1684" s="3" t="s">
        <v>6721</v>
      </c>
      <c r="C1684" s="3" t="s">
        <v>6722</v>
      </c>
      <c r="D1684" s="3"/>
      <c r="E1684" s="3"/>
      <c r="F1684" s="3" t="s">
        <v>6696</v>
      </c>
      <c r="G1684" s="3" t="s">
        <v>6174</v>
      </c>
      <c r="H1684" s="3" t="s">
        <v>6697</v>
      </c>
      <c r="I1684" s="3" t="s">
        <v>721</v>
      </c>
      <c r="J1684" s="3">
        <v>2.91</v>
      </c>
      <c r="K1684" s="3" t="s">
        <v>21</v>
      </c>
      <c r="L1684" s="3" t="s">
        <v>6723</v>
      </c>
      <c r="M1684" s="3" t="s">
        <v>6699</v>
      </c>
      <c r="N1684" s="6" t="str">
        <f>HYPERLINK("C:\Users\alexa\YandexDisk\Книги\Математика\Численные методы\Д. Грин, Д. Кнут Математические методы анализа алгоритмов.djvu","Д. Грин, Д. Кнут Математические методы анализа алгоритмов.djvu")</f>
        <v>Д. Грин, Д. Кнут Математические методы анализа алгоритмов.djvu</v>
      </c>
      <c r="O1684" s="3" t="s">
        <v>6724</v>
      </c>
    </row>
    <row r="1685" spans="1:15" ht="207" x14ac:dyDescent="0.3">
      <c r="A1685" s="4">
        <v>1684</v>
      </c>
      <c r="B1685" s="5" t="s">
        <v>6303</v>
      </c>
      <c r="C1685" s="5" t="s">
        <v>6304</v>
      </c>
      <c r="D1685" s="5" t="s">
        <v>27</v>
      </c>
      <c r="E1685" s="5" t="s">
        <v>18</v>
      </c>
      <c r="F1685" s="5" t="s">
        <v>6696</v>
      </c>
      <c r="G1685" s="5" t="s">
        <v>6174</v>
      </c>
      <c r="H1685" s="5" t="s">
        <v>6697</v>
      </c>
      <c r="I1685" s="5" t="s">
        <v>20</v>
      </c>
      <c r="J1685" s="5">
        <v>28.38</v>
      </c>
      <c r="K1685" s="5" t="s">
        <v>21</v>
      </c>
      <c r="L1685" s="5" t="s">
        <v>6725</v>
      </c>
      <c r="M1685" s="5" t="s">
        <v>6699</v>
      </c>
      <c r="N1685" s="7" t="str">
        <f>HYPERLINK("C:\Users\alexa\YandexDisk\Книги\Математика\Численные методы\Мат. алгоритмы для программистов.pdf","Мат. алгоритмы для программистов.pdf")</f>
        <v>Мат. алгоритмы для программистов.pdf</v>
      </c>
      <c r="O1685" s="5" t="s">
        <v>6726</v>
      </c>
    </row>
    <row r="1686" spans="1:15" ht="151.80000000000001" x14ac:dyDescent="0.3">
      <c r="A1686" s="2">
        <v>1685</v>
      </c>
      <c r="B1686" s="3" t="s">
        <v>6727</v>
      </c>
      <c r="C1686" s="3" t="s">
        <v>6728</v>
      </c>
      <c r="D1686" s="3" t="s">
        <v>71</v>
      </c>
      <c r="E1686" s="3" t="s">
        <v>148</v>
      </c>
      <c r="F1686" s="3" t="s">
        <v>6696</v>
      </c>
      <c r="G1686" s="3" t="s">
        <v>6174</v>
      </c>
      <c r="H1686" s="3" t="s">
        <v>6697</v>
      </c>
      <c r="I1686" s="3" t="s">
        <v>20</v>
      </c>
      <c r="J1686" s="3">
        <v>15.57</v>
      </c>
      <c r="K1686" s="3" t="s">
        <v>21</v>
      </c>
      <c r="L1686" s="3" t="s">
        <v>6729</v>
      </c>
      <c r="M1686" s="3" t="s">
        <v>6699</v>
      </c>
      <c r="N1686" s="6" t="str">
        <f>HYPERLINK("C:\Users\alexa\YandexDisk\Книги\Математика\Численные методы\Математическое_программирование_в_примерах_и_задачах.pdf","Математическое_программирование_в_примерах_и_задачах.pdf")</f>
        <v>Математическое_программирование_в_примерах_и_задачах.pdf</v>
      </c>
      <c r="O1686" s="3" t="s">
        <v>6730</v>
      </c>
    </row>
    <row r="1687" spans="1:15" ht="207" x14ac:dyDescent="0.3">
      <c r="A1687" s="4">
        <v>1686</v>
      </c>
      <c r="B1687" s="5" t="s">
        <v>6731</v>
      </c>
      <c r="C1687" s="5" t="s">
        <v>3082</v>
      </c>
      <c r="D1687" s="5" t="s">
        <v>161</v>
      </c>
      <c r="E1687" s="5" t="s">
        <v>6732</v>
      </c>
      <c r="F1687" s="5" t="s">
        <v>3071</v>
      </c>
      <c r="G1687" s="5" t="s">
        <v>3041</v>
      </c>
      <c r="H1687" s="5" t="s">
        <v>3072</v>
      </c>
      <c r="I1687" s="5" t="s">
        <v>280</v>
      </c>
      <c r="J1687" s="5">
        <v>1.63</v>
      </c>
      <c r="K1687" s="5" t="s">
        <v>21</v>
      </c>
      <c r="L1687" s="5" t="s">
        <v>6733</v>
      </c>
      <c r="M1687" s="5" t="s">
        <v>6734</v>
      </c>
      <c r="N1687" s="7" t="str">
        <f>HYPERLINK("C:\Users\alexa\YandexDisk\Книги\Менеджмент\Adizes_I._Stili_Menedjmenta.epub","Adizes_I._Stili_Menedjmenta.epub")</f>
        <v>Adizes_I._Stili_Menedjmenta.epub</v>
      </c>
      <c r="O1687" s="5" t="s">
        <v>6735</v>
      </c>
    </row>
    <row r="1688" spans="1:15" ht="234.6" x14ac:dyDescent="0.3">
      <c r="A1688" s="2">
        <v>1687</v>
      </c>
      <c r="B1688" s="3" t="s">
        <v>6736</v>
      </c>
      <c r="C1688" s="3" t="s">
        <v>3082</v>
      </c>
      <c r="D1688" s="3"/>
      <c r="E1688" s="3"/>
      <c r="F1688" s="3" t="s">
        <v>3071</v>
      </c>
      <c r="G1688" s="3" t="s">
        <v>3041</v>
      </c>
      <c r="H1688" s="3" t="s">
        <v>3072</v>
      </c>
      <c r="I1688" s="3" t="s">
        <v>280</v>
      </c>
      <c r="J1688" s="3">
        <v>1.3</v>
      </c>
      <c r="K1688" s="3" t="s">
        <v>21</v>
      </c>
      <c r="L1688" s="3" t="s">
        <v>6737</v>
      </c>
      <c r="M1688" s="3" t="s">
        <v>6734</v>
      </c>
      <c r="N1688" s="6" t="str">
        <f>HYPERLINK("C:\Users\alexa\YandexDisk\Книги\Менеджмент\Adizes_Razvitie-liderov-Kak-ponyat-svoy-stil-upravleniya-i-effektivno-obshchatsya-s-nositelyami-inyh-stiley.358416.fb2.epub","Adizes_Razvitie-liderov-Kak-ponyat-svoy-stil-upravleniya-i-effektivno-obshchatsya-s-nositelyami-inyh-stiley.358416.fb2.epub")</f>
        <v>Adizes_Razvitie-liderov-Kak-ponyat-svoy-stil-upravleniya-i-effektivno-obshchatsya-s-nositelyami-inyh-stiley.358416.fb2.epub</v>
      </c>
      <c r="O1688" s="3" t="s">
        <v>6738</v>
      </c>
    </row>
    <row r="1689" spans="1:15" ht="220.8" x14ac:dyDescent="0.3">
      <c r="A1689" s="4">
        <v>1688</v>
      </c>
      <c r="B1689" s="5" t="s">
        <v>6736</v>
      </c>
      <c r="C1689" s="5" t="s">
        <v>6739</v>
      </c>
      <c r="D1689" s="5"/>
      <c r="E1689" s="5"/>
      <c r="F1689" s="5" t="s">
        <v>3071</v>
      </c>
      <c r="G1689" s="5" t="s">
        <v>3041</v>
      </c>
      <c r="H1689" s="5" t="s">
        <v>3072</v>
      </c>
      <c r="I1689" s="5" t="s">
        <v>6740</v>
      </c>
      <c r="J1689" s="5">
        <v>2.96</v>
      </c>
      <c r="K1689" s="5" t="s">
        <v>21</v>
      </c>
      <c r="L1689" s="5" t="s">
        <v>6741</v>
      </c>
      <c r="M1689" s="5" t="s">
        <v>6734</v>
      </c>
      <c r="N1689" s="7" t="str">
        <f>HYPERLINK("C:\Users\alexa\YandexDisk\Книги\Менеджмент\Adizes_Razvitie-liderov-Kak-ponyat-svoy-stil-upravleniya-i-effektivno-obshchatsya-s-nositelyami-inyh-stiley.358416.fb2.mobi","Adizes_Razvitie-liderov-Kak-ponyat-svoy-stil-upravleniya-i-effektivno-obshchatsya-s-nositelyami-inyh-stiley.358416.fb2.mobi")</f>
        <v>Adizes_Razvitie-liderov-Kak-ponyat-svoy-stil-upravleniya-i-effektivno-obshchatsya-s-nositelyami-inyh-stiley.358416.fb2.mobi</v>
      </c>
      <c r="O1689" s="5" t="s">
        <v>6742</v>
      </c>
    </row>
    <row r="1690" spans="1:15" ht="248.4" x14ac:dyDescent="0.3">
      <c r="A1690" s="2">
        <v>1689</v>
      </c>
      <c r="B1690" s="3" t="s">
        <v>6743</v>
      </c>
      <c r="C1690" s="3" t="s">
        <v>3082</v>
      </c>
      <c r="D1690" s="3"/>
      <c r="E1690" s="3"/>
      <c r="F1690" s="3" t="s">
        <v>3071</v>
      </c>
      <c r="G1690" s="3" t="s">
        <v>3041</v>
      </c>
      <c r="H1690" s="3" t="s">
        <v>3072</v>
      </c>
      <c r="I1690" s="3" t="s">
        <v>280</v>
      </c>
      <c r="J1690" s="3">
        <v>2.7</v>
      </c>
      <c r="K1690" s="3" t="s">
        <v>21</v>
      </c>
      <c r="L1690" s="3" t="s">
        <v>6744</v>
      </c>
      <c r="M1690" s="3" t="s">
        <v>6734</v>
      </c>
      <c r="N1690" s="6" t="str">
        <f>HYPERLINK("C:\Users\alexa\YandexDisk\Книги\Менеджмент\Adizes_Upravlenie-zhiznennym-ciklom-korporacii.220642.fb2.epub","Adizes_Upravlenie-zhiznennym-ciklom-korporacii.220642.fb2.epub")</f>
        <v>Adizes_Upravlenie-zhiznennym-ciklom-korporacii.220642.fb2.epub</v>
      </c>
      <c r="O1690" s="3" t="s">
        <v>6745</v>
      </c>
    </row>
    <row r="1691" spans="1:15" ht="179.4" x14ac:dyDescent="0.3">
      <c r="A1691" s="4">
        <v>1690</v>
      </c>
      <c r="B1691" s="5" t="s">
        <v>6746</v>
      </c>
      <c r="C1691" s="5"/>
      <c r="D1691" s="5"/>
      <c r="E1691" s="5"/>
      <c r="F1691" s="5" t="s">
        <v>3071</v>
      </c>
      <c r="G1691" s="5" t="s">
        <v>3041</v>
      </c>
      <c r="H1691" s="5" t="s">
        <v>3072</v>
      </c>
      <c r="I1691" s="5" t="s">
        <v>6740</v>
      </c>
      <c r="J1691" s="5">
        <v>6.58</v>
      </c>
      <c r="K1691" s="5" t="s">
        <v>21</v>
      </c>
      <c r="L1691" s="5" t="s">
        <v>6747</v>
      </c>
      <c r="M1691" s="5" t="s">
        <v>6734</v>
      </c>
      <c r="N1691" s="7" t="str">
        <f>HYPERLINK("C:\Users\alexa\YandexDisk\Книги\Менеджмент\Adizes_Upravlenie-zhiznennym-ciklom-korporacii.220642.fb2.mobi","Adizes_Upravlenie-zhiznennym-ciklom-korporacii.220642.fb2.mobi")</f>
        <v>Adizes_Upravlenie-zhiznennym-ciklom-korporacii.220642.fb2.mobi</v>
      </c>
      <c r="O1691" s="5" t="s">
        <v>6748</v>
      </c>
    </row>
    <row r="1692" spans="1:15" ht="193.2" x14ac:dyDescent="0.3">
      <c r="A1692" s="2">
        <v>1691</v>
      </c>
      <c r="B1692" s="3" t="s">
        <v>6749</v>
      </c>
      <c r="C1692" s="3" t="s">
        <v>6750</v>
      </c>
      <c r="D1692" s="3" t="s">
        <v>71</v>
      </c>
      <c r="E1692" s="3" t="s">
        <v>1416</v>
      </c>
      <c r="F1692" s="3" t="s">
        <v>3071</v>
      </c>
      <c r="G1692" s="3" t="s">
        <v>3041</v>
      </c>
      <c r="H1692" s="3" t="s">
        <v>3072</v>
      </c>
      <c r="I1692" s="3" t="s">
        <v>20</v>
      </c>
      <c r="J1692" s="3">
        <v>5.95</v>
      </c>
      <c r="K1692" s="3" t="s">
        <v>21</v>
      </c>
      <c r="L1692" s="3" t="s">
        <v>6751</v>
      </c>
      <c r="M1692" s="3" t="s">
        <v>6734</v>
      </c>
      <c r="N1692" s="6" t="str">
        <f>HYPERLINK("C:\Users\alexa\YandexDisk\Книги\Менеджмент\BPM CBOK 4 - a4.pdf","BPM CBOK 4 - a4.pdf")</f>
        <v>BPM CBOK 4 - a4.pdf</v>
      </c>
      <c r="O1692" s="3" t="s">
        <v>6752</v>
      </c>
    </row>
    <row r="1693" spans="1:15" ht="234.6" x14ac:dyDescent="0.3">
      <c r="A1693" s="4">
        <v>1692</v>
      </c>
      <c r="B1693" s="5" t="s">
        <v>6753</v>
      </c>
      <c r="C1693" s="5" t="s">
        <v>6754</v>
      </c>
      <c r="D1693" s="5" t="s">
        <v>114</v>
      </c>
      <c r="E1693" s="5"/>
      <c r="F1693" s="5" t="s">
        <v>3071</v>
      </c>
      <c r="G1693" s="5" t="s">
        <v>3041</v>
      </c>
      <c r="H1693" s="5" t="s">
        <v>3072</v>
      </c>
      <c r="I1693" s="5" t="s">
        <v>20</v>
      </c>
      <c r="J1693" s="5">
        <v>12.43</v>
      </c>
      <c r="K1693" s="5" t="s">
        <v>21</v>
      </c>
      <c r="L1693" s="5" t="s">
        <v>6755</v>
      </c>
      <c r="M1693" s="5" t="s">
        <v>6734</v>
      </c>
      <c r="N1693" s="7" t="str">
        <f>HYPERLINK("C:\Users\alexa\YandexDisk\Книги\Менеджмент\Champfrogs Checklist.pdf","Champfrogs Checklist.pdf")</f>
        <v>Champfrogs Checklist.pdf</v>
      </c>
      <c r="O1693" s="5" t="s">
        <v>6756</v>
      </c>
    </row>
    <row r="1694" spans="1:15" ht="193.2" x14ac:dyDescent="0.3">
      <c r="A1694" s="2">
        <v>1693</v>
      </c>
      <c r="B1694" s="3" t="s">
        <v>6757</v>
      </c>
      <c r="C1694" s="3" t="s">
        <v>6758</v>
      </c>
      <c r="D1694" s="3" t="s">
        <v>65</v>
      </c>
      <c r="E1694" s="3" t="s">
        <v>303</v>
      </c>
      <c r="F1694" s="3" t="s">
        <v>3071</v>
      </c>
      <c r="G1694" s="3" t="s">
        <v>3041</v>
      </c>
      <c r="H1694" s="3" t="s">
        <v>3072</v>
      </c>
      <c r="I1694" s="3" t="s">
        <v>20</v>
      </c>
      <c r="J1694" s="3">
        <v>0.87</v>
      </c>
      <c r="K1694" s="3" t="s">
        <v>21</v>
      </c>
      <c r="L1694" s="3" t="s">
        <v>6759</v>
      </c>
      <c r="M1694" s="3" t="s">
        <v>6734</v>
      </c>
      <c r="N1694" s="6" t="str">
        <f>HYPERLINK("C:\Users\alexa\YandexDisk\Книги\Менеджмент\Druker_P._Yeffektivnyiyi_Rukovoditel.a4.pdf","Druker_P._Yeffektivnyiyi_Rukovoditel.a4.pdf")</f>
        <v>Druker_P._Yeffektivnyiyi_Rukovoditel.a4.pdf</v>
      </c>
      <c r="O1694" s="3" t="s">
        <v>6760</v>
      </c>
    </row>
    <row r="1695" spans="1:15" ht="234.6" x14ac:dyDescent="0.3">
      <c r="A1695" s="4">
        <v>1694</v>
      </c>
      <c r="B1695" s="5" t="s">
        <v>6757</v>
      </c>
      <c r="C1695" s="5" t="s">
        <v>6758</v>
      </c>
      <c r="D1695" s="5" t="s">
        <v>6761</v>
      </c>
      <c r="E1695" s="5"/>
      <c r="F1695" s="5" t="s">
        <v>3071</v>
      </c>
      <c r="G1695" s="5" t="s">
        <v>3041</v>
      </c>
      <c r="H1695" s="5" t="s">
        <v>3072</v>
      </c>
      <c r="I1695" s="5" t="s">
        <v>280</v>
      </c>
      <c r="J1695" s="5">
        <v>1.25</v>
      </c>
      <c r="K1695" s="5" t="s">
        <v>21</v>
      </c>
      <c r="L1695" s="5" t="s">
        <v>6762</v>
      </c>
      <c r="M1695" s="5" t="s">
        <v>6734</v>
      </c>
      <c r="N1695" s="7" t="str">
        <f>HYPERLINK("C:\Users\alexa\YandexDisk\Книги\Менеджмент\Druker_P._Yeffektivnyiyi_Rukovoditel.epub","Druker_P._Yeffektivnyiyi_Rukovoditel.epub")</f>
        <v>Druker_P._Yeffektivnyiyi_Rukovoditel.epub</v>
      </c>
      <c r="O1695" s="5" t="s">
        <v>6763</v>
      </c>
    </row>
    <row r="1696" spans="1:15" ht="55.2" x14ac:dyDescent="0.3">
      <c r="A1696" s="2">
        <v>1695</v>
      </c>
      <c r="B1696" s="3" t="s">
        <v>6764</v>
      </c>
      <c r="C1696" s="3" t="s">
        <v>6765</v>
      </c>
      <c r="D1696" s="3"/>
      <c r="E1696" s="3"/>
      <c r="F1696" s="3" t="s">
        <v>3071</v>
      </c>
      <c r="G1696" s="3" t="s">
        <v>3041</v>
      </c>
      <c r="H1696" s="3" t="s">
        <v>3072</v>
      </c>
      <c r="I1696" s="3" t="s">
        <v>3154</v>
      </c>
      <c r="J1696" s="3">
        <v>0.68</v>
      </c>
      <c r="K1696" s="3" t="s">
        <v>21</v>
      </c>
      <c r="L1696" s="3" t="s">
        <v>6766</v>
      </c>
      <c r="M1696" s="3" t="s">
        <v>6734</v>
      </c>
      <c r="N1696" s="6" t="str">
        <f>HYPERLINK("C:\Users\alexa\YandexDisk\Книги\Менеджмент\Girotra_K._Optimalnaya_Biznes_Model_.rtf","Girotra_K._Optimalnaya_Biznes_Model_.rtf")</f>
        <v>Girotra_K._Optimalnaya_Biznes_Model_.rtf</v>
      </c>
      <c r="O1696" s="3" t="s">
        <v>930</v>
      </c>
    </row>
    <row r="1697" spans="1:15" ht="207" x14ac:dyDescent="0.3">
      <c r="A1697" s="4">
        <v>1696</v>
      </c>
      <c r="B1697" s="5" t="s">
        <v>6767</v>
      </c>
      <c r="C1697" s="5" t="s">
        <v>3082</v>
      </c>
      <c r="D1697" s="5" t="s">
        <v>1560</v>
      </c>
      <c r="E1697" s="5" t="s">
        <v>6768</v>
      </c>
      <c r="F1697" s="5" t="s">
        <v>3071</v>
      </c>
      <c r="G1697" s="5" t="s">
        <v>3041</v>
      </c>
      <c r="H1697" s="5" t="s">
        <v>3072</v>
      </c>
      <c r="I1697" s="5" t="s">
        <v>20</v>
      </c>
      <c r="J1697" s="5">
        <v>2.2599999999999998</v>
      </c>
      <c r="K1697" s="5" t="s">
        <v>21</v>
      </c>
      <c r="L1697" s="5" t="s">
        <v>6769</v>
      </c>
      <c r="M1697" s="5" t="s">
        <v>6734</v>
      </c>
      <c r="N1697" s="7" t="str">
        <f>HYPERLINK("C:\Users\alexa\YandexDisk\Книги\Менеджмент\Ichak Kalderon Adizes_Idealnyy rukovoditel- Pochemu im nelzya stat i chto iz etogo sleduet.pdf","Ichak Kalderon Adizes_Idealnyy rukovoditel- Pochemu im nelzya stat i chto iz etogo sleduet.pdf")</f>
        <v>Ichak Kalderon Adizes_Idealnyy rukovoditel- Pochemu im nelzya stat i chto iz etogo sleduet.pdf</v>
      </c>
      <c r="O1697" s="5" t="s">
        <v>6770</v>
      </c>
    </row>
    <row r="1698" spans="1:15" ht="220.8" x14ac:dyDescent="0.3">
      <c r="A1698" s="2">
        <v>1697</v>
      </c>
      <c r="B1698" s="3" t="s">
        <v>6771</v>
      </c>
      <c r="C1698" s="3" t="s">
        <v>3082</v>
      </c>
      <c r="D1698" s="3" t="s">
        <v>2624</v>
      </c>
      <c r="E1698" s="3" t="s">
        <v>6768</v>
      </c>
      <c r="F1698" s="3" t="s">
        <v>3071</v>
      </c>
      <c r="G1698" s="3" t="s">
        <v>3041</v>
      </c>
      <c r="H1698" s="3" t="s">
        <v>3072</v>
      </c>
      <c r="I1698" s="3" t="s">
        <v>20</v>
      </c>
      <c r="J1698" s="3">
        <v>0.43</v>
      </c>
      <c r="K1698" s="3" t="s">
        <v>21</v>
      </c>
      <c r="L1698" s="3" t="s">
        <v>6772</v>
      </c>
      <c r="M1698" s="3" t="s">
        <v>6734</v>
      </c>
      <c r="N1698" s="6" t="str">
        <f>HYPERLINK("C:\Users\alexa\YandexDisk\Книги\Менеджмент\Ichak Kalderon Adizes_Integraciya- Vyzhit i stat silnee v krizisnye vremena.pdf","Ichak Kalderon Adizes_Integraciya- Vyzhit i stat silnee v krizisnye vremena.pdf")</f>
        <v>Ichak Kalderon Adizes_Integraciya- Vyzhit i stat silnee v krizisnye vremena.pdf</v>
      </c>
      <c r="O1698" s="3" t="s">
        <v>6773</v>
      </c>
    </row>
    <row r="1699" spans="1:15" ht="207" x14ac:dyDescent="0.3">
      <c r="A1699" s="4">
        <v>1698</v>
      </c>
      <c r="B1699" s="5" t="s">
        <v>6736</v>
      </c>
      <c r="C1699" s="5" t="s">
        <v>3082</v>
      </c>
      <c r="D1699" s="5" t="s">
        <v>3158</v>
      </c>
      <c r="E1699" s="5" t="s">
        <v>6768</v>
      </c>
      <c r="F1699" s="5" t="s">
        <v>3071</v>
      </c>
      <c r="G1699" s="5" t="s">
        <v>3041</v>
      </c>
      <c r="H1699" s="5" t="s">
        <v>3072</v>
      </c>
      <c r="I1699" s="5" t="s">
        <v>20</v>
      </c>
      <c r="J1699" s="5">
        <v>1.27</v>
      </c>
      <c r="K1699" s="5" t="s">
        <v>21</v>
      </c>
      <c r="L1699" s="5" t="s">
        <v>6774</v>
      </c>
      <c r="M1699" s="5" t="s">
        <v>6734</v>
      </c>
      <c r="N1699" s="7" t="str">
        <f>HYPERLINK("C:\Users\alexa\YandexDisk\Книги\Менеджмент\Ichak Kalderon Adizes_Razvitie liderov- Kak ponyat svoy stil upravleniya i effektivno obshchatsya s nositelyami inyh stiley.pdf","Ichak Kalderon Adizes_Razvitie liderov- Kak ponyat svoy stil upravleniya i effektivno obshchatsya s nositelyami inyh stiley.pdf")</f>
        <v>Ichak Kalderon Adizes_Razvitie liderov- Kak ponyat svoy stil upravleniya i effektivno obshchatsya s nositelyami inyh stiley.pdf</v>
      </c>
      <c r="O1699" s="5" t="s">
        <v>6775</v>
      </c>
    </row>
    <row r="1700" spans="1:15" ht="317.39999999999998" x14ac:dyDescent="0.3">
      <c r="A1700" s="2">
        <v>1699</v>
      </c>
      <c r="B1700" s="3" t="s">
        <v>3086</v>
      </c>
      <c r="C1700" s="3" t="s">
        <v>3082</v>
      </c>
      <c r="D1700" s="3" t="s">
        <v>2624</v>
      </c>
      <c r="E1700" s="3" t="s">
        <v>6768</v>
      </c>
      <c r="F1700" s="3" t="s">
        <v>3071</v>
      </c>
      <c r="G1700" s="3" t="s">
        <v>3041</v>
      </c>
      <c r="H1700" s="3" t="s">
        <v>3072</v>
      </c>
      <c r="I1700" s="3" t="s">
        <v>20</v>
      </c>
      <c r="J1700" s="3">
        <v>7.85</v>
      </c>
      <c r="K1700" s="3" t="s">
        <v>21</v>
      </c>
      <c r="L1700" s="3" t="s">
        <v>6776</v>
      </c>
      <c r="M1700" s="3" t="s">
        <v>6734</v>
      </c>
      <c r="N1700" s="6" t="str">
        <f>HYPERLINK("C:\Users\alexa\YandexDisk\Книги\Менеджмент\Itshak_Kalderon_Adizes_Stili_menedzhmenta_-_effektivnyie_i_neeffektivnyie.pdf","Itshak_Kalderon_Adizes_Stili_menedzhmenta_-_effektivnyie_i_neeffektivnyie.pdf")</f>
        <v>Itshak_Kalderon_Adizes_Stili_menedzhmenta_-_effektivnyie_i_neeffektivnyie.pdf</v>
      </c>
      <c r="O1700" s="3" t="s">
        <v>6777</v>
      </c>
    </row>
    <row r="1701" spans="1:15" ht="165.6" x14ac:dyDescent="0.3">
      <c r="A1701" s="4">
        <v>1700</v>
      </c>
      <c r="B1701" s="5" t="s">
        <v>6778</v>
      </c>
      <c r="C1701" s="5" t="s">
        <v>6779</v>
      </c>
      <c r="D1701" s="5"/>
      <c r="E1701" s="5"/>
      <c r="F1701" s="5" t="s">
        <v>3071</v>
      </c>
      <c r="G1701" s="5" t="s">
        <v>3041</v>
      </c>
      <c r="H1701" s="5" t="s">
        <v>3072</v>
      </c>
      <c r="I1701" s="5" t="s">
        <v>6740</v>
      </c>
      <c r="J1701" s="5">
        <v>1.67</v>
      </c>
      <c r="K1701" s="5" t="s">
        <v>21</v>
      </c>
      <c r="L1701" s="5" t="s">
        <v>6780</v>
      </c>
      <c r="M1701" s="5" t="s">
        <v>6734</v>
      </c>
      <c r="N1701" s="7" t="str">
        <f>HYPERLINK("C:\Users\alexa\YandexDisk\Книги\Менеджмент\Karnegi_Kak-priobretat-druzey-i-okazyvat-vliyanie-na-lyudey.195738.fb2.mobi","Karnegi_Kak-priobretat-druzey-i-okazyvat-vliyanie-na-lyudey.195738.fb2.mobi")</f>
        <v>Karnegi_Kak-priobretat-druzey-i-okazyvat-vliyanie-na-lyudey.195738.fb2.mobi</v>
      </c>
      <c r="O1701" s="5" t="s">
        <v>6781</v>
      </c>
    </row>
    <row r="1702" spans="1:15" ht="151.80000000000001" x14ac:dyDescent="0.3">
      <c r="A1702" s="2">
        <v>1701</v>
      </c>
      <c r="B1702" s="3" t="s">
        <v>6782</v>
      </c>
      <c r="C1702" s="3" t="s">
        <v>6783</v>
      </c>
      <c r="D1702" s="3"/>
      <c r="E1702" s="3"/>
      <c r="F1702" s="3" t="s">
        <v>3071</v>
      </c>
      <c r="G1702" s="3" t="s">
        <v>3041</v>
      </c>
      <c r="H1702" s="3" t="s">
        <v>3072</v>
      </c>
      <c r="I1702" s="3" t="s">
        <v>6740</v>
      </c>
      <c r="J1702" s="3">
        <v>0.4</v>
      </c>
      <c r="K1702" s="3" t="s">
        <v>21</v>
      </c>
      <c r="L1702" s="3" t="s">
        <v>6784</v>
      </c>
      <c r="M1702" s="3" t="s">
        <v>6734</v>
      </c>
      <c r="N1702" s="6" t="str">
        <f>HYPERLINK("C:\Users\alexa\YandexDisk\Книги\Менеджмент\Karnegi_Shest-sposobov-raspolagat-k-sebe-lyudey.25583.fb2.mobi","Karnegi_Shest-sposobov-raspolagat-k-sebe-lyudey.25583.fb2.mobi")</f>
        <v>Karnegi_Shest-sposobov-raspolagat-k-sebe-lyudey.25583.fb2.mobi</v>
      </c>
      <c r="O1702" s="3" t="s">
        <v>6785</v>
      </c>
    </row>
    <row r="1703" spans="1:15" ht="138" x14ac:dyDescent="0.3">
      <c r="A1703" s="4">
        <v>1702</v>
      </c>
      <c r="B1703" s="5" t="s">
        <v>6786</v>
      </c>
      <c r="C1703" s="5" t="s">
        <v>6787</v>
      </c>
      <c r="D1703" s="5"/>
      <c r="E1703" s="5"/>
      <c r="F1703" s="5" t="s">
        <v>3071</v>
      </c>
      <c r="G1703" s="5" t="s">
        <v>3041</v>
      </c>
      <c r="H1703" s="5" t="s">
        <v>3072</v>
      </c>
      <c r="I1703" s="5" t="s">
        <v>6740</v>
      </c>
      <c r="J1703" s="5">
        <v>1.39</v>
      </c>
      <c r="K1703" s="5" t="s">
        <v>21</v>
      </c>
      <c r="L1703" s="5" t="s">
        <v>6788</v>
      </c>
      <c r="M1703" s="5" t="s">
        <v>6734</v>
      </c>
      <c r="N1703" s="7" t="str">
        <f>HYPERLINK("C:\Users\alexa\YandexDisk\Книги\Менеджмент\Kaufman_D._Sam_Sebe_Mba_Samoobrazova.mobi","Kaufman_D._Sam_Sebe_Mba_Samoobrazova.mobi")</f>
        <v>Kaufman_D._Sam_Sebe_Mba_Samoobrazova.mobi</v>
      </c>
      <c r="O1703" s="5" t="s">
        <v>6789</v>
      </c>
    </row>
    <row r="1704" spans="1:15" ht="207" x14ac:dyDescent="0.3">
      <c r="A1704" s="2">
        <v>1703</v>
      </c>
      <c r="B1704" s="3" t="s">
        <v>6790</v>
      </c>
      <c r="C1704" s="3" t="s">
        <v>6791</v>
      </c>
      <c r="D1704" s="3"/>
      <c r="E1704" s="3"/>
      <c r="F1704" s="3" t="s">
        <v>3071</v>
      </c>
      <c r="G1704" s="3" t="s">
        <v>3041</v>
      </c>
      <c r="H1704" s="3" t="s">
        <v>3072</v>
      </c>
      <c r="I1704" s="3" t="s">
        <v>280</v>
      </c>
      <c r="J1704" s="3">
        <v>0.4</v>
      </c>
      <c r="K1704" s="3" t="s">
        <v>21</v>
      </c>
      <c r="L1704" s="3" t="s">
        <v>6792</v>
      </c>
      <c r="M1704" s="3" t="s">
        <v>6734</v>
      </c>
      <c r="N1704" s="6" t="str">
        <f>HYPERLINK("C:\Users\alexa\YandexDisk\Книги\Менеджмент\Kovi_4-pravila-effektivnogo-lidera-v-usloviyah-neopredelennosti.199449.fb2.epub","Kovi_4-pravila-effektivnogo-lidera-v-usloviyah-neopredelennosti.199449.fb2.epub")</f>
        <v>Kovi_4-pravila-effektivnogo-lidera-v-usloviyah-neopredelennosti.199449.fb2.epub</v>
      </c>
      <c r="O1704" s="3" t="s">
        <v>6793</v>
      </c>
    </row>
    <row r="1705" spans="1:15" ht="138" x14ac:dyDescent="0.3">
      <c r="A1705" s="4">
        <v>1704</v>
      </c>
      <c r="B1705" s="5" t="s">
        <v>6790</v>
      </c>
      <c r="C1705" s="5" t="s">
        <v>6794</v>
      </c>
      <c r="D1705" s="5"/>
      <c r="E1705" s="5"/>
      <c r="F1705" s="5" t="s">
        <v>3071</v>
      </c>
      <c r="G1705" s="5" t="s">
        <v>3041</v>
      </c>
      <c r="H1705" s="5" t="s">
        <v>3072</v>
      </c>
      <c r="I1705" s="5" t="s">
        <v>6740</v>
      </c>
      <c r="J1705" s="5">
        <v>1.1299999999999999</v>
      </c>
      <c r="K1705" s="5" t="s">
        <v>21</v>
      </c>
      <c r="L1705" s="5" t="s">
        <v>6795</v>
      </c>
      <c r="M1705" s="5" t="s">
        <v>6734</v>
      </c>
      <c r="N1705" s="7" t="str">
        <f>HYPERLINK("C:\Users\alexa\YandexDisk\Книги\Менеджмент\Kovi_4-pravila-effektivnogo-lidera-v-usloviyah-neopredelennosti.199449.fb2.mobi","Kovi_4-pravila-effektivnogo-lidera-v-usloviyah-neopredelennosti.199449.fb2.mobi")</f>
        <v>Kovi_4-pravila-effektivnogo-lidera-v-usloviyah-neopredelennosti.199449.fb2.mobi</v>
      </c>
      <c r="O1705" s="5" t="s">
        <v>6796</v>
      </c>
    </row>
    <row r="1706" spans="1:15" ht="179.4" x14ac:dyDescent="0.3">
      <c r="A1706" s="2">
        <v>1705</v>
      </c>
      <c r="B1706" s="3" t="s">
        <v>6797</v>
      </c>
      <c r="C1706" s="3" t="s">
        <v>6798</v>
      </c>
      <c r="D1706" s="3"/>
      <c r="E1706" s="3"/>
      <c r="F1706" s="3" t="s">
        <v>3071</v>
      </c>
      <c r="G1706" s="3" t="s">
        <v>3041</v>
      </c>
      <c r="H1706" s="3" t="s">
        <v>3072</v>
      </c>
      <c r="I1706" s="3" t="s">
        <v>6740</v>
      </c>
      <c r="J1706" s="3">
        <v>4</v>
      </c>
      <c r="K1706" s="3" t="s">
        <v>21</v>
      </c>
      <c r="L1706" s="3" t="s">
        <v>6799</v>
      </c>
      <c r="M1706" s="3" t="s">
        <v>6734</v>
      </c>
      <c r="N1706" s="6" t="str">
        <f>HYPERLINK("C:\Users\alexa\YandexDisk\Книги\Менеджмент\Kovi_7-navykov-vysokoeffektivnyh-lyudey.273071.fb2.mobi","Kovi_7-navykov-vysokoeffektivnyh-lyudey.273071.fb2.mobi")</f>
        <v>Kovi_7-navykov-vysokoeffektivnyh-lyudey.273071.fb2.mobi</v>
      </c>
      <c r="O1706" s="3" t="s">
        <v>6800</v>
      </c>
    </row>
    <row r="1707" spans="1:15" ht="179.4" x14ac:dyDescent="0.3">
      <c r="A1707" s="4">
        <v>1706</v>
      </c>
      <c r="B1707" s="5" t="s">
        <v>6801</v>
      </c>
      <c r="C1707" s="5" t="s">
        <v>6798</v>
      </c>
      <c r="D1707" s="5"/>
      <c r="E1707" s="5"/>
      <c r="F1707" s="5" t="s">
        <v>3071</v>
      </c>
      <c r="G1707" s="5" t="s">
        <v>3041</v>
      </c>
      <c r="H1707" s="5" t="s">
        <v>3072</v>
      </c>
      <c r="I1707" s="5" t="s">
        <v>280</v>
      </c>
      <c r="J1707" s="5">
        <v>0.45</v>
      </c>
      <c r="K1707" s="5" t="s">
        <v>21</v>
      </c>
      <c r="L1707" s="5" t="s">
        <v>6802</v>
      </c>
      <c r="M1707" s="5" t="s">
        <v>6734</v>
      </c>
      <c r="N1707" s="7" t="str">
        <f>HYPERLINK("C:\Users\alexa\YandexDisk\Книги\Менеджмент\Kovi_Sem-navykov-preuspevayushchih-lyudey.165349.fb2.epub","Kovi_Sem-navykov-preuspevayushchih-lyudey.165349.fb2.epub")</f>
        <v>Kovi_Sem-navykov-preuspevayushchih-lyudey.165349.fb2.epub</v>
      </c>
      <c r="O1707" s="5" t="s">
        <v>6803</v>
      </c>
    </row>
    <row r="1708" spans="1:15" ht="193.2" x14ac:dyDescent="0.3">
      <c r="A1708" s="2">
        <v>1707</v>
      </c>
      <c r="B1708" s="3" t="s">
        <v>6797</v>
      </c>
      <c r="C1708" s="3" t="s">
        <v>6798</v>
      </c>
      <c r="D1708" s="3"/>
      <c r="E1708" s="3"/>
      <c r="F1708" s="3" t="s">
        <v>3071</v>
      </c>
      <c r="G1708" s="3" t="s">
        <v>3041</v>
      </c>
      <c r="H1708" s="3" t="s">
        <v>3072</v>
      </c>
      <c r="I1708" s="3" t="s">
        <v>6740</v>
      </c>
      <c r="J1708" s="3">
        <v>1.54</v>
      </c>
      <c r="K1708" s="3" t="s">
        <v>21</v>
      </c>
      <c r="L1708" s="3" t="s">
        <v>6804</v>
      </c>
      <c r="M1708" s="3" t="s">
        <v>6734</v>
      </c>
      <c r="N1708" s="6" t="str">
        <f>HYPERLINK("C:\Users\alexa\YandexDisk\Книги\Менеджмент\Kovi_Sem-navykov-preuspevayushchih-lyudey.165349.fb2.mobi","Kovi_Sem-navykov-preuspevayushchih-lyudey.165349.fb2.mobi")</f>
        <v>Kovi_Sem-navykov-preuspevayushchih-lyudey.165349.fb2.mobi</v>
      </c>
      <c r="O1708" s="3" t="s">
        <v>6805</v>
      </c>
    </row>
    <row r="1709" spans="1:15" ht="193.2" x14ac:dyDescent="0.3">
      <c r="A1709" s="4">
        <v>1708</v>
      </c>
      <c r="B1709" s="5" t="s">
        <v>6806</v>
      </c>
      <c r="C1709" s="5" t="s">
        <v>6807</v>
      </c>
      <c r="D1709" s="5"/>
      <c r="E1709" s="5"/>
      <c r="F1709" s="5" t="s">
        <v>3071</v>
      </c>
      <c r="G1709" s="5" t="s">
        <v>3041</v>
      </c>
      <c r="H1709" s="5" t="s">
        <v>3072</v>
      </c>
      <c r="I1709" s="5" t="s">
        <v>280</v>
      </c>
      <c r="J1709" s="5">
        <v>1.73</v>
      </c>
      <c r="K1709" s="5" t="s">
        <v>21</v>
      </c>
      <c r="L1709" s="5" t="s">
        <v>6808</v>
      </c>
      <c r="M1709" s="5" t="s">
        <v>6734</v>
      </c>
      <c r="N1709" s="7" t="str">
        <f>HYPERLINK("C:\Users\alexa\YandexDisk\Книги\Менеджмент\Kovi_Sem-navykov-vysokoeffektivnyh-lyudey-Vozvrat-k-etike-haraktera.185456.fb2.epub","Kovi_Sem-navykov-vysokoeffektivnyh-lyudey-Vozvrat-k-etike-haraktera.185456.fb2.epub")</f>
        <v>Kovi_Sem-navykov-vysokoeffektivnyh-lyudey-Vozvrat-k-etike-haraktera.185456.fb2.epub</v>
      </c>
      <c r="O1709" s="5" t="s">
        <v>6809</v>
      </c>
    </row>
    <row r="1710" spans="1:15" ht="165.6" x14ac:dyDescent="0.3">
      <c r="A1710" s="2">
        <v>1709</v>
      </c>
      <c r="B1710" s="3" t="s">
        <v>6810</v>
      </c>
      <c r="C1710" s="3" t="s">
        <v>6798</v>
      </c>
      <c r="D1710" s="3"/>
      <c r="E1710" s="3"/>
      <c r="F1710" s="3" t="s">
        <v>3071</v>
      </c>
      <c r="G1710" s="3" t="s">
        <v>3041</v>
      </c>
      <c r="H1710" s="3" t="s">
        <v>3072</v>
      </c>
      <c r="I1710" s="3" t="s">
        <v>6740</v>
      </c>
      <c r="J1710" s="3">
        <v>4.38</v>
      </c>
      <c r="K1710" s="3" t="s">
        <v>21</v>
      </c>
      <c r="L1710" s="3" t="s">
        <v>6811</v>
      </c>
      <c r="M1710" s="3" t="s">
        <v>6734</v>
      </c>
      <c r="N1710" s="6" t="str">
        <f>HYPERLINK("C:\Users\alexa\YandexDisk\Книги\Менеджмент\Kovi_Sem-navykov-vysokoeffektivnyh-lyudey-Vozvrat-k-etike-haraktera.185456.fb2.mobi","Kovi_Sem-navykov-vysokoeffektivnyh-lyudey-Vozvrat-k-etike-haraktera.185456.fb2.mobi")</f>
        <v>Kovi_Sem-navykov-vysokoeffektivnyh-lyudey-Vozvrat-k-etike-haraktera.185456.fb2.mobi</v>
      </c>
      <c r="O1710" s="3" t="s">
        <v>6812</v>
      </c>
    </row>
    <row r="1711" spans="1:15" ht="179.4" x14ac:dyDescent="0.3">
      <c r="A1711" s="4">
        <v>1710</v>
      </c>
      <c r="B1711" s="5" t="s">
        <v>6813</v>
      </c>
      <c r="C1711" s="5" t="s">
        <v>6807</v>
      </c>
      <c r="D1711" s="5"/>
      <c r="E1711" s="5"/>
      <c r="F1711" s="5" t="s">
        <v>3071</v>
      </c>
      <c r="G1711" s="5" t="s">
        <v>3041</v>
      </c>
      <c r="H1711" s="5" t="s">
        <v>3072</v>
      </c>
      <c r="I1711" s="5" t="s">
        <v>280</v>
      </c>
      <c r="J1711" s="5">
        <v>2.31</v>
      </c>
      <c r="K1711" s="5" t="s">
        <v>21</v>
      </c>
      <c r="L1711" s="5" t="s">
        <v>6814</v>
      </c>
      <c r="M1711" s="5" t="s">
        <v>6734</v>
      </c>
      <c r="N1711" s="7" t="str">
        <f>HYPERLINK("C:\Users\alexa\YandexDisk\Книги\Менеджмент\Kovi_Vosmoy-navyk-Ot-effektivnosti-k-velichiyu.187026.fb2.epub","Kovi_Vosmoy-navyk-Ot-effektivnosti-k-velichiyu.187026.fb2.epub")</f>
        <v>Kovi_Vosmoy-navyk-Ot-effektivnosti-k-velichiyu.187026.fb2.epub</v>
      </c>
      <c r="O1711" s="5" t="s">
        <v>6815</v>
      </c>
    </row>
    <row r="1712" spans="1:15" ht="207" x14ac:dyDescent="0.3">
      <c r="A1712" s="2">
        <v>1711</v>
      </c>
      <c r="B1712" s="3" t="s">
        <v>6813</v>
      </c>
      <c r="C1712" s="3" t="s">
        <v>6798</v>
      </c>
      <c r="D1712" s="3"/>
      <c r="E1712" s="3"/>
      <c r="F1712" s="3" t="s">
        <v>3072</v>
      </c>
      <c r="G1712" s="3" t="s">
        <v>3072</v>
      </c>
      <c r="H1712" s="3"/>
      <c r="I1712" s="3" t="s">
        <v>6740</v>
      </c>
      <c r="J1712" s="3">
        <v>5.53</v>
      </c>
      <c r="K1712" s="3" t="s">
        <v>21</v>
      </c>
      <c r="L1712" s="3" t="s">
        <v>6816</v>
      </c>
      <c r="M1712" s="3" t="s">
        <v>6734</v>
      </c>
      <c r="N1712" s="6" t="str">
        <f>HYPERLINK("C:\Users\alexa\YandexDisk\Книги\Менеджмент\Kovi_Vosmoy-navyk-Ot-effektivnosti-k-velichiyu.187026.fb2.mobi","Kovi_Vosmoy-navyk-Ot-effektivnosti-k-velichiyu.187026.fb2.mobi")</f>
        <v>Kovi_Vosmoy-navyk-Ot-effektivnosti-k-velichiyu.187026.fb2.mobi</v>
      </c>
      <c r="O1712" s="3" t="s">
        <v>6817</v>
      </c>
    </row>
    <row r="1713" spans="1:15" ht="207" x14ac:dyDescent="0.3">
      <c r="A1713" s="4">
        <v>1712</v>
      </c>
      <c r="B1713" s="5" t="s">
        <v>6818</v>
      </c>
      <c r="C1713" s="5" t="s">
        <v>6819</v>
      </c>
      <c r="D1713" s="5" t="s">
        <v>17</v>
      </c>
      <c r="E1713" s="5" t="s">
        <v>18</v>
      </c>
      <c r="F1713" s="5" t="s">
        <v>3071</v>
      </c>
      <c r="G1713" s="5" t="s">
        <v>3041</v>
      </c>
      <c r="H1713" s="5" t="s">
        <v>3072</v>
      </c>
      <c r="I1713" s="5" t="s">
        <v>20</v>
      </c>
      <c r="J1713" s="5">
        <v>2.17</v>
      </c>
      <c r="K1713" s="5" t="s">
        <v>21</v>
      </c>
      <c r="L1713" s="5" t="s">
        <v>6820</v>
      </c>
      <c r="M1713" s="5" t="s">
        <v>6734</v>
      </c>
      <c r="N1713" s="7" t="str">
        <f>HYPERLINK("C:\Users\alexa\YandexDisk\Книги\Менеджмент\Sevastyanov_E._Biznespsihologiya Системное управление.pdf","Sevastyanov_E._Biznespsihologiya Системное управление.pdf")</f>
        <v>Sevastyanov_E._Biznespsihologiya Системное управление.pdf</v>
      </c>
      <c r="O1713" s="5" t="s">
        <v>6821</v>
      </c>
    </row>
    <row r="1714" spans="1:15" ht="165.6" x14ac:dyDescent="0.3">
      <c r="A1714" s="2">
        <v>1713</v>
      </c>
      <c r="B1714" s="3" t="s">
        <v>6822</v>
      </c>
      <c r="C1714" s="3" t="s">
        <v>6823</v>
      </c>
      <c r="D1714" s="3" t="s">
        <v>27</v>
      </c>
      <c r="E1714" s="3" t="s">
        <v>18</v>
      </c>
      <c r="F1714" s="3" t="s">
        <v>3072</v>
      </c>
      <c r="G1714" s="3" t="s">
        <v>3072</v>
      </c>
      <c r="H1714" s="3"/>
      <c r="I1714" s="3" t="s">
        <v>20</v>
      </c>
      <c r="J1714" s="3">
        <v>7.37</v>
      </c>
      <c r="K1714" s="3" t="s">
        <v>21</v>
      </c>
      <c r="L1714" s="3" t="s">
        <v>6824</v>
      </c>
      <c r="M1714" s="3" t="s">
        <v>6734</v>
      </c>
      <c r="N1714" s="6" t="str">
        <f>HYPERLINK("C:\Users\alexa\YandexDisk\Книги\Менеджмент\Карьера_продакт_менеджера_Все_что_нужно_знать_для.pdf","Карьера_продакт_менеджера_Все_что_нужно_знать_для.pdf")</f>
        <v>Карьера_продакт_менеджера_Все_что_нужно_знать_для.pdf</v>
      </c>
      <c r="O1714" s="3" t="s">
        <v>6825</v>
      </c>
    </row>
    <row r="1715" spans="1:15" ht="207" x14ac:dyDescent="0.3">
      <c r="A1715" s="4">
        <v>1714</v>
      </c>
      <c r="B1715" s="5" t="s">
        <v>6826</v>
      </c>
      <c r="C1715" s="5" t="s">
        <v>6827</v>
      </c>
      <c r="D1715" s="5"/>
      <c r="E1715" s="5" t="s">
        <v>6828</v>
      </c>
      <c r="F1715" s="5" t="s">
        <v>3072</v>
      </c>
      <c r="G1715" s="5" t="s">
        <v>3072</v>
      </c>
      <c r="H1715" s="5"/>
      <c r="I1715" s="5" t="s">
        <v>20</v>
      </c>
      <c r="J1715" s="5">
        <v>0.74</v>
      </c>
      <c r="K1715" s="5" t="s">
        <v>21</v>
      </c>
      <c r="L1715" s="5" t="s">
        <v>6829</v>
      </c>
      <c r="M1715" s="5" t="s">
        <v>6734</v>
      </c>
      <c r="N1715" s="7" t="str">
        <f>HYPERLINK("C:\Users\alexa\YandexDisk\Книги\Менеджмент\Настольная_книга_тимлида_разработки_ПО.pdf","Настольная_книга_тимлида_разработки_ПО.pdf")</f>
        <v>Настольная_книга_тимлида_разработки_ПО.pdf</v>
      </c>
      <c r="O1715" s="5" t="s">
        <v>6830</v>
      </c>
    </row>
    <row r="1716" spans="1:15" ht="165.6" x14ac:dyDescent="0.3">
      <c r="A1716" s="2">
        <v>1715</v>
      </c>
      <c r="B1716" s="3" t="s">
        <v>6831</v>
      </c>
      <c r="C1716" s="3" t="s">
        <v>6832</v>
      </c>
      <c r="D1716" s="3" t="s">
        <v>109</v>
      </c>
      <c r="E1716" s="3" t="s">
        <v>18</v>
      </c>
      <c r="F1716" s="3" t="s">
        <v>3072</v>
      </c>
      <c r="G1716" s="3" t="s">
        <v>3072</v>
      </c>
      <c r="H1716" s="3"/>
      <c r="I1716" s="3" t="s">
        <v>20</v>
      </c>
      <c r="J1716" s="3">
        <v>6.44</v>
      </c>
      <c r="K1716" s="3" t="s">
        <v>21</v>
      </c>
      <c r="L1716" s="3" t="s">
        <v>6833</v>
      </c>
      <c r="M1716" s="3" t="s">
        <v>6734</v>
      </c>
      <c r="N1716" s="6" t="str">
        <f>HYPERLINK("C:\Users\alexa\YandexDisk\Книги\Менеджмент\Настоящий CTO.pdf","Настоящий CTO.pdf")</f>
        <v>Настоящий CTO.pdf</v>
      </c>
      <c r="O1716" s="3" t="s">
        <v>6834</v>
      </c>
    </row>
    <row r="1717" spans="1:15" ht="179.4" x14ac:dyDescent="0.3">
      <c r="A1717" s="4">
        <v>1716</v>
      </c>
      <c r="B1717" s="5" t="s">
        <v>6835</v>
      </c>
      <c r="C1717" s="5" t="s">
        <v>6836</v>
      </c>
      <c r="D1717" s="5"/>
      <c r="E1717" s="5"/>
      <c r="F1717" s="5" t="s">
        <v>6837</v>
      </c>
      <c r="G1717" s="5" t="s">
        <v>6838</v>
      </c>
      <c r="H1717" s="5" t="s">
        <v>6839</v>
      </c>
      <c r="I1717" s="5" t="s">
        <v>20</v>
      </c>
      <c r="J1717" s="5">
        <v>6.15</v>
      </c>
      <c r="K1717" s="5" t="s">
        <v>21</v>
      </c>
      <c r="L1717" s="5" t="s">
        <v>6840</v>
      </c>
      <c r="M1717" s="5" t="s">
        <v>6841</v>
      </c>
      <c r="N1717" s="7" t="str">
        <f>HYPERLINK("C:\Users\alexa\YandexDisk\Книги\Мобильная разработка\Android\Android Studio. Полезные шпаргалки.pdf","Android Studio. Полезные шпаргалки.pdf")</f>
        <v>Android Studio. Полезные шпаргалки.pdf</v>
      </c>
      <c r="O1717" s="5" t="s">
        <v>6842</v>
      </c>
    </row>
    <row r="1718" spans="1:15" ht="207" x14ac:dyDescent="0.3">
      <c r="A1718" s="2">
        <v>1717</v>
      </c>
      <c r="B1718" s="3" t="s">
        <v>6843</v>
      </c>
      <c r="C1718" s="3" t="s">
        <v>6844</v>
      </c>
      <c r="D1718" s="3"/>
      <c r="E1718" s="3"/>
      <c r="F1718" s="3" t="s">
        <v>6837</v>
      </c>
      <c r="G1718" s="3" t="s">
        <v>6838</v>
      </c>
      <c r="H1718" s="3" t="s">
        <v>6839</v>
      </c>
      <c r="I1718" s="3" t="s">
        <v>280</v>
      </c>
      <c r="J1718" s="3">
        <v>2.0499999999999998</v>
      </c>
      <c r="K1718" s="3" t="s">
        <v>21</v>
      </c>
      <c r="L1718" s="3" t="s">
        <v>6845</v>
      </c>
      <c r="M1718" s="3" t="s">
        <v>6841</v>
      </c>
      <c r="N1718" s="6" t="str">
        <f>HYPERLINK("C:\Users\alexa\YandexDisk\Книги\Мобильная разработка\Android\Android_application_development_with_Kotlin_Build_Your_First_Android.epub","Android_application_development_with_Kotlin_Build_Your_First_Android.epub")</f>
        <v>Android_application_development_with_Kotlin_Build_Your_First_Android.epub</v>
      </c>
      <c r="O1718" s="3" t="s">
        <v>6846</v>
      </c>
    </row>
    <row r="1719" spans="1:15" ht="193.2" x14ac:dyDescent="0.3">
      <c r="A1719" s="4">
        <v>1718</v>
      </c>
      <c r="B1719" s="5" t="s">
        <v>6847</v>
      </c>
      <c r="C1719" s="5" t="s">
        <v>6848</v>
      </c>
      <c r="D1719" s="5" t="s">
        <v>50</v>
      </c>
      <c r="E1719" s="5" t="s">
        <v>18</v>
      </c>
      <c r="F1719" s="5" t="s">
        <v>6837</v>
      </c>
      <c r="G1719" s="5" t="s">
        <v>6838</v>
      </c>
      <c r="H1719" s="5" t="s">
        <v>6839</v>
      </c>
      <c r="I1719" s="5" t="s">
        <v>20</v>
      </c>
      <c r="J1719" s="5">
        <v>17.86</v>
      </c>
      <c r="K1719" s="5" t="s">
        <v>21</v>
      </c>
      <c r="L1719" s="5" t="s">
        <v>6849</v>
      </c>
      <c r="M1719" s="5" t="s">
        <v>6841</v>
      </c>
      <c r="N1719" s="7" t="str">
        <f>HYPERLINK("C:\Users\alexa\YandexDisk\Книги\Мобильная разработка\Android\Android_Programmirovanie_dlya_professionalov_3_izdanie_2017.pdf","Android_Programmirovanie_dlya_professionalov_3_izdanie_2017.pdf")</f>
        <v>Android_Programmirovanie_dlya_professionalov_3_izdanie_2017.pdf</v>
      </c>
      <c r="O1719" s="5" t="s">
        <v>6850</v>
      </c>
    </row>
    <row r="1720" spans="1:15" ht="138" x14ac:dyDescent="0.3">
      <c r="A1720" s="2">
        <v>1719</v>
      </c>
      <c r="B1720" s="3" t="s">
        <v>6851</v>
      </c>
      <c r="C1720" s="3" t="s">
        <v>6852</v>
      </c>
      <c r="D1720" s="3" t="s">
        <v>17</v>
      </c>
      <c r="E1720" s="3" t="s">
        <v>18</v>
      </c>
      <c r="F1720" s="3" t="s">
        <v>6837</v>
      </c>
      <c r="G1720" s="3" t="s">
        <v>6838</v>
      </c>
      <c r="H1720" s="3" t="s">
        <v>6839</v>
      </c>
      <c r="I1720" s="3" t="s">
        <v>20</v>
      </c>
      <c r="J1720" s="3">
        <v>13.62</v>
      </c>
      <c r="K1720" s="3" t="s">
        <v>21</v>
      </c>
      <c r="L1720" s="3" t="s">
        <v>6853</v>
      </c>
      <c r="M1720" s="3" t="s">
        <v>6841</v>
      </c>
      <c r="N1720" s="6" t="str">
        <f>HYPERLINK("C:\Users\alexa\YandexDisk\Книги\Мобильная разработка\Android\Android_Программирование_для_профессионалов_4_е_издание_.pdf","Android_Программирование_для_профессионалов_4_е_издание_.pdf")</f>
        <v>Android_Программирование_для_профессионалов_4_е_издание_.pdf</v>
      </c>
      <c r="O1720" s="3" t="s">
        <v>6854</v>
      </c>
    </row>
    <row r="1721" spans="1:15" ht="165.6" x14ac:dyDescent="0.3">
      <c r="A1721" s="4">
        <v>1720</v>
      </c>
      <c r="B1721" s="5" t="s">
        <v>6855</v>
      </c>
      <c r="C1721" s="5" t="s">
        <v>6856</v>
      </c>
      <c r="D1721" s="5"/>
      <c r="E1721" s="5"/>
      <c r="F1721" s="5" t="s">
        <v>6837</v>
      </c>
      <c r="G1721" s="5" t="s">
        <v>6838</v>
      </c>
      <c r="H1721" s="5" t="s">
        <v>6839</v>
      </c>
      <c r="I1721" s="5" t="s">
        <v>20</v>
      </c>
      <c r="J1721" s="5">
        <v>118.56</v>
      </c>
      <c r="K1721" s="5" t="s">
        <v>21</v>
      </c>
      <c r="L1721" s="5" t="s">
        <v>6857</v>
      </c>
      <c r="M1721" s="5" t="s">
        <v>6841</v>
      </c>
      <c r="N1721" s="7" t="str">
        <f>HYPERLINK("C:\Users\alexa\YandexDisk\Книги\Мобильная разработка\Android\Gardner_L_Grigsbi_D_Razrabotka_veb-saytov_dlya_mobilnykh_ustroystv.pdf","Gardner_L_Grigsbi_D_Razrabotka_veb-saytov_dlya_mobilnykh_ustroystv.pdf")</f>
        <v>Gardner_L_Grigsbi_D_Razrabotka_veb-saytov_dlya_mobilnykh_ustroystv.pdf</v>
      </c>
      <c r="O1721" s="5" t="s">
        <v>6858</v>
      </c>
    </row>
    <row r="1722" spans="1:15" ht="165.6" x14ac:dyDescent="0.3">
      <c r="A1722" s="2">
        <v>1721</v>
      </c>
      <c r="B1722" s="3" t="s">
        <v>6859</v>
      </c>
      <c r="C1722" s="3" t="s">
        <v>6860</v>
      </c>
      <c r="D1722" s="3" t="s">
        <v>32</v>
      </c>
      <c r="E1722" s="3" t="s">
        <v>18</v>
      </c>
      <c r="F1722" s="3" t="s">
        <v>6837</v>
      </c>
      <c r="G1722" s="3" t="s">
        <v>6838</v>
      </c>
      <c r="H1722" s="3" t="s">
        <v>6839</v>
      </c>
      <c r="I1722" s="3" t="s">
        <v>20</v>
      </c>
      <c r="J1722" s="3">
        <v>28.19</v>
      </c>
      <c r="K1722" s="3" t="s">
        <v>21</v>
      </c>
      <c r="L1722" s="3" t="s">
        <v>6861</v>
      </c>
      <c r="M1722" s="3" t="s">
        <v>6841</v>
      </c>
      <c r="N1722" s="6" t="str">
        <f>HYPERLINK("C:\Users\alexa\YandexDisk\Книги\Мобильная разработка\Android\Griffits_Devid_Griffits_Don_Head_First_Programmirovanie_dlya_Android.pdf","Griffits_Devid_Griffits_Don_Head_First_Programmirovanie_dlya_Android.pdf")</f>
        <v>Griffits_Devid_Griffits_Don_Head_First_Programmirovanie_dlya_Android.pdf</v>
      </c>
      <c r="O1722" s="3" t="s">
        <v>6862</v>
      </c>
    </row>
    <row r="1723" spans="1:15" ht="165.6" x14ac:dyDescent="0.3">
      <c r="A1723" s="4">
        <v>1722</v>
      </c>
      <c r="B1723" s="5" t="s">
        <v>6863</v>
      </c>
      <c r="C1723" s="5" t="s">
        <v>6864</v>
      </c>
      <c r="D1723" s="5" t="s">
        <v>71</v>
      </c>
      <c r="E1723" s="5" t="s">
        <v>6865</v>
      </c>
      <c r="F1723" s="5" t="s">
        <v>6837</v>
      </c>
      <c r="G1723" s="5" t="s">
        <v>6838</v>
      </c>
      <c r="H1723" s="5" t="s">
        <v>6839</v>
      </c>
      <c r="I1723" s="5" t="s">
        <v>20</v>
      </c>
      <c r="J1723" s="5">
        <v>42.9</v>
      </c>
      <c r="K1723" s="5" t="s">
        <v>21</v>
      </c>
      <c r="L1723" s="5" t="s">
        <v>6866</v>
      </c>
      <c r="M1723" s="5" t="s">
        <v>6841</v>
      </c>
      <c r="N1723" s="7" t="str">
        <f>HYPERLINK("C:\Users\alexa\YandexDisk\Книги\Мобильная разработка\Android\Head First Android Development Kotlin 2022.pdf","Head First Android Development Kotlin 2022.pdf")</f>
        <v>Head First Android Development Kotlin 2022.pdf</v>
      </c>
      <c r="O1723" s="5" t="s">
        <v>6867</v>
      </c>
    </row>
    <row r="1724" spans="1:15" ht="179.4" x14ac:dyDescent="0.3">
      <c r="A1724" s="2">
        <v>1723</v>
      </c>
      <c r="B1724" s="3" t="s">
        <v>6868</v>
      </c>
      <c r="C1724" s="3" t="s">
        <v>6869</v>
      </c>
      <c r="D1724" s="3"/>
      <c r="E1724" s="3"/>
      <c r="F1724" s="3" t="s">
        <v>6837</v>
      </c>
      <c r="G1724" s="3" t="s">
        <v>6838</v>
      </c>
      <c r="H1724" s="3" t="s">
        <v>6839</v>
      </c>
      <c r="I1724" s="3" t="s">
        <v>20</v>
      </c>
      <c r="J1724" s="3">
        <v>28.11</v>
      </c>
      <c r="K1724" s="3" t="s">
        <v>21</v>
      </c>
      <c r="L1724" s="3" t="s">
        <v>6870</v>
      </c>
      <c r="M1724" s="3" t="s">
        <v>6841</v>
      </c>
      <c r="N1724" s="6" t="str">
        <f>HYPERLINK("C:\Users\alexa\YandexDisk\Книги\Мобильная разработка\Android\Head First. Программирование для Android на Kotlin.pdf","Head First. Программирование для Android на Kotlin.pdf")</f>
        <v>Head First. Программирование для Android на Kotlin.pdf</v>
      </c>
      <c r="O1724" s="3" t="s">
        <v>6871</v>
      </c>
    </row>
    <row r="1725" spans="1:15" ht="138" x14ac:dyDescent="0.3">
      <c r="A1725" s="4">
        <v>1724</v>
      </c>
      <c r="B1725" s="5" t="s">
        <v>6872</v>
      </c>
      <c r="C1725" s="5" t="s">
        <v>6860</v>
      </c>
      <c r="D1725" s="5" t="s">
        <v>32</v>
      </c>
      <c r="E1725" s="5" t="s">
        <v>18</v>
      </c>
      <c r="F1725" s="5" t="s">
        <v>6837</v>
      </c>
      <c r="G1725" s="5" t="s">
        <v>6838</v>
      </c>
      <c r="H1725" s="5" t="s">
        <v>6839</v>
      </c>
      <c r="I1725" s="5" t="s">
        <v>20</v>
      </c>
      <c r="J1725" s="5">
        <v>28.19</v>
      </c>
      <c r="K1725" s="5" t="s">
        <v>21</v>
      </c>
      <c r="L1725" s="5" t="s">
        <v>6873</v>
      </c>
      <c r="M1725" s="5" t="s">
        <v>6841</v>
      </c>
      <c r="N1725" s="7" t="str">
        <f>HYPERLINK("C:\Users\alexa\YandexDisk\Книги\Мобильная разработка\Android\Head First. Программирование для Android.pdf","Head First. Программирование для Android.pdf")</f>
        <v>Head First. Программирование для Android.pdf</v>
      </c>
      <c r="O1725" s="5" t="s">
        <v>6874</v>
      </c>
    </row>
    <row r="1726" spans="1:15" ht="207" x14ac:dyDescent="0.3">
      <c r="A1726" s="2">
        <v>1725</v>
      </c>
      <c r="B1726" s="3" t="s">
        <v>6875</v>
      </c>
      <c r="C1726" s="3" t="s">
        <v>6876</v>
      </c>
      <c r="D1726" s="3" t="s">
        <v>476</v>
      </c>
      <c r="E1726" s="3" t="s">
        <v>402</v>
      </c>
      <c r="F1726" s="3" t="s">
        <v>6837</v>
      </c>
      <c r="G1726" s="3" t="s">
        <v>6838</v>
      </c>
      <c r="H1726" s="3" t="s">
        <v>6839</v>
      </c>
      <c r="I1726" s="3" t="s">
        <v>20</v>
      </c>
      <c r="J1726" s="3">
        <v>51.48</v>
      </c>
      <c r="K1726" s="3" t="s">
        <v>21</v>
      </c>
      <c r="L1726" s="3" t="s">
        <v>6877</v>
      </c>
      <c r="M1726" s="3" t="s">
        <v>6841</v>
      </c>
      <c r="N1726" s="6" t="str">
        <f>HYPERLINK("C:\Users\alexa\YandexDisk\Книги\Мобильная разработка\Android\jQuery_Mobile_Разработка_приложений_для_смартфонов_и_планшетов.pdf","jQuery_Mobile_Разработка_приложений_для_смартфонов_и_планшетов.pdf")</f>
        <v>jQuery_Mobile_Разработка_приложений_для_смартфонов_и_планшетов.pdf</v>
      </c>
      <c r="O1726" s="3" t="s">
        <v>6878</v>
      </c>
    </row>
    <row r="1727" spans="1:15" ht="165.6" x14ac:dyDescent="0.3">
      <c r="A1727" s="4">
        <v>1726</v>
      </c>
      <c r="B1727" s="5" t="s">
        <v>6879</v>
      </c>
      <c r="C1727" s="5" t="s">
        <v>6880</v>
      </c>
      <c r="D1727" s="5"/>
      <c r="E1727" s="5" t="s">
        <v>5585</v>
      </c>
      <c r="F1727" s="5" t="s">
        <v>6837</v>
      </c>
      <c r="G1727" s="5" t="s">
        <v>6838</v>
      </c>
      <c r="H1727" s="5" t="s">
        <v>6839</v>
      </c>
      <c r="I1727" s="5" t="s">
        <v>20</v>
      </c>
      <c r="J1727" s="5">
        <v>4.67</v>
      </c>
      <c r="K1727" s="5" t="s">
        <v>21</v>
      </c>
      <c r="L1727" s="5" t="s">
        <v>6881</v>
      </c>
      <c r="M1727" s="5" t="s">
        <v>6841</v>
      </c>
      <c r="N1727" s="7" t="str">
        <f>HYPERLINK("C:\Users\alexa\YandexDisk\Книги\Мобильная разработка\Android\Kotlin.for.Android.App.Development.pdf","Kotlin.for.Android.App.Development.pdf")</f>
        <v>Kotlin.for.Android.App.Development.pdf</v>
      </c>
      <c r="O1727" s="5" t="s">
        <v>6882</v>
      </c>
    </row>
    <row r="1728" spans="1:15" ht="151.80000000000001" x14ac:dyDescent="0.3">
      <c r="A1728" s="2">
        <v>1727</v>
      </c>
      <c r="B1728" s="3" t="s">
        <v>6883</v>
      </c>
      <c r="C1728" s="3" t="s">
        <v>6884</v>
      </c>
      <c r="D1728" s="3"/>
      <c r="E1728" s="3"/>
      <c r="F1728" s="3" t="s">
        <v>6837</v>
      </c>
      <c r="G1728" s="3" t="s">
        <v>6838</v>
      </c>
      <c r="H1728" s="3" t="s">
        <v>6839</v>
      </c>
      <c r="I1728" s="3" t="s">
        <v>20</v>
      </c>
      <c r="J1728" s="3">
        <v>63.59</v>
      </c>
      <c r="K1728" s="3" t="s">
        <v>21</v>
      </c>
      <c r="L1728" s="3" t="s">
        <v>6885</v>
      </c>
      <c r="M1728" s="3" t="s">
        <v>6841</v>
      </c>
      <c r="N1728" s="6" t="str">
        <f>HYPERLINK("C:\Users\alexa\YandexDisk\Книги\Мобильная разработка\Android\Mobile Applications Development_with Python_2Ed.pdf","Mobile Applications Development_with Python_2Ed.pdf")</f>
        <v>Mobile Applications Development_with Python_2Ed.pdf</v>
      </c>
      <c r="O1728" s="3" t="s">
        <v>6886</v>
      </c>
    </row>
    <row r="1729" spans="1:15" ht="179.4" x14ac:dyDescent="0.3">
      <c r="A1729" s="4">
        <v>1728</v>
      </c>
      <c r="B1729" s="5" t="s">
        <v>6887</v>
      </c>
      <c r="C1729" s="5" t="s">
        <v>6888</v>
      </c>
      <c r="D1729" s="5" t="s">
        <v>476</v>
      </c>
      <c r="E1729" s="5" t="s">
        <v>18</v>
      </c>
      <c r="F1729" s="5" t="s">
        <v>6837</v>
      </c>
      <c r="G1729" s="5" t="s">
        <v>6838</v>
      </c>
      <c r="H1729" s="5" t="s">
        <v>6839</v>
      </c>
      <c r="I1729" s="5" t="s">
        <v>20</v>
      </c>
      <c r="J1729" s="5">
        <v>81.56</v>
      </c>
      <c r="K1729" s="5" t="s">
        <v>21</v>
      </c>
      <c r="L1729" s="5" t="s">
        <v>6889</v>
      </c>
      <c r="M1729" s="5" t="s">
        <v>6841</v>
      </c>
      <c r="N1729" s="7" t="str">
        <f>HYPERLINK("C:\Users\alexa\YandexDisk\Книги\Мобильная разработка\Android\mobilnaya-razrabotka-galereya-shablonov.pdf","mobilnaya-razrabotka-galereya-shablonov.pdf")</f>
        <v>mobilnaya-razrabotka-galereya-shablonov.pdf</v>
      </c>
      <c r="O1729" s="5" t="s">
        <v>6890</v>
      </c>
    </row>
    <row r="1730" spans="1:15" ht="193.2" x14ac:dyDescent="0.3">
      <c r="A1730" s="2">
        <v>1729</v>
      </c>
      <c r="B1730" s="3" t="s">
        <v>6891</v>
      </c>
      <c r="C1730" s="3" t="s">
        <v>6892</v>
      </c>
      <c r="D1730" s="3" t="s">
        <v>59</v>
      </c>
      <c r="E1730" s="3" t="s">
        <v>102</v>
      </c>
      <c r="F1730" s="3" t="s">
        <v>6837</v>
      </c>
      <c r="G1730" s="3" t="s">
        <v>6838</v>
      </c>
      <c r="H1730" s="3" t="s">
        <v>6839</v>
      </c>
      <c r="I1730" s="3" t="s">
        <v>20</v>
      </c>
      <c r="J1730" s="3">
        <v>3.73</v>
      </c>
      <c r="K1730" s="3" t="s">
        <v>21</v>
      </c>
      <c r="L1730" s="3" t="s">
        <v>6893</v>
      </c>
      <c r="M1730" s="3" t="s">
        <v>6841</v>
      </c>
      <c r="N1730" s="6" t="str">
        <f>HYPERLINK("C:\Users\alexa\YandexDisk\Книги\Мобильная разработка\Android\Нативная_разработка_мобильных_приложений.pdf","Нативная_разработка_мобильных_приложений.pdf")</f>
        <v>Нативная_разработка_мобильных_приложений.pdf</v>
      </c>
      <c r="O1730" s="3" t="s">
        <v>6894</v>
      </c>
    </row>
    <row r="1731" spans="1:15" ht="138" x14ac:dyDescent="0.3">
      <c r="A1731" s="4">
        <v>1730</v>
      </c>
      <c r="B1731" s="5" t="s">
        <v>6895</v>
      </c>
      <c r="C1731" s="5" t="s">
        <v>6896</v>
      </c>
      <c r="D1731" s="5" t="s">
        <v>109</v>
      </c>
      <c r="E1731" s="5" t="s">
        <v>402</v>
      </c>
      <c r="F1731" s="5" t="s">
        <v>6837</v>
      </c>
      <c r="G1731" s="5" t="s">
        <v>6838</v>
      </c>
      <c r="H1731" s="5" t="s">
        <v>6839</v>
      </c>
      <c r="I1731" s="5" t="s">
        <v>20</v>
      </c>
      <c r="J1731" s="5">
        <v>23.99</v>
      </c>
      <c r="K1731" s="5" t="s">
        <v>21</v>
      </c>
      <c r="L1731" s="5" t="s">
        <v>6897</v>
      </c>
      <c r="M1731" s="5" t="s">
        <v>6841</v>
      </c>
      <c r="N1731" s="7" t="str">
        <f>HYPERLINK("C:\Users\alexa\YandexDisk\Книги\Мобильная разработка\Android\Программирование на Kotlin для Android.pdf","Программирование на Kotlin для Android.pdf")</f>
        <v>Программирование на Kotlin для Android.pdf</v>
      </c>
      <c r="O1731" s="5" t="s">
        <v>6898</v>
      </c>
    </row>
    <row r="1732" spans="1:15" ht="151.80000000000001" x14ac:dyDescent="0.3">
      <c r="A1732" s="2">
        <v>1731</v>
      </c>
      <c r="B1732" s="3" t="s">
        <v>6899</v>
      </c>
      <c r="C1732" s="3" t="s">
        <v>6900</v>
      </c>
      <c r="D1732" s="3" t="s">
        <v>77</v>
      </c>
      <c r="E1732" s="3" t="s">
        <v>726</v>
      </c>
      <c r="F1732" s="3" t="s">
        <v>6837</v>
      </c>
      <c r="G1732" s="3" t="s">
        <v>6838</v>
      </c>
      <c r="H1732" s="3" t="s">
        <v>6839</v>
      </c>
      <c r="I1732" s="3" t="s">
        <v>20</v>
      </c>
      <c r="J1732" s="3">
        <v>14.76</v>
      </c>
      <c r="K1732" s="3" t="s">
        <v>21</v>
      </c>
      <c r="L1732" s="3" t="s">
        <v>6901</v>
      </c>
      <c r="M1732" s="3" t="s">
        <v>6841</v>
      </c>
      <c r="N1732" s="6" t="str">
        <f>HYPERLINK("C:\Users\alexa\YandexDisk\Книги\Мобильная разработка\Android\Разработка_мобильных_приложений_Первые_шаги_tlgm_it_boooks.pdf","Разработка_мобильных_приложений_Первые_шаги_tlgm_it_boooks.pdf")</f>
        <v>Разработка_мобильных_приложений_Первые_шаги_tlgm_it_boooks.pdf</v>
      </c>
      <c r="O1732" s="3" t="s">
        <v>6902</v>
      </c>
    </row>
    <row r="1733" spans="1:15" ht="179.4" x14ac:dyDescent="0.3">
      <c r="A1733" s="4">
        <v>1732</v>
      </c>
      <c r="B1733" s="5" t="s">
        <v>6903</v>
      </c>
      <c r="C1733" s="5" t="s">
        <v>6904</v>
      </c>
      <c r="D1733" s="5" t="s">
        <v>77</v>
      </c>
      <c r="E1733" s="5" t="s">
        <v>102</v>
      </c>
      <c r="F1733" s="5" t="s">
        <v>6837</v>
      </c>
      <c r="G1733" s="5" t="s">
        <v>6838</v>
      </c>
      <c r="H1733" s="5" t="s">
        <v>6839</v>
      </c>
      <c r="I1733" s="5" t="s">
        <v>20</v>
      </c>
      <c r="J1733" s="5">
        <v>20.55</v>
      </c>
      <c r="K1733" s="5" t="s">
        <v>21</v>
      </c>
      <c r="L1733" s="5" t="s">
        <v>6905</v>
      </c>
      <c r="M1733" s="5" t="s">
        <v>6841</v>
      </c>
      <c r="N1733" s="7" t="str">
        <f>HYPERLINK("C:\Users\alexa\YandexDisk\Книги\Мобильная разработка\Android\Умные мобильные проекты с Tensorflow 2019.pdf","Умные мобильные проекты с Tensorflow 2019.pdf")</f>
        <v>Умные мобильные проекты с Tensorflow 2019.pdf</v>
      </c>
      <c r="O1733" s="5" t="s">
        <v>6906</v>
      </c>
    </row>
    <row r="1734" spans="1:15" ht="193.2" x14ac:dyDescent="0.3">
      <c r="A1734" s="2">
        <v>1733</v>
      </c>
      <c r="B1734" s="3" t="s">
        <v>6907</v>
      </c>
      <c r="C1734" s="3" t="s">
        <v>6908</v>
      </c>
      <c r="D1734" s="3" t="s">
        <v>476</v>
      </c>
      <c r="E1734" s="3" t="s">
        <v>18</v>
      </c>
      <c r="F1734" s="3" t="s">
        <v>6837</v>
      </c>
      <c r="G1734" s="3" t="s">
        <v>6838</v>
      </c>
      <c r="H1734" s="3" t="s">
        <v>6839</v>
      </c>
      <c r="I1734" s="3" t="s">
        <v>20</v>
      </c>
      <c r="J1734" s="3">
        <v>8.9700000000000006</v>
      </c>
      <c r="K1734" s="3" t="s">
        <v>21</v>
      </c>
      <c r="L1734" s="3" t="s">
        <v>6909</v>
      </c>
      <c r="M1734" s="3" t="s">
        <v>6841</v>
      </c>
      <c r="N1734" s="6" t="str">
        <f>HYPERLINK("C:\Users\alexa\YandexDisk\Книги\Мобильная разработка\Android\Цехнер Programmirovanie_igr_pod_Android 2013.pdf","Цехнер Programmirovanie_igr_pod_Android 2013.pdf")</f>
        <v>Цехнер Programmirovanie_igr_pod_Android 2013.pdf</v>
      </c>
      <c r="O1734" s="3" t="s">
        <v>6910</v>
      </c>
    </row>
    <row r="1735" spans="1:15" ht="151.80000000000001" x14ac:dyDescent="0.3">
      <c r="A1735" s="4">
        <v>1734</v>
      </c>
      <c r="B1735" s="5" t="s">
        <v>6911</v>
      </c>
      <c r="C1735" s="5" t="s">
        <v>6912</v>
      </c>
      <c r="D1735" s="5"/>
      <c r="E1735" s="5"/>
      <c r="F1735" s="5" t="s">
        <v>6837</v>
      </c>
      <c r="G1735" s="5" t="s">
        <v>6838</v>
      </c>
      <c r="H1735" s="5" t="s">
        <v>6839</v>
      </c>
      <c r="I1735" s="5" t="s">
        <v>20</v>
      </c>
      <c r="J1735" s="5">
        <v>167.56</v>
      </c>
      <c r="K1735" s="5" t="s">
        <v>21</v>
      </c>
      <c r="L1735" s="5" t="s">
        <v>6913</v>
      </c>
      <c r="M1735" s="5" t="s">
        <v>6841</v>
      </c>
      <c r="N1735" s="7" t="str">
        <f>HYPERLINK("C:\Users\alexa\YandexDisk\Книги\Мобильная разработка\Android\Ян_Клифтон_Проектирование_пользовательского_интерфейса_в_Android.pdf","Ян_Клифтон_Проектирование_пользовательского_интерфейса_в_Android.pdf")</f>
        <v>Ян_Клифтон_Проектирование_пользовательского_интерфейса_в_Android.pdf</v>
      </c>
      <c r="O1735" s="5" t="s">
        <v>6914</v>
      </c>
    </row>
    <row r="1736" spans="1:15" ht="165.6" x14ac:dyDescent="0.3">
      <c r="A1736" s="2">
        <v>1735</v>
      </c>
      <c r="B1736" s="3" t="s">
        <v>6915</v>
      </c>
      <c r="C1736" s="3"/>
      <c r="D1736" s="3"/>
      <c r="E1736" s="3" t="s">
        <v>102</v>
      </c>
      <c r="F1736" s="3" t="s">
        <v>6916</v>
      </c>
      <c r="G1736" s="3" t="s">
        <v>6838</v>
      </c>
      <c r="H1736" s="3" t="s">
        <v>6917</v>
      </c>
      <c r="I1736" s="3" t="s">
        <v>20</v>
      </c>
      <c r="J1736" s="3">
        <v>5.9</v>
      </c>
      <c r="K1736" s="3" t="s">
        <v>21</v>
      </c>
      <c r="L1736" s="3" t="s">
        <v>6918</v>
      </c>
      <c r="M1736" s="3" t="s">
        <v>6919</v>
      </c>
      <c r="N1736" s="6" t="str">
        <f>HYPERLINK("C:\Users\alexa\YandexDisk\Книги\Мобильная разработка\Flutter\Flutter на практике.pdf","Flutter на практике.pdf")</f>
        <v>Flutter на практике.pdf</v>
      </c>
      <c r="O1736" s="3" t="s">
        <v>6920</v>
      </c>
    </row>
    <row r="1737" spans="1:15" ht="207" x14ac:dyDescent="0.3">
      <c r="A1737" s="4">
        <v>1736</v>
      </c>
      <c r="B1737" s="5" t="s">
        <v>6921</v>
      </c>
      <c r="C1737" s="5" t="s">
        <v>6922</v>
      </c>
      <c r="D1737" s="5" t="s">
        <v>476</v>
      </c>
      <c r="E1737" s="5" t="s">
        <v>102</v>
      </c>
      <c r="F1737" s="5" t="s">
        <v>6923</v>
      </c>
      <c r="G1737" s="5" t="s">
        <v>6838</v>
      </c>
      <c r="H1737" s="5" t="s">
        <v>6924</v>
      </c>
      <c r="I1737" s="5" t="s">
        <v>20</v>
      </c>
      <c r="J1737" s="5">
        <v>2.48</v>
      </c>
      <c r="K1737" s="5" t="s">
        <v>21</v>
      </c>
      <c r="L1737" s="5" t="s">
        <v>6925</v>
      </c>
      <c r="M1737" s="5" t="s">
        <v>6926</v>
      </c>
      <c r="N1737" s="7" t="str">
        <f>HYPERLINK("C:\Users\alexa\YandexDisk\Книги\Мобильная разработка\iOS\!!!___TDD_Грэхем_Ли_Пер_с_англ_Киселев_А_Н_Разработка_через_тестирование_для.pdf","!!!___TDD_Грэхем_Ли_Пер_с_англ_Киселев_А_Н_Разработка_через_тестирование_для.pdf")</f>
        <v>!!!___TDD_Грэхем_Ли_Пер_с_англ_Киселев_А_Н_Разработка_через_тестирование_для.pdf</v>
      </c>
      <c r="O1737" s="5" t="s">
        <v>6927</v>
      </c>
    </row>
    <row r="1738" spans="1:15" ht="165.6" x14ac:dyDescent="0.3">
      <c r="A1738" s="2">
        <v>1737</v>
      </c>
      <c r="B1738" s="3" t="s">
        <v>3595</v>
      </c>
      <c r="C1738" s="3" t="s">
        <v>3596</v>
      </c>
      <c r="D1738" s="3" t="s">
        <v>1022</v>
      </c>
      <c r="E1738" s="3" t="s">
        <v>18</v>
      </c>
      <c r="F1738" s="3" t="s">
        <v>6923</v>
      </c>
      <c r="G1738" s="3" t="s">
        <v>6838</v>
      </c>
      <c r="H1738" s="3" t="s">
        <v>6924</v>
      </c>
      <c r="I1738" s="3" t="s">
        <v>20</v>
      </c>
      <c r="J1738" s="3">
        <v>9.93</v>
      </c>
      <c r="K1738" s="3" t="s">
        <v>21</v>
      </c>
      <c r="L1738" s="3" t="s">
        <v>3597</v>
      </c>
      <c r="M1738" s="3" t="s">
        <v>6926</v>
      </c>
      <c r="N1738" s="6" t="str">
        <f>HYPERLINK("C:\Users\alexa\YandexDisk\Книги\Мобильная разработка\iOS\HTML5_Разработка_приложений_для_мобильных_устройств.pdf","HTML5_Разработка_приложений_для_мобильных_устройств.pdf")</f>
        <v>HTML5_Разработка_приложений_для_мобильных_устройств.pdf</v>
      </c>
      <c r="O1738" s="3" t="s">
        <v>6928</v>
      </c>
    </row>
    <row r="1739" spans="1:15" ht="165.6" x14ac:dyDescent="0.3">
      <c r="A1739" s="4">
        <v>1738</v>
      </c>
      <c r="B1739" s="5" t="s">
        <v>6929</v>
      </c>
      <c r="C1739" s="5" t="s">
        <v>6930</v>
      </c>
      <c r="D1739" s="5" t="s">
        <v>186</v>
      </c>
      <c r="E1739" s="5" t="s">
        <v>18</v>
      </c>
      <c r="F1739" s="5" t="s">
        <v>6923</v>
      </c>
      <c r="G1739" s="5" t="s">
        <v>6838</v>
      </c>
      <c r="H1739" s="5" t="s">
        <v>6924</v>
      </c>
      <c r="I1739" s="5" t="s">
        <v>20</v>
      </c>
      <c r="J1739" s="5">
        <v>11.32</v>
      </c>
      <c r="K1739" s="5" t="s">
        <v>21</v>
      </c>
      <c r="L1739" s="5" t="s">
        <v>6931</v>
      </c>
      <c r="M1739" s="5" t="s">
        <v>6926</v>
      </c>
      <c r="N1739" s="7" t="str">
        <f>HYPERLINK("C:\Users\alexa\YandexDisk\Книги\Мобильная разработка\iOS\iOS. Приемы программирования.pdf","iOS. Приемы программирования.pdf")</f>
        <v>iOS. Приемы программирования.pdf</v>
      </c>
      <c r="O1739" s="5" t="s">
        <v>6932</v>
      </c>
    </row>
    <row r="1740" spans="1:15" ht="193.2" x14ac:dyDescent="0.3">
      <c r="A1740" s="2">
        <v>1739</v>
      </c>
      <c r="B1740" s="3" t="s">
        <v>6933</v>
      </c>
      <c r="C1740" s="3" t="s">
        <v>6934</v>
      </c>
      <c r="D1740" s="3" t="s">
        <v>17</v>
      </c>
      <c r="E1740" s="3" t="s">
        <v>457</v>
      </c>
      <c r="F1740" s="3" t="s">
        <v>6923</v>
      </c>
      <c r="G1740" s="3" t="s">
        <v>6838</v>
      </c>
      <c r="H1740" s="3" t="s">
        <v>6924</v>
      </c>
      <c r="I1740" s="3" t="s">
        <v>20</v>
      </c>
      <c r="J1740" s="3">
        <v>113.24</v>
      </c>
      <c r="K1740" s="3" t="s">
        <v>21</v>
      </c>
      <c r="L1740" s="3" t="s">
        <v>6935</v>
      </c>
      <c r="M1740" s="3" t="s">
        <v>6926</v>
      </c>
      <c r="N1740" s="6" t="str">
        <f>HYPERLINK("C:\Users\alexa\YandexDisk\Книги\Мобильная разработка\iOS\SwiftUI_by_Tutorials_2021_Antonio_Bello,_Bill_Morefield,_Audrey.pdf","SwiftUI_by_Tutorials_2021_Antonio_Bello,_Bill_Morefield,_Audrey.pdf")</f>
        <v>SwiftUI_by_Tutorials_2021_Antonio_Bello,_Bill_Morefield,_Audrey.pdf</v>
      </c>
      <c r="O1740" s="3" t="s">
        <v>6936</v>
      </c>
    </row>
    <row r="1741" spans="1:15" ht="165.6" x14ac:dyDescent="0.3">
      <c r="A1741" s="4">
        <v>1740</v>
      </c>
      <c r="B1741" s="5" t="s">
        <v>6937</v>
      </c>
      <c r="C1741" s="5" t="s">
        <v>6938</v>
      </c>
      <c r="D1741" s="5" t="s">
        <v>17</v>
      </c>
      <c r="E1741" s="5" t="s">
        <v>18</v>
      </c>
      <c r="F1741" s="5" t="s">
        <v>6923</v>
      </c>
      <c r="G1741" s="5" t="s">
        <v>6838</v>
      </c>
      <c r="H1741" s="5" t="s">
        <v>6924</v>
      </c>
      <c r="I1741" s="5" t="s">
        <v>20</v>
      </c>
      <c r="J1741" s="5">
        <v>10.83</v>
      </c>
      <c r="K1741" s="5" t="s">
        <v>21</v>
      </c>
      <c r="L1741" s="5" t="s">
        <v>6939</v>
      </c>
      <c r="M1741" s="5" t="s">
        <v>6926</v>
      </c>
      <c r="N1741" s="7" t="str">
        <f>HYPERLINK("C:\Users\alexa\YandexDisk\Книги\Мобильная разработка\iOS\Swift_Основы_разработки_приложений_под_iOS,_iPadOS_и_macOS_2021.pdf","Swift_Основы_разработки_приложений_под_iOS,_iPadOS_и_macOS_2021.pdf")</f>
        <v>Swift_Основы_разработки_приложений_под_iOS,_iPadOS_и_macOS_2021.pdf</v>
      </c>
      <c r="O1741" s="5" t="s">
        <v>6940</v>
      </c>
    </row>
    <row r="1742" spans="1:15" ht="165.6" x14ac:dyDescent="0.3">
      <c r="A1742" s="2">
        <v>1741</v>
      </c>
      <c r="B1742" s="3" t="s">
        <v>6941</v>
      </c>
      <c r="C1742" s="3" t="s">
        <v>6942</v>
      </c>
      <c r="D1742" s="3" t="s">
        <v>32</v>
      </c>
      <c r="E1742" s="3" t="s">
        <v>18</v>
      </c>
      <c r="F1742" s="3" t="s">
        <v>6923</v>
      </c>
      <c r="G1742" s="3" t="s">
        <v>6838</v>
      </c>
      <c r="H1742" s="3" t="s">
        <v>6924</v>
      </c>
      <c r="I1742" s="3" t="s">
        <v>20</v>
      </c>
      <c r="J1742" s="3">
        <v>8.8800000000000008</v>
      </c>
      <c r="K1742" s="3" t="s">
        <v>21</v>
      </c>
      <c r="L1742" s="3" t="s">
        <v>6943</v>
      </c>
      <c r="M1742" s="3" t="s">
        <v>6926</v>
      </c>
      <c r="N1742" s="6" t="str">
        <f>HYPERLINK("C:\Users\alexa\YandexDisk\Книги\Мобильная разработка\iOS\Swift_Основы_разработки_приложений_под_и_iOS_и_macOS.pdf","Swift_Основы_разработки_приложений_под_и_iOS_и_macOS.pdf")</f>
        <v>Swift_Основы_разработки_приложений_под_и_iOS_и_macOS.pdf</v>
      </c>
      <c r="O1742" s="3" t="s">
        <v>6944</v>
      </c>
    </row>
    <row r="1743" spans="1:15" ht="165.6" x14ac:dyDescent="0.3">
      <c r="A1743" s="4">
        <v>1742</v>
      </c>
      <c r="B1743" s="5" t="s">
        <v>6945</v>
      </c>
      <c r="C1743" s="5" t="s">
        <v>6938</v>
      </c>
      <c r="D1743" s="5" t="s">
        <v>17</v>
      </c>
      <c r="E1743" s="5" t="s">
        <v>6946</v>
      </c>
      <c r="F1743" s="5" t="s">
        <v>6923</v>
      </c>
      <c r="G1743" s="5" t="s">
        <v>6838</v>
      </c>
      <c r="H1743" s="5" t="s">
        <v>6924</v>
      </c>
      <c r="I1743" s="5" t="s">
        <v>20</v>
      </c>
      <c r="J1743" s="5">
        <v>18.97</v>
      </c>
      <c r="K1743" s="5" t="s">
        <v>21</v>
      </c>
      <c r="L1743" s="5" t="s">
        <v>6947</v>
      </c>
      <c r="M1743" s="5" t="s">
        <v>6926</v>
      </c>
      <c r="N1743" s="7" t="str">
        <f>HYPERLINK("C:\Users\alexa\YandexDisk\Книги\Мобильная разработка\iOS\Swift_Разработка_приложений_под_iOS_на_основе_фреймворка UIKit 2021.pdf","Swift_Разработка_приложений_под_iOS_на_основе_фреймворка UIKit 2021.pdf")</f>
        <v>Swift_Разработка_приложений_под_iOS_на_основе_фреймворка UIKit 2021.pdf</v>
      </c>
      <c r="O1743" s="5" t="s">
        <v>6948</v>
      </c>
    </row>
    <row r="1744" spans="1:15" ht="165.6" x14ac:dyDescent="0.3">
      <c r="A1744" s="2">
        <v>1743</v>
      </c>
      <c r="B1744" s="3" t="s">
        <v>6949</v>
      </c>
      <c r="C1744" s="3" t="s">
        <v>6950</v>
      </c>
      <c r="D1744" s="3" t="s">
        <v>32</v>
      </c>
      <c r="E1744" s="3" t="s">
        <v>303</v>
      </c>
      <c r="F1744" s="3" t="s">
        <v>6923</v>
      </c>
      <c r="G1744" s="3" t="s">
        <v>6838</v>
      </c>
      <c r="H1744" s="3" t="s">
        <v>6924</v>
      </c>
      <c r="I1744" s="3" t="s">
        <v>20</v>
      </c>
      <c r="J1744" s="3">
        <v>19.54</v>
      </c>
      <c r="K1744" s="3" t="s">
        <v>21</v>
      </c>
      <c r="L1744" s="3" t="s">
        <v>6951</v>
      </c>
      <c r="M1744" s="3" t="s">
        <v>6926</v>
      </c>
      <c r="N1744" s="6" t="str">
        <f>HYPERLINK("C:\Users\alexa\YandexDisk\Книги\Мобильная разработка\iOS\Глория_Уинквист,_Мэтт_Маккарти_Swift_для_детей_Самоучитель_по_созданию.pdf","Глория_Уинквист,_Мэтт_Маккарти_Swift_для_детей_Самоучитель_по_созданию.pdf")</f>
        <v>Глория_Уинквист,_Мэтт_Маккарти_Swift_для_детей_Самоучитель_по_созданию.pdf</v>
      </c>
      <c r="O1744" s="3" t="s">
        <v>6952</v>
      </c>
    </row>
    <row r="1745" spans="1:15" ht="165.6" x14ac:dyDescent="0.3">
      <c r="A1745" s="4">
        <v>1744</v>
      </c>
      <c r="B1745" s="5" t="s">
        <v>6953</v>
      </c>
      <c r="C1745" s="5" t="s">
        <v>6954</v>
      </c>
      <c r="D1745" s="5" t="s">
        <v>476</v>
      </c>
      <c r="E1745" s="5" t="s">
        <v>402</v>
      </c>
      <c r="F1745" s="5" t="s">
        <v>6923</v>
      </c>
      <c r="G1745" s="5" t="s">
        <v>6838</v>
      </c>
      <c r="H1745" s="5" t="s">
        <v>6924</v>
      </c>
      <c r="I1745" s="5" t="s">
        <v>20</v>
      </c>
      <c r="J1745" s="5">
        <v>5.21</v>
      </c>
      <c r="K1745" s="5" t="s">
        <v>21</v>
      </c>
      <c r="L1745" s="5" t="s">
        <v>6955</v>
      </c>
      <c r="M1745" s="5" t="s">
        <v>6926</v>
      </c>
      <c r="N1745" s="7" t="str">
        <f>HYPERLINK("C:\Users\alexa\YandexDisk\Книги\Мобильная разработка\iOS\Джонатан_Здзиарски_iPhone_SDK_Разработка_приложений_2013.pdf","Джонатан_Здзиарски_iPhone_SDK_Разработка_приложений_2013.pdf")</f>
        <v>Джонатан_Здзиарски_iPhone_SDK_Разработка_приложений_2013.pdf</v>
      </c>
      <c r="O1745" s="5" t="s">
        <v>6956</v>
      </c>
    </row>
    <row r="1746" spans="1:15" ht="207" x14ac:dyDescent="0.3">
      <c r="A1746" s="2">
        <v>1745</v>
      </c>
      <c r="B1746" s="3" t="s">
        <v>6957</v>
      </c>
      <c r="C1746" s="3" t="s">
        <v>6958</v>
      </c>
      <c r="D1746" s="3" t="s">
        <v>59</v>
      </c>
      <c r="E1746" s="3" t="s">
        <v>102</v>
      </c>
      <c r="F1746" s="3" t="s">
        <v>6923</v>
      </c>
      <c r="G1746" s="3" t="s">
        <v>6838</v>
      </c>
      <c r="H1746" s="3" t="s">
        <v>6924</v>
      </c>
      <c r="I1746" s="3" t="s">
        <v>20</v>
      </c>
      <c r="J1746" s="3">
        <v>3.73</v>
      </c>
      <c r="K1746" s="3" t="s">
        <v>21</v>
      </c>
      <c r="L1746" s="3" t="s">
        <v>6959</v>
      </c>
      <c r="M1746" s="3" t="s">
        <v>6926</v>
      </c>
      <c r="N1746" s="6" t="str">
        <f>HYPERLINK("C:\Users\alexa\YandexDisk\Книги\Мобильная разработка\iOS\Нативная_разработка_мобильных_приложений_Перекрестный_справочник 2020.pdf","Нативная_разработка_мобильных_приложений_Перекрестный_справочник 2020.pdf")</f>
        <v>Нативная_разработка_мобильных_приложений_Перекрестный_справочник 2020.pdf</v>
      </c>
      <c r="O1746" s="3" t="s">
        <v>6960</v>
      </c>
    </row>
    <row r="1747" spans="1:15" ht="138" x14ac:dyDescent="0.3">
      <c r="A1747" s="4">
        <v>1746</v>
      </c>
      <c r="B1747" s="5" t="s">
        <v>6961</v>
      </c>
      <c r="C1747" s="5" t="s">
        <v>6962</v>
      </c>
      <c r="D1747" s="5" t="s">
        <v>17</v>
      </c>
      <c r="E1747" s="5" t="s">
        <v>148</v>
      </c>
      <c r="F1747" s="5" t="s">
        <v>6923</v>
      </c>
      <c r="G1747" s="5" t="s">
        <v>6838</v>
      </c>
      <c r="H1747" s="5" t="s">
        <v>6924</v>
      </c>
      <c r="I1747" s="5" t="s">
        <v>20</v>
      </c>
      <c r="J1747" s="5">
        <v>7.72</v>
      </c>
      <c r="K1747" s="5" t="s">
        <v>21</v>
      </c>
      <c r="L1747" s="5" t="s">
        <v>6963</v>
      </c>
      <c r="M1747" s="5" t="s">
        <v>6926</v>
      </c>
      <c r="N1747" s="7" t="str">
        <f>HYPERLINK("C:\Users\alexa\YandexDisk\Книги\Мобильная разработка\iOS\Основы_разработки_iOS_приложений_2021.pdf","Основы_разработки_iOS_приложений_2021.pdf")</f>
        <v>Основы_разработки_iOS_приложений_2021.pdf</v>
      </c>
      <c r="O1747" s="5" t="s">
        <v>6964</v>
      </c>
    </row>
    <row r="1748" spans="1:15" ht="165.6" x14ac:dyDescent="0.3">
      <c r="A1748" s="2">
        <v>1747</v>
      </c>
      <c r="B1748" s="3" t="s">
        <v>6941</v>
      </c>
      <c r="C1748" s="3" t="s">
        <v>6938</v>
      </c>
      <c r="D1748" s="3" t="s">
        <v>50</v>
      </c>
      <c r="E1748" s="3" t="s">
        <v>18</v>
      </c>
      <c r="F1748" s="3" t="s">
        <v>6923</v>
      </c>
      <c r="G1748" s="3" t="s">
        <v>6838</v>
      </c>
      <c r="H1748" s="3" t="s">
        <v>6924</v>
      </c>
      <c r="I1748" s="3" t="s">
        <v>20</v>
      </c>
      <c r="J1748" s="3">
        <v>6.36</v>
      </c>
      <c r="K1748" s="3" t="s">
        <v>21</v>
      </c>
      <c r="L1748" s="3" t="s">
        <v>6965</v>
      </c>
      <c r="M1748" s="3" t="s">
        <v>6926</v>
      </c>
      <c r="N1748" s="6" t="str">
        <f>HYPERLINK("C:\Users\alexa\YandexDisk\Книги\Мобильная разработка\iOS\Усов Swift-osnovyi-razrabotki-prilozheniy-pod-ios 2017.pdf","Усов Swift-osnovyi-razrabotki-prilozheniy-pod-ios 2017.pdf")</f>
        <v>Усов Swift-osnovyi-razrabotki-prilozheniy-pod-ios 2017.pdf</v>
      </c>
      <c r="O1748" s="3" t="s">
        <v>6966</v>
      </c>
    </row>
    <row r="1749" spans="1:15" ht="220.8" x14ac:dyDescent="0.3">
      <c r="A1749" s="4">
        <v>1748</v>
      </c>
      <c r="B1749" s="5" t="s">
        <v>6967</v>
      </c>
      <c r="C1749" s="5" t="s">
        <v>6968</v>
      </c>
      <c r="D1749" s="5" t="s">
        <v>6969</v>
      </c>
      <c r="E1749" s="5" t="s">
        <v>6970</v>
      </c>
      <c r="F1749" s="5" t="s">
        <v>6971</v>
      </c>
      <c r="G1749" s="5" t="s">
        <v>6971</v>
      </c>
      <c r="H1749" s="5"/>
      <c r="I1749" s="5" t="s">
        <v>20</v>
      </c>
      <c r="J1749" s="5">
        <v>1.07</v>
      </c>
      <c r="K1749" s="5" t="s">
        <v>21</v>
      </c>
      <c r="L1749" s="5" t="s">
        <v>6972</v>
      </c>
      <c r="M1749" s="5" t="s">
        <v>6973</v>
      </c>
      <c r="N1749" s="7" t="str">
        <f>HYPERLINK("C:\Users\alexa\YandexDisk\Книги\Наука о системах и системный анализ\Блауберг, Системный подход в современной науке.pdf","Блауберг, Системный подход в современной науке.pdf")</f>
        <v>Блауберг, Системный подход в современной науке.pdf</v>
      </c>
      <c r="O1749" s="5" t="s">
        <v>6974</v>
      </c>
    </row>
    <row r="1750" spans="1:15" ht="207" x14ac:dyDescent="0.3">
      <c r="A1750" s="2">
        <v>1749</v>
      </c>
      <c r="B1750" s="3" t="s">
        <v>6975</v>
      </c>
      <c r="C1750" s="3" t="s">
        <v>6976</v>
      </c>
      <c r="D1750" s="3" t="s">
        <v>172</v>
      </c>
      <c r="E1750" s="3" t="s">
        <v>6768</v>
      </c>
      <c r="F1750" s="3" t="s">
        <v>6971</v>
      </c>
      <c r="G1750" s="3" t="s">
        <v>6971</v>
      </c>
      <c r="H1750" s="3"/>
      <c r="I1750" s="3" t="s">
        <v>20</v>
      </c>
      <c r="J1750" s="3">
        <v>7.79</v>
      </c>
      <c r="K1750" s="3" t="s">
        <v>21</v>
      </c>
      <c r="L1750" s="3" t="s">
        <v>6977</v>
      </c>
      <c r="M1750" s="3" t="s">
        <v>6973</v>
      </c>
      <c r="N1750" s="6" t="str">
        <f>HYPERLINK("C:\Users\alexa\YandexDisk\Книги\Наука о системах и системный анализ\Искусство системного мышления.pdf","Искусство системного мышления.pdf")</f>
        <v>Искусство системного мышления.pdf</v>
      </c>
      <c r="O1750" s="3" t="s">
        <v>6978</v>
      </c>
    </row>
    <row r="1751" spans="1:15" ht="262.2" x14ac:dyDescent="0.3">
      <c r="A1751" s="4">
        <v>1750</v>
      </c>
      <c r="B1751" s="5" t="s">
        <v>6979</v>
      </c>
      <c r="C1751" s="5" t="s">
        <v>6980</v>
      </c>
      <c r="D1751" s="5"/>
      <c r="E1751" s="5"/>
      <c r="F1751" s="5" t="s">
        <v>6971</v>
      </c>
      <c r="G1751" s="5" t="s">
        <v>6971</v>
      </c>
      <c r="H1751" s="5"/>
      <c r="I1751" s="5" t="s">
        <v>20</v>
      </c>
      <c r="J1751" s="5">
        <v>0.76</v>
      </c>
      <c r="K1751" s="5" t="s">
        <v>21</v>
      </c>
      <c r="L1751" s="5" t="s">
        <v>6981</v>
      </c>
      <c r="M1751" s="5" t="s">
        <v>6973</v>
      </c>
      <c r="N1751" s="7" t="str">
        <f>HYPERLINK("C:\Users\alexa\YandexDisk\Книги\Наука о системах и системный анализ\Формализация_требований_на_практике.pdf","Формализация_требований_на_практике.pdf")</f>
        <v>Формализация_требований_на_практике.pdf</v>
      </c>
      <c r="O1751" s="5" t="s">
        <v>6982</v>
      </c>
    </row>
    <row r="1752" spans="1:15" ht="151.80000000000001" x14ac:dyDescent="0.3">
      <c r="A1752" s="2">
        <v>1751</v>
      </c>
      <c r="B1752" s="3" t="s">
        <v>6983</v>
      </c>
      <c r="C1752" s="3" t="s">
        <v>6984</v>
      </c>
      <c r="D1752" s="3"/>
      <c r="E1752" s="3"/>
      <c r="F1752" s="3" t="s">
        <v>6985</v>
      </c>
      <c r="G1752" s="3" t="s">
        <v>6986</v>
      </c>
      <c r="H1752" s="3" t="s">
        <v>6987</v>
      </c>
      <c r="I1752" s="3" t="s">
        <v>20</v>
      </c>
      <c r="J1752" s="3">
        <v>42.81</v>
      </c>
      <c r="K1752" s="3" t="s">
        <v>21</v>
      </c>
      <c r="L1752" s="3" t="s">
        <v>6988</v>
      </c>
      <c r="M1752" s="3" t="s">
        <v>6989</v>
      </c>
      <c r="N1752" s="6" t="str">
        <f>HYPERLINK("C:\Users\alexa\YandexDisk\Книги\Нон-фикшн\Автомобили\CX-5_руководство.pdf","CX-5_руководство.pdf")</f>
        <v>CX-5_руководство.pdf</v>
      </c>
      <c r="O1752" s="3" t="s">
        <v>6990</v>
      </c>
    </row>
    <row r="1753" spans="1:15" ht="151.80000000000001" x14ac:dyDescent="0.3">
      <c r="A1753" s="4">
        <v>1752</v>
      </c>
      <c r="B1753" s="5" t="s">
        <v>6991</v>
      </c>
      <c r="C1753" s="5"/>
      <c r="D1753" s="5"/>
      <c r="E1753" s="5"/>
      <c r="F1753" s="5" t="s">
        <v>6985</v>
      </c>
      <c r="G1753" s="5" t="s">
        <v>6986</v>
      </c>
      <c r="H1753" s="5" t="s">
        <v>6987</v>
      </c>
      <c r="I1753" s="5" t="s">
        <v>20</v>
      </c>
      <c r="J1753" s="5">
        <v>6.58</v>
      </c>
      <c r="K1753" s="5" t="s">
        <v>21</v>
      </c>
      <c r="L1753" s="5" t="s">
        <v>6992</v>
      </c>
      <c r="M1753" s="5" t="s">
        <v>6989</v>
      </c>
      <c r="N1753" s="7" t="str">
        <f>HYPERLINK("C:\Users\alexa\YandexDisk\Книги\Нон-фикшн\Автомобили\Секреты безопасной покупки автомобиля.pdf","Секреты безопасной покупки автомобиля.pdf")</f>
        <v>Секреты безопасной покупки автомобиля.pdf</v>
      </c>
      <c r="O1753" s="5" t="s">
        <v>6993</v>
      </c>
    </row>
    <row r="1754" spans="1:15" ht="151.80000000000001" x14ac:dyDescent="0.3">
      <c r="A1754" s="2">
        <v>1753</v>
      </c>
      <c r="B1754" s="3" t="s">
        <v>6994</v>
      </c>
      <c r="C1754" s="3"/>
      <c r="D1754" s="3"/>
      <c r="E1754" s="3"/>
      <c r="F1754" s="3" t="s">
        <v>6985</v>
      </c>
      <c r="G1754" s="3" t="s">
        <v>6986</v>
      </c>
      <c r="H1754" s="3" t="s">
        <v>6987</v>
      </c>
      <c r="I1754" s="3" t="s">
        <v>20</v>
      </c>
      <c r="J1754" s="3">
        <v>24.35</v>
      </c>
      <c r="K1754" s="3" t="s">
        <v>21</v>
      </c>
      <c r="L1754" s="3" t="s">
        <v>6995</v>
      </c>
      <c r="M1754" s="3" t="s">
        <v>6989</v>
      </c>
      <c r="N1754" s="6" t="str">
        <f>HYPERLINK("C:\Users\alexa\YandexDisk\Книги\Нон-фикшн\Автомобили\Что делать, если остановил гаишник.pdf","Что делать, если остановил гаишник.pdf")</f>
        <v>Что делать, если остановил гаишник.pdf</v>
      </c>
      <c r="O1754" s="3" t="s">
        <v>6996</v>
      </c>
    </row>
    <row r="1755" spans="1:15" ht="165.6" x14ac:dyDescent="0.3">
      <c r="A1755" s="4">
        <v>1754</v>
      </c>
      <c r="B1755" s="5" t="s">
        <v>6997</v>
      </c>
      <c r="C1755" s="5" t="s">
        <v>6998</v>
      </c>
      <c r="D1755" s="5"/>
      <c r="E1755" s="5"/>
      <c r="F1755" s="5" t="s">
        <v>6985</v>
      </c>
      <c r="G1755" s="5" t="s">
        <v>6986</v>
      </c>
      <c r="H1755" s="5" t="s">
        <v>6987</v>
      </c>
      <c r="I1755" s="5" t="s">
        <v>20</v>
      </c>
      <c r="J1755" s="5">
        <v>161.41999999999999</v>
      </c>
      <c r="K1755" s="5" t="s">
        <v>21</v>
      </c>
      <c r="L1755" s="5" t="s">
        <v>6999</v>
      </c>
      <c r="M1755" s="5" t="s">
        <v>6989</v>
      </c>
      <c r="N1755" s="7" t="str">
        <f>HYPERLINK("C:\Users\alexa\YandexDisk\Книги\Нон-фикшн\Автомобили\Шумский-100 ловушек.pdf","Шумский-100 ловушек.pdf")</f>
        <v>Шумский-100 ловушек.pdf</v>
      </c>
      <c r="O1755" s="5" t="s">
        <v>7000</v>
      </c>
    </row>
    <row r="1756" spans="1:15" ht="151.80000000000001" x14ac:dyDescent="0.3">
      <c r="A1756" s="2">
        <v>1755</v>
      </c>
      <c r="B1756" s="3" t="s">
        <v>7001</v>
      </c>
      <c r="C1756" s="3" t="s">
        <v>6998</v>
      </c>
      <c r="D1756" s="3"/>
      <c r="E1756" s="3" t="s">
        <v>7002</v>
      </c>
      <c r="F1756" s="3" t="s">
        <v>6985</v>
      </c>
      <c r="G1756" s="3" t="s">
        <v>6986</v>
      </c>
      <c r="H1756" s="3" t="s">
        <v>6987</v>
      </c>
      <c r="I1756" s="3" t="s">
        <v>20</v>
      </c>
      <c r="J1756" s="3">
        <v>52.35</v>
      </c>
      <c r="K1756" s="3" t="s">
        <v>21</v>
      </c>
      <c r="L1756" s="3" t="s">
        <v>7003</v>
      </c>
      <c r="M1756" s="3" t="s">
        <v>6989</v>
      </c>
      <c r="N1756" s="6" t="str">
        <f>HYPERLINK("C:\Users\alexa\YandexDisk\Книги\Нон-фикшн\Автомобили\Шумский-Парковки.pdf","Шумский-Парковки.pdf")</f>
        <v>Шумский-Парковки.pdf</v>
      </c>
      <c r="O1756" s="3" t="s">
        <v>7004</v>
      </c>
    </row>
    <row r="1757" spans="1:15" ht="138" x14ac:dyDescent="0.3">
      <c r="A1757" s="4">
        <v>1756</v>
      </c>
      <c r="B1757" s="5" t="s">
        <v>7005</v>
      </c>
      <c r="C1757" s="5" t="s">
        <v>7006</v>
      </c>
      <c r="D1757" s="5" t="s">
        <v>161</v>
      </c>
      <c r="E1757" s="5"/>
      <c r="F1757" s="5" t="s">
        <v>7007</v>
      </c>
      <c r="G1757" s="5" t="s">
        <v>6986</v>
      </c>
      <c r="H1757" s="5" t="s">
        <v>7008</v>
      </c>
      <c r="I1757" s="5" t="s">
        <v>20</v>
      </c>
      <c r="J1757" s="5">
        <v>3.24</v>
      </c>
      <c r="K1757" s="5" t="s">
        <v>21</v>
      </c>
      <c r="L1757" s="5" t="s">
        <v>7009</v>
      </c>
      <c r="M1757" s="5" t="s">
        <v>7010</v>
      </c>
      <c r="N1757" s="7" t="str">
        <f>HYPERLINK("C:\Users\alexa\YandexDisk\Книги\Нон-фикшн\Биографии\avidreaders.ru__zhizn-sapozhok-neparnyy-vospominaniya.pdf","avidreaders.ru__zhizn-sapozhok-neparnyy-vospominaniya.pdf")</f>
        <v>avidreaders.ru__zhizn-sapozhok-neparnyy-vospominaniya.pdf</v>
      </c>
      <c r="O1757" s="5" t="s">
        <v>7011</v>
      </c>
    </row>
    <row r="1758" spans="1:15" ht="207" x14ac:dyDescent="0.3">
      <c r="A1758" s="2">
        <v>1757</v>
      </c>
      <c r="B1758" s="3" t="s">
        <v>7012</v>
      </c>
      <c r="C1758" s="3" t="s">
        <v>7013</v>
      </c>
      <c r="D1758" s="3" t="s">
        <v>186</v>
      </c>
      <c r="E1758" s="3" t="s">
        <v>303</v>
      </c>
      <c r="F1758" s="3" t="s">
        <v>7007</v>
      </c>
      <c r="G1758" s="3" t="s">
        <v>6986</v>
      </c>
      <c r="H1758" s="3" t="s">
        <v>7008</v>
      </c>
      <c r="I1758" s="3" t="s">
        <v>20</v>
      </c>
      <c r="J1758" s="3">
        <v>2.2999999999999998</v>
      </c>
      <c r="K1758" s="3" t="s">
        <v>21</v>
      </c>
      <c r="L1758" s="3" t="s">
        <v>7014</v>
      </c>
      <c r="M1758" s="3" t="s">
        <v>7010</v>
      </c>
      <c r="N1758" s="6" t="str">
        <f>HYPERLINK("C:\Users\alexa\YandexDisk\Книги\Нон-фикшн\Биографии\liderstvo-vo-ldah.pdf","liderstvo-vo-ldah.pdf")</f>
        <v>liderstvo-vo-ldah.pdf</v>
      </c>
      <c r="O1758" s="3" t="s">
        <v>7015</v>
      </c>
    </row>
    <row r="1759" spans="1:15" ht="27.6" x14ac:dyDescent="0.3">
      <c r="A1759" s="4">
        <v>1758</v>
      </c>
      <c r="B1759" s="5" t="s">
        <v>7016</v>
      </c>
      <c r="C1759" s="5" t="s">
        <v>7017</v>
      </c>
      <c r="D1759" s="5"/>
      <c r="E1759" s="5"/>
      <c r="F1759" s="5" t="s">
        <v>7007</v>
      </c>
      <c r="G1759" s="5" t="s">
        <v>6986</v>
      </c>
      <c r="H1759" s="5" t="s">
        <v>7008</v>
      </c>
      <c r="I1759" s="5" t="s">
        <v>6740</v>
      </c>
      <c r="J1759" s="5">
        <v>2.2799999999999998</v>
      </c>
      <c r="K1759" s="5" t="s">
        <v>21</v>
      </c>
      <c r="L1759" s="5" t="s">
        <v>7018</v>
      </c>
      <c r="M1759" s="5" t="s">
        <v>7010</v>
      </c>
      <c r="N1759" s="7" t="str">
        <f>HYPERLINK("C:\Users\alexa\YandexDisk\Книги\Нон-фикшн\Биографии\Stiv Dzhobs - Uoltier Aiziekson.mobi","Stiv Dzhobs - Uoltier Aiziekson.mobi")</f>
        <v>Stiv Dzhobs - Uoltier Aiziekson.mobi</v>
      </c>
      <c r="O1759" s="5" t="s">
        <v>930</v>
      </c>
    </row>
    <row r="1760" spans="1:15" ht="193.2" x14ac:dyDescent="0.3">
      <c r="A1760" s="2">
        <v>1759</v>
      </c>
      <c r="B1760" s="3" t="s">
        <v>7019</v>
      </c>
      <c r="C1760" s="3" t="s">
        <v>7020</v>
      </c>
      <c r="D1760" s="3"/>
      <c r="E1760" s="3"/>
      <c r="F1760" s="3" t="s">
        <v>7007</v>
      </c>
      <c r="G1760" s="3" t="s">
        <v>6986</v>
      </c>
      <c r="H1760" s="3" t="s">
        <v>7008</v>
      </c>
      <c r="I1760" s="3" t="s">
        <v>20</v>
      </c>
      <c r="J1760" s="3">
        <v>1.63</v>
      </c>
      <c r="K1760" s="3" t="s">
        <v>21</v>
      </c>
      <c r="L1760" s="3" t="s">
        <v>7021</v>
      </c>
      <c r="M1760" s="3" t="s">
        <v>7010</v>
      </c>
      <c r="N1760" s="6" t="str">
        <f>HYPERLINK("C:\Users\alexa\YandexDisk\Книги\Нон-фикшн\Биографии\Torvalds_L.,_Daimond_D Рассказ нечаянного революционера.pdf","Torvalds_L.,_Daimond_D Рассказ нечаянного революционера.pdf")</f>
        <v>Torvalds_L.,_Daimond_D Рассказ нечаянного революционера.pdf</v>
      </c>
      <c r="O1760" s="3" t="s">
        <v>7022</v>
      </c>
    </row>
    <row r="1761" spans="1:15" ht="179.4" x14ac:dyDescent="0.3">
      <c r="A1761" s="4">
        <v>1760</v>
      </c>
      <c r="B1761" s="5" t="s">
        <v>7023</v>
      </c>
      <c r="C1761" s="5" t="s">
        <v>7024</v>
      </c>
      <c r="D1761" s="5" t="s">
        <v>17</v>
      </c>
      <c r="E1761" s="5" t="s">
        <v>1023</v>
      </c>
      <c r="F1761" s="5" t="s">
        <v>7025</v>
      </c>
      <c r="G1761" s="5" t="s">
        <v>6986</v>
      </c>
      <c r="H1761" s="5" t="s">
        <v>4471</v>
      </c>
      <c r="I1761" s="5" t="s">
        <v>20</v>
      </c>
      <c r="J1761" s="5">
        <v>2.4</v>
      </c>
      <c r="K1761" s="5" t="s">
        <v>21</v>
      </c>
      <c r="L1761" s="5" t="s">
        <v>7026</v>
      </c>
      <c r="M1761" s="5" t="s">
        <v>7027</v>
      </c>
      <c r="N1761" s="7" t="str">
        <f>HYPERLINK("C:\Users\alexa\YandexDisk\Книги\Нон-фикшн\Здоровье\Bubnovskiyi_S._Goryachayalini._Dvijenie_Vmesto_Lekarstv_.a4.pdf","Bubnovskiyi_S._Goryachayalini._Dvijenie_Vmesto_Lekarstv_.a4.pdf")</f>
        <v>Bubnovskiyi_S._Goryachayalini._Dvijenie_Vmesto_Lekarstv_.a4.pdf</v>
      </c>
      <c r="O1761" s="5" t="s">
        <v>7028</v>
      </c>
    </row>
    <row r="1762" spans="1:15" ht="207" x14ac:dyDescent="0.3">
      <c r="A1762" s="2">
        <v>1761</v>
      </c>
      <c r="B1762" s="3" t="s">
        <v>7023</v>
      </c>
      <c r="C1762" s="3" t="s">
        <v>4590</v>
      </c>
      <c r="D1762" s="3" t="s">
        <v>17</v>
      </c>
      <c r="E1762" s="3" t="s">
        <v>1023</v>
      </c>
      <c r="F1762" s="3" t="s">
        <v>7025</v>
      </c>
      <c r="G1762" s="3" t="s">
        <v>6986</v>
      </c>
      <c r="H1762" s="3" t="s">
        <v>4471</v>
      </c>
      <c r="I1762" s="3" t="s">
        <v>280</v>
      </c>
      <c r="J1762" s="3">
        <v>3.19</v>
      </c>
      <c r="K1762" s="3" t="s">
        <v>21</v>
      </c>
      <c r="L1762" s="3" t="s">
        <v>7029</v>
      </c>
      <c r="M1762" s="3" t="s">
        <v>7027</v>
      </c>
      <c r="N1762" s="6" t="str">
        <f>HYPERLINK("C:\Users\alexa\YandexDisk\Книги\Нон-фикшн\Здоровье\Bubnovskiyi_S._Goryachayalini._Dvijenie_Vmesto_Lekarstv_.epub","Bubnovskiyi_S._Goryachayalini._Dvijenie_Vmesto_Lekarstv_.epub")</f>
        <v>Bubnovskiyi_S._Goryachayalini._Dvijenie_Vmesto_Lekarstv_.epub</v>
      </c>
      <c r="O1762" s="3" t="s">
        <v>7030</v>
      </c>
    </row>
    <row r="1763" spans="1:15" ht="207" x14ac:dyDescent="0.3">
      <c r="A1763" s="4">
        <v>1762</v>
      </c>
      <c r="B1763" s="5" t="s">
        <v>7031</v>
      </c>
      <c r="C1763" s="5"/>
      <c r="D1763" s="5" t="s">
        <v>65</v>
      </c>
      <c r="E1763" s="5" t="s">
        <v>7032</v>
      </c>
      <c r="F1763" s="5" t="s">
        <v>7025</v>
      </c>
      <c r="G1763" s="5" t="s">
        <v>6986</v>
      </c>
      <c r="H1763" s="5" t="s">
        <v>4471</v>
      </c>
      <c r="I1763" s="5" t="s">
        <v>20</v>
      </c>
      <c r="J1763" s="5">
        <v>0.19</v>
      </c>
      <c r="K1763" s="5" t="s">
        <v>21</v>
      </c>
      <c r="L1763" s="5" t="s">
        <v>7033</v>
      </c>
      <c r="M1763" s="5" t="s">
        <v>7027</v>
      </c>
      <c r="N1763" s="7" t="str">
        <f>HYPERLINK("C:\Users\alexa\YandexDisk\Книги\Нон-фикшн\Здоровье\INet for War.pdf","INet for War.pdf")</f>
        <v>INet for War.pdf</v>
      </c>
      <c r="O1763" s="5" t="s">
        <v>7034</v>
      </c>
    </row>
    <row r="1764" spans="1:15" ht="248.4" x14ac:dyDescent="0.3">
      <c r="A1764" s="2">
        <v>1763</v>
      </c>
      <c r="B1764" s="3" t="s">
        <v>7035</v>
      </c>
      <c r="C1764" s="3" t="s">
        <v>7036</v>
      </c>
      <c r="D1764" s="3"/>
      <c r="E1764" s="3"/>
      <c r="F1764" s="3" t="s">
        <v>7025</v>
      </c>
      <c r="G1764" s="3" t="s">
        <v>6986</v>
      </c>
      <c r="H1764" s="3" t="s">
        <v>4471</v>
      </c>
      <c r="I1764" s="3" t="s">
        <v>280</v>
      </c>
      <c r="J1764" s="3">
        <v>1.24</v>
      </c>
      <c r="K1764" s="3" t="s">
        <v>21</v>
      </c>
      <c r="L1764" s="3" t="s">
        <v>7037</v>
      </c>
      <c r="M1764" s="3" t="s">
        <v>7027</v>
      </c>
      <c r="N1764" s="6" t="str">
        <f>HYPERLINK("C:\Users\alexa\YandexDisk\Книги\Нон-фикшн\Здоровье\Здоровье до 120 лет без врачей.epub","Здоровье до 120 лет без врачей.epub")</f>
        <v>Здоровье до 120 лет без врачей.epub</v>
      </c>
      <c r="O1764" s="3" t="s">
        <v>7038</v>
      </c>
    </row>
    <row r="1765" spans="1:15" ht="193.2" x14ac:dyDescent="0.3">
      <c r="A1765" s="4">
        <v>1764</v>
      </c>
      <c r="B1765" s="5" t="s">
        <v>7039</v>
      </c>
      <c r="C1765" s="5"/>
      <c r="D1765" s="5"/>
      <c r="E1765" s="5"/>
      <c r="F1765" s="5" t="s">
        <v>7025</v>
      </c>
      <c r="G1765" s="5" t="s">
        <v>6986</v>
      </c>
      <c r="H1765" s="5" t="s">
        <v>4471</v>
      </c>
      <c r="I1765" s="5" t="s">
        <v>20</v>
      </c>
      <c r="J1765" s="5">
        <v>0.13</v>
      </c>
      <c r="K1765" s="5" t="s">
        <v>21</v>
      </c>
      <c r="L1765" s="5" t="s">
        <v>7040</v>
      </c>
      <c r="M1765" s="5" t="s">
        <v>7027</v>
      </c>
      <c r="N1765" s="7" t="str">
        <f>HYPERLINK("C:\Users\alexa\YandexDisk\Книги\Нон-фикшн\Здоровье\Льняное масло.pdf","Льняное масло.pdf")</f>
        <v>Льняное масло.pdf</v>
      </c>
      <c r="O1765" s="5" t="s">
        <v>7041</v>
      </c>
    </row>
    <row r="1766" spans="1:15" ht="165.6" x14ac:dyDescent="0.3">
      <c r="A1766" s="2">
        <v>1765</v>
      </c>
      <c r="B1766" s="3" t="s">
        <v>7042</v>
      </c>
      <c r="C1766" s="3"/>
      <c r="D1766" s="3"/>
      <c r="E1766" s="3"/>
      <c r="F1766" s="3" t="s">
        <v>7025</v>
      </c>
      <c r="G1766" s="3" t="s">
        <v>6986</v>
      </c>
      <c r="H1766" s="3" t="s">
        <v>4471</v>
      </c>
      <c r="I1766" s="3" t="s">
        <v>1147</v>
      </c>
      <c r="J1766" s="3">
        <v>17.21</v>
      </c>
      <c r="K1766" s="3" t="s">
        <v>21</v>
      </c>
      <c r="L1766" s="3" t="s">
        <v>7043</v>
      </c>
      <c r="M1766" s="3" t="s">
        <v>7027</v>
      </c>
      <c r="N1766" s="6" t="str">
        <f>HYPERLINK("C:\Users\alexa\YandexDisk\Книги\Нон-фикшн\Здоровье\Нить жизни-2-й день.docx","Нить жизни-2-й день.docx")</f>
        <v>Нить жизни-2-й день.docx</v>
      </c>
      <c r="O1766" s="3" t="s">
        <v>7044</v>
      </c>
    </row>
    <row r="1767" spans="1:15" ht="124.2" x14ac:dyDescent="0.3">
      <c r="A1767" s="4">
        <v>1766</v>
      </c>
      <c r="B1767" s="5" t="s">
        <v>4528</v>
      </c>
      <c r="C1767" s="5"/>
      <c r="D1767" s="5"/>
      <c r="E1767" s="5"/>
      <c r="F1767" s="5" t="s">
        <v>7045</v>
      </c>
      <c r="G1767" s="5" t="s">
        <v>6986</v>
      </c>
      <c r="H1767" s="5" t="s">
        <v>7046</v>
      </c>
      <c r="I1767" s="5" t="s">
        <v>4473</v>
      </c>
      <c r="J1767" s="5">
        <v>0.27</v>
      </c>
      <c r="K1767" s="5" t="s">
        <v>21</v>
      </c>
      <c r="L1767" s="5" t="s">
        <v>7047</v>
      </c>
      <c r="M1767" s="5" t="s">
        <v>7048</v>
      </c>
      <c r="N1767" s="7" t="str">
        <f>HYPERLINK("C:\Users\alexa\YandexDisk\Книги\Нон-фикшн\Здоровье_Память\126 эффективных упражнений по развитию вашей памяти.doc","126 эффективных упражнений по развитию вашей памяти.doc")</f>
        <v>126 эффективных упражнений по развитию вашей памяти.doc</v>
      </c>
      <c r="O1767" s="5" t="s">
        <v>7049</v>
      </c>
    </row>
    <row r="1768" spans="1:15" ht="193.2" x14ac:dyDescent="0.3">
      <c r="A1768" s="2">
        <v>1767</v>
      </c>
      <c r="B1768" s="3" t="s">
        <v>7050</v>
      </c>
      <c r="C1768" s="3" t="s">
        <v>7051</v>
      </c>
      <c r="D1768" s="3" t="s">
        <v>7052</v>
      </c>
      <c r="E1768" s="3" t="s">
        <v>1234</v>
      </c>
      <c r="F1768" s="3" t="s">
        <v>7053</v>
      </c>
      <c r="G1768" s="3" t="s">
        <v>6986</v>
      </c>
      <c r="H1768" s="3" t="s">
        <v>7054</v>
      </c>
      <c r="I1768" s="3" t="s">
        <v>20</v>
      </c>
      <c r="J1768" s="3">
        <v>1.89</v>
      </c>
      <c r="K1768" s="3" t="s">
        <v>21</v>
      </c>
      <c r="L1768" s="3" t="s">
        <v>7055</v>
      </c>
      <c r="M1768" s="3" t="s">
        <v>7056</v>
      </c>
      <c r="N1768" s="6" t="str">
        <f>HYPERLINK("C:\Users\alexa\YandexDisk\Книги\Нон-фикшн\Изотерика\Dianetika.pdf","Dianetika.pdf")</f>
        <v>Dianetika.pdf</v>
      </c>
      <c r="O1768" s="3" t="s">
        <v>7057</v>
      </c>
    </row>
    <row r="1769" spans="1:15" ht="138" x14ac:dyDescent="0.3">
      <c r="A1769" s="4">
        <v>1768</v>
      </c>
      <c r="B1769" s="5" t="s">
        <v>7058</v>
      </c>
      <c r="C1769" s="5"/>
      <c r="D1769" s="5"/>
      <c r="E1769" s="5"/>
      <c r="F1769" s="5" t="s">
        <v>7053</v>
      </c>
      <c r="G1769" s="5" t="s">
        <v>6986</v>
      </c>
      <c r="H1769" s="5" t="s">
        <v>7054</v>
      </c>
      <c r="I1769" s="5" t="s">
        <v>519</v>
      </c>
      <c r="J1769" s="5">
        <v>1062.58</v>
      </c>
      <c r="K1769" s="5" t="s">
        <v>21</v>
      </c>
      <c r="L1769" s="5" t="s">
        <v>7059</v>
      </c>
      <c r="M1769" s="5" t="s">
        <v>7056</v>
      </c>
      <c r="N1769" s="7" t="str">
        <f>HYPERLINK("C:\Users\alexa\YandexDisk\Книги\Нон-фикшн\Изотерика\duhovnyj-intellekt.zip","duhovnyj-intellekt.zip")</f>
        <v>duhovnyj-intellekt.zip</v>
      </c>
      <c r="O1769" s="5" t="s">
        <v>7060</v>
      </c>
    </row>
    <row r="1770" spans="1:15" ht="124.2" x14ac:dyDescent="0.3">
      <c r="A1770" s="2">
        <v>1769</v>
      </c>
      <c r="B1770" s="3" t="s">
        <v>7061</v>
      </c>
      <c r="C1770" s="3" t="s">
        <v>7062</v>
      </c>
      <c r="D1770" s="3"/>
      <c r="E1770" s="3"/>
      <c r="F1770" s="3" t="s">
        <v>7053</v>
      </c>
      <c r="G1770" s="3" t="s">
        <v>6986</v>
      </c>
      <c r="H1770" s="3" t="s">
        <v>7054</v>
      </c>
      <c r="I1770" s="3" t="s">
        <v>6740</v>
      </c>
      <c r="J1770" s="3">
        <v>0.94</v>
      </c>
      <c r="K1770" s="3" t="s">
        <v>21</v>
      </c>
      <c r="L1770" s="3" t="s">
        <v>7063</v>
      </c>
      <c r="M1770" s="3" t="s">
        <v>7056</v>
      </c>
      <c r="N1770" s="6" t="str">
        <f>HYPERLINK("C:\Users\alexa\YandexDisk\Книги\Нон-фикшн\Изотерика\Gonsales_Bessmertie__Taynoe_znanie_Drevney_Rusi_264971.mobi","Gonsales_Bessmertie__Taynoe_znanie_Drevney_Rusi_264971.mobi")</f>
        <v>Gonsales_Bessmertie__Taynoe_znanie_Drevney_Rusi_264971.mobi</v>
      </c>
      <c r="O1770" s="3" t="s">
        <v>7064</v>
      </c>
    </row>
    <row r="1771" spans="1:15" ht="165.6" x14ac:dyDescent="0.3">
      <c r="A1771" s="4">
        <v>1770</v>
      </c>
      <c r="B1771" s="5" t="s">
        <v>7065</v>
      </c>
      <c r="C1771" s="5" t="s">
        <v>4608</v>
      </c>
      <c r="D1771" s="5" t="s">
        <v>186</v>
      </c>
      <c r="E1771" s="5" t="s">
        <v>4609</v>
      </c>
      <c r="F1771" s="5" t="s">
        <v>7053</v>
      </c>
      <c r="G1771" s="5" t="s">
        <v>6986</v>
      </c>
      <c r="H1771" s="5" t="s">
        <v>7054</v>
      </c>
      <c r="I1771" s="5" t="s">
        <v>280</v>
      </c>
      <c r="J1771" s="5">
        <v>3.31</v>
      </c>
      <c r="K1771" s="5" t="s">
        <v>21</v>
      </c>
      <c r="L1771" s="5" t="s">
        <v>7066</v>
      </c>
      <c r="M1771" s="5" t="s">
        <v>7056</v>
      </c>
      <c r="N1771" s="7" t="str">
        <f>HYPERLINK("C:\Users\alexa\YandexDisk\Книги\Нон-фикшн\Изотерика\my-rodom-iz-strashnogo-detstva.epub","my-rodom-iz-strashnogo-detstva.epub")</f>
        <v>my-rodom-iz-strashnogo-detstva.epub</v>
      </c>
      <c r="O1771" s="5" t="s">
        <v>7067</v>
      </c>
    </row>
    <row r="1772" spans="1:15" ht="110.4" x14ac:dyDescent="0.3">
      <c r="A1772" s="2">
        <v>1771</v>
      </c>
      <c r="B1772" s="3" t="s">
        <v>7068</v>
      </c>
      <c r="C1772" s="3"/>
      <c r="D1772" s="3"/>
      <c r="E1772" s="3"/>
      <c r="F1772" s="3" t="s">
        <v>7053</v>
      </c>
      <c r="G1772" s="3" t="s">
        <v>6986</v>
      </c>
      <c r="H1772" s="3" t="s">
        <v>7054</v>
      </c>
      <c r="I1772" s="3" t="s">
        <v>4473</v>
      </c>
      <c r="J1772" s="3">
        <v>1.48</v>
      </c>
      <c r="K1772" s="3" t="s">
        <v>21</v>
      </c>
      <c r="L1772" s="3" t="s">
        <v>7068</v>
      </c>
      <c r="M1772" s="3" t="s">
        <v>7056</v>
      </c>
      <c r="N1772" s="6" t="str">
        <f>HYPERLINK("C:\Users\alexa\YandexDisk\Книги\Нон-фикшн\Изотерика\sergeichiskusstvorechi.doc","sergeichiskusstvorechi.doc")</f>
        <v>sergeichiskusstvorechi.doc</v>
      </c>
      <c r="O1772" s="3" t="s">
        <v>7069</v>
      </c>
    </row>
    <row r="1773" spans="1:15" ht="27.6" x14ac:dyDescent="0.3">
      <c r="A1773" s="4">
        <v>1772</v>
      </c>
      <c r="B1773" s="5" t="s">
        <v>7070</v>
      </c>
      <c r="C1773" s="5"/>
      <c r="D1773" s="5"/>
      <c r="E1773" s="5"/>
      <c r="F1773" s="5" t="s">
        <v>7053</v>
      </c>
      <c r="G1773" s="5" t="s">
        <v>6986</v>
      </c>
      <c r="H1773" s="5" t="s">
        <v>7054</v>
      </c>
      <c r="I1773" s="5" t="s">
        <v>4473</v>
      </c>
      <c r="J1773" s="5">
        <v>1.4</v>
      </c>
      <c r="K1773" s="5" t="s">
        <v>21</v>
      </c>
      <c r="L1773" s="5" t="s">
        <v>7070</v>
      </c>
      <c r="M1773" s="5" t="s">
        <v>7056</v>
      </c>
      <c r="N1773" s="7" t="str">
        <f>HYPERLINK("C:\Users\alexa\YandexDisk\Книги\Нон-фикшн\Изотерика\shkola-advokatury.doc","shkola-advokatury.doc")</f>
        <v>shkola-advokatury.doc</v>
      </c>
      <c r="O1773" s="5" t="s">
        <v>930</v>
      </c>
    </row>
    <row r="1774" spans="1:15" ht="193.2" x14ac:dyDescent="0.3">
      <c r="A1774" s="2">
        <v>1773</v>
      </c>
      <c r="B1774" s="3" t="s">
        <v>7071</v>
      </c>
      <c r="C1774" s="3" t="s">
        <v>7072</v>
      </c>
      <c r="D1774" s="3" t="s">
        <v>3158</v>
      </c>
      <c r="E1774" s="3" t="s">
        <v>7073</v>
      </c>
      <c r="F1774" s="3" t="s">
        <v>7053</v>
      </c>
      <c r="G1774" s="3" t="s">
        <v>6986</v>
      </c>
      <c r="H1774" s="3" t="s">
        <v>7054</v>
      </c>
      <c r="I1774" s="3" t="s">
        <v>20</v>
      </c>
      <c r="J1774" s="3">
        <v>2.08</v>
      </c>
      <c r="K1774" s="3" t="s">
        <v>21</v>
      </c>
      <c r="L1774" s="3" t="s">
        <v>7074</v>
      </c>
      <c r="M1774" s="3" t="s">
        <v>7056</v>
      </c>
      <c r="N1774" s="6" t="str">
        <f>HYPERLINK("C:\Users\alexa\YandexDisk\Книги\Нон-фикшн\Изотерика\Zero Limits_str - uncle Sam.pdf","Zero Limits_str - uncle Sam.pdf")</f>
        <v>Zero Limits_str - uncle Sam.pdf</v>
      </c>
      <c r="O1774" s="3" t="s">
        <v>7075</v>
      </c>
    </row>
    <row r="1775" spans="1:15" ht="220.8" x14ac:dyDescent="0.3">
      <c r="A1775" s="4">
        <v>1774</v>
      </c>
      <c r="B1775" s="5" t="s">
        <v>7076</v>
      </c>
      <c r="C1775" s="5" t="s">
        <v>7077</v>
      </c>
      <c r="D1775" s="5"/>
      <c r="E1775" s="5"/>
      <c r="F1775" s="5" t="s">
        <v>7053</v>
      </c>
      <c r="G1775" s="5" t="s">
        <v>6986</v>
      </c>
      <c r="H1775" s="5" t="s">
        <v>7054</v>
      </c>
      <c r="I1775" s="5" t="s">
        <v>20</v>
      </c>
      <c r="J1775" s="5">
        <v>3.07</v>
      </c>
      <c r="K1775" s="5" t="s">
        <v>21</v>
      </c>
      <c r="L1775" s="5" t="s">
        <v>7078</v>
      </c>
      <c r="M1775" s="5" t="s">
        <v>7056</v>
      </c>
      <c r="N1775" s="7" t="str">
        <f>HYPERLINK("C:\Users\alexa\YandexDisk\Книги\Нон-фикшн\Изотерика\Зеланд_Вершитель реальности.pdf","Зеланд_Вершитель реальности.pdf")</f>
        <v>Зеланд_Вершитель реальности.pdf</v>
      </c>
      <c r="O1775" s="5" t="s">
        <v>7079</v>
      </c>
    </row>
    <row r="1776" spans="1:15" ht="151.80000000000001" x14ac:dyDescent="0.3">
      <c r="A1776" s="2">
        <v>1775</v>
      </c>
      <c r="B1776" s="3" t="s">
        <v>4495</v>
      </c>
      <c r="C1776" s="3" t="s">
        <v>7080</v>
      </c>
      <c r="D1776" s="3" t="s">
        <v>7081</v>
      </c>
      <c r="E1776" s="3" t="s">
        <v>7082</v>
      </c>
      <c r="F1776" s="3" t="s">
        <v>7053</v>
      </c>
      <c r="G1776" s="3" t="s">
        <v>6986</v>
      </c>
      <c r="H1776" s="3" t="s">
        <v>7054</v>
      </c>
      <c r="I1776" s="3" t="s">
        <v>2787</v>
      </c>
      <c r="J1776" s="3">
        <v>1.72</v>
      </c>
      <c r="K1776" s="3" t="s">
        <v>21</v>
      </c>
      <c r="L1776" s="3" t="s">
        <v>7083</v>
      </c>
      <c r="M1776" s="3" t="s">
        <v>7056</v>
      </c>
      <c r="N1776" s="6" t="str">
        <f>HYPERLINK("C:\Users\alexa\YandexDisk\Книги\Нон-фикшн\Изотерика\Интегральная йога.fb2","Интегральная йога.fb2")</f>
        <v>Интегральная йога.fb2</v>
      </c>
      <c r="O1776" s="3" t="s">
        <v>7084</v>
      </c>
    </row>
    <row r="1777" spans="1:15" ht="207" x14ac:dyDescent="0.3">
      <c r="A1777" s="4">
        <v>1776</v>
      </c>
      <c r="B1777" s="5" t="s">
        <v>7085</v>
      </c>
      <c r="C1777" s="5" t="s">
        <v>7086</v>
      </c>
      <c r="D1777" s="5" t="s">
        <v>476</v>
      </c>
      <c r="E1777" s="5" t="s">
        <v>1023</v>
      </c>
      <c r="F1777" s="5" t="s">
        <v>7053</v>
      </c>
      <c r="G1777" s="5" t="s">
        <v>6986</v>
      </c>
      <c r="H1777" s="5" t="s">
        <v>7054</v>
      </c>
      <c r="I1777" s="5" t="s">
        <v>20</v>
      </c>
      <c r="J1777" s="5">
        <v>1.06</v>
      </c>
      <c r="K1777" s="5" t="s">
        <v>21</v>
      </c>
      <c r="L1777" s="5" t="s">
        <v>7087</v>
      </c>
      <c r="M1777" s="5" t="s">
        <v>7056</v>
      </c>
      <c r="N1777" s="7" t="str">
        <f>HYPERLINK("C:\Users\alexa\YandexDisk\Книги\Нон-фикшн\Изотерика\Ларсон_Хозяин своей судьбы.pdf","Ларсон_Хозяин своей судьбы.pdf")</f>
        <v>Ларсон_Хозяин своей судьбы.pdf</v>
      </c>
      <c r="O1777" s="5" t="s">
        <v>7088</v>
      </c>
    </row>
    <row r="1778" spans="1:15" ht="110.4" x14ac:dyDescent="0.3">
      <c r="A1778" s="2">
        <v>1777</v>
      </c>
      <c r="B1778" s="3" t="s">
        <v>7089</v>
      </c>
      <c r="C1778" s="3" t="s">
        <v>7090</v>
      </c>
      <c r="D1778" s="3"/>
      <c r="E1778" s="3"/>
      <c r="F1778" s="3" t="s">
        <v>7053</v>
      </c>
      <c r="G1778" s="3" t="s">
        <v>6986</v>
      </c>
      <c r="H1778" s="3" t="s">
        <v>7054</v>
      </c>
      <c r="I1778" s="3" t="s">
        <v>4473</v>
      </c>
      <c r="J1778" s="3">
        <v>0.2</v>
      </c>
      <c r="K1778" s="3" t="s">
        <v>21</v>
      </c>
      <c r="L1778" s="3" t="s">
        <v>7091</v>
      </c>
      <c r="M1778" s="3" t="s">
        <v>7056</v>
      </c>
      <c r="N1778" s="6" t="str">
        <f>HYPERLINK("C:\Users\alexa\YandexDisk\Книги\Нон-фикшн\Изотерика\Монро Роберт. Путешествия вне тела.doc","Монро Роберт. Путешествия вне тела.doc")</f>
        <v>Монро Роберт. Путешествия вне тела.doc</v>
      </c>
      <c r="O1778" s="3" t="s">
        <v>7092</v>
      </c>
    </row>
    <row r="1779" spans="1:15" ht="27.6" x14ac:dyDescent="0.3">
      <c r="A1779" s="4">
        <v>1778</v>
      </c>
      <c r="B1779" s="5" t="s">
        <v>7093</v>
      </c>
      <c r="C1779" s="5" t="s">
        <v>7094</v>
      </c>
      <c r="D1779" s="5"/>
      <c r="E1779" s="5"/>
      <c r="F1779" s="5" t="s">
        <v>7053</v>
      </c>
      <c r="G1779" s="5" t="s">
        <v>6986</v>
      </c>
      <c r="H1779" s="5" t="s">
        <v>7054</v>
      </c>
      <c r="I1779" s="5" t="s">
        <v>519</v>
      </c>
      <c r="J1779" s="5">
        <v>1.93</v>
      </c>
      <c r="K1779" s="5" t="s">
        <v>21</v>
      </c>
      <c r="L1779" s="5" t="s">
        <v>7095</v>
      </c>
      <c r="M1779" s="5" t="s">
        <v>7056</v>
      </c>
      <c r="N1779" s="7" t="str">
        <f>HYPERLINK("C:\Users\alexa\YandexDisk\Книги\Нон-фикшн\Изотерика\Новиков-закажи себе мечту-изотерика.zip","Новиков-закажи себе мечту-изотерика.zip")</f>
        <v>Новиков-закажи себе мечту-изотерика.zip</v>
      </c>
      <c r="O1779" s="5" t="s">
        <v>930</v>
      </c>
    </row>
    <row r="1780" spans="1:15" ht="248.4" x14ac:dyDescent="0.3">
      <c r="A1780" s="2">
        <v>1779</v>
      </c>
      <c r="B1780" s="3" t="s">
        <v>7096</v>
      </c>
      <c r="C1780" s="3" t="s">
        <v>7097</v>
      </c>
      <c r="D1780" s="3" t="s">
        <v>1560</v>
      </c>
      <c r="E1780" s="3" t="s">
        <v>7098</v>
      </c>
      <c r="F1780" s="3" t="s">
        <v>7053</v>
      </c>
      <c r="G1780" s="3" t="s">
        <v>6986</v>
      </c>
      <c r="H1780" s="3" t="s">
        <v>7054</v>
      </c>
      <c r="I1780" s="3" t="s">
        <v>20</v>
      </c>
      <c r="J1780" s="3">
        <v>1.71</v>
      </c>
      <c r="K1780" s="3" t="s">
        <v>21</v>
      </c>
      <c r="L1780" s="3" t="s">
        <v>7099</v>
      </c>
      <c r="M1780" s="3" t="s">
        <v>7056</v>
      </c>
      <c r="N1780" s="6" t="str">
        <f>HYPERLINK("C:\Users\alexa\YandexDisk\Книги\Нон-фикшн\Изотерика\Об интеллекте.pdf","Об интеллекте.pdf")</f>
        <v>Об интеллекте.pdf</v>
      </c>
      <c r="O1780" s="3" t="s">
        <v>7100</v>
      </c>
    </row>
    <row r="1781" spans="1:15" ht="220.8" x14ac:dyDescent="0.3">
      <c r="A1781" s="4">
        <v>1780</v>
      </c>
      <c r="B1781" s="5" t="s">
        <v>7101</v>
      </c>
      <c r="C1781" s="5" t="s">
        <v>7102</v>
      </c>
      <c r="D1781" s="5"/>
      <c r="E1781" s="5"/>
      <c r="F1781" s="5" t="s">
        <v>7053</v>
      </c>
      <c r="G1781" s="5" t="s">
        <v>6986</v>
      </c>
      <c r="H1781" s="5" t="s">
        <v>7054</v>
      </c>
      <c r="I1781" s="5" t="s">
        <v>20</v>
      </c>
      <c r="J1781" s="5">
        <v>0.7</v>
      </c>
      <c r="K1781" s="5" t="s">
        <v>21</v>
      </c>
      <c r="L1781" s="5" t="s">
        <v>7103</v>
      </c>
      <c r="M1781" s="5" t="s">
        <v>7056</v>
      </c>
      <c r="N1781" s="7" t="str">
        <f>HYPERLINK("C:\Users\alexa\YandexDisk\Книги\Нон-фикшн\Изотерика\Роберт Энтони - Уверенность.pdf","Роберт Энтони - Уверенность.pdf")</f>
        <v>Роберт Энтони - Уверенность.pdf</v>
      </c>
      <c r="O1781" s="5" t="s">
        <v>7104</v>
      </c>
    </row>
    <row r="1782" spans="1:15" ht="179.4" x14ac:dyDescent="0.3">
      <c r="A1782" s="2">
        <v>1781</v>
      </c>
      <c r="B1782" s="3" t="s">
        <v>7105</v>
      </c>
      <c r="C1782" s="3" t="s">
        <v>7106</v>
      </c>
      <c r="D1782" s="3" t="s">
        <v>2849</v>
      </c>
      <c r="E1782" s="3" t="s">
        <v>7107</v>
      </c>
      <c r="F1782" s="3" t="s">
        <v>7053</v>
      </c>
      <c r="G1782" s="3" t="s">
        <v>6986</v>
      </c>
      <c r="H1782" s="3" t="s">
        <v>7054</v>
      </c>
      <c r="I1782" s="3" t="s">
        <v>20</v>
      </c>
      <c r="J1782" s="3">
        <v>3.29</v>
      </c>
      <c r="K1782" s="3" t="s">
        <v>21</v>
      </c>
      <c r="L1782" s="3" t="s">
        <v>7108</v>
      </c>
      <c r="M1782" s="3" t="s">
        <v>7056</v>
      </c>
      <c r="N1782" s="6" t="str">
        <f>HYPERLINK("C:\Users\alexa\YandexDisk\Книги\Нон-фикшн\Изотерика\Синдром предков.doc.pdf","Синдром предков.doc.pdf")</f>
        <v>Синдром предков.doc.pdf</v>
      </c>
      <c r="O1782" s="3" t="s">
        <v>7109</v>
      </c>
    </row>
    <row r="1783" spans="1:15" ht="207" x14ac:dyDescent="0.3">
      <c r="A1783" s="4">
        <v>1782</v>
      </c>
      <c r="B1783" s="5" t="s">
        <v>7110</v>
      </c>
      <c r="C1783" s="5" t="s">
        <v>7111</v>
      </c>
      <c r="D1783" s="5"/>
      <c r="E1783" s="5"/>
      <c r="F1783" s="5" t="s">
        <v>7053</v>
      </c>
      <c r="G1783" s="5" t="s">
        <v>6986</v>
      </c>
      <c r="H1783" s="5" t="s">
        <v>7054</v>
      </c>
      <c r="I1783" s="5" t="s">
        <v>20</v>
      </c>
      <c r="J1783" s="5">
        <v>0.51</v>
      </c>
      <c r="K1783" s="5" t="s">
        <v>21</v>
      </c>
      <c r="L1783" s="5" t="s">
        <v>7112</v>
      </c>
      <c r="M1783" s="5" t="s">
        <v>7056</v>
      </c>
      <c r="N1783" s="7" t="str">
        <f>HYPERLINK("C:\Users\alexa\YandexDisk\Книги\Нон-фикшн\Изотерика\Спиральная динамика Грейвза.pdf","Спиральная динамика Грейвза.pdf")</f>
        <v>Спиральная динамика Грейвза.pdf</v>
      </c>
      <c r="O1783" s="5" t="s">
        <v>7113</v>
      </c>
    </row>
    <row r="1784" spans="1:15" ht="124.2" x14ac:dyDescent="0.3">
      <c r="A1784" s="2">
        <v>1783</v>
      </c>
      <c r="B1784" s="3" t="s">
        <v>7114</v>
      </c>
      <c r="C1784" s="3"/>
      <c r="D1784" s="3"/>
      <c r="E1784" s="3"/>
      <c r="F1784" s="3" t="s">
        <v>7053</v>
      </c>
      <c r="G1784" s="3" t="s">
        <v>6986</v>
      </c>
      <c r="H1784" s="3" t="s">
        <v>7054</v>
      </c>
      <c r="I1784" s="3" t="s">
        <v>4473</v>
      </c>
      <c r="J1784" s="3">
        <v>0.4</v>
      </c>
      <c r="K1784" s="3" t="s">
        <v>21</v>
      </c>
      <c r="L1784" s="3" t="s">
        <v>7115</v>
      </c>
      <c r="M1784" s="3" t="s">
        <v>7056</v>
      </c>
      <c r="N1784" s="6" t="str">
        <f>HYPERLINK("C:\Users\alexa\YandexDisk\Книги\Нон-фикшн\Изотерика\Суфистские тексты.doc","Суфистские тексты.doc")</f>
        <v>Суфистские тексты.doc</v>
      </c>
      <c r="O1784" s="3" t="s">
        <v>7116</v>
      </c>
    </row>
    <row r="1785" spans="1:15" ht="110.4" x14ac:dyDescent="0.3">
      <c r="A1785" s="4">
        <v>1784</v>
      </c>
      <c r="B1785" s="5" t="s">
        <v>7117</v>
      </c>
      <c r="C1785" s="5"/>
      <c r="D1785" s="5"/>
      <c r="E1785" s="5"/>
      <c r="F1785" s="5" t="s">
        <v>7053</v>
      </c>
      <c r="G1785" s="5" t="s">
        <v>6986</v>
      </c>
      <c r="H1785" s="5" t="s">
        <v>7054</v>
      </c>
      <c r="I1785" s="5" t="s">
        <v>4473</v>
      </c>
      <c r="J1785" s="5">
        <v>0.35</v>
      </c>
      <c r="K1785" s="5" t="s">
        <v>21</v>
      </c>
      <c r="L1785" s="5" t="s">
        <v>7118</v>
      </c>
      <c r="M1785" s="5" t="s">
        <v>7056</v>
      </c>
      <c r="N1785" s="7" t="str">
        <f>HYPERLINK("C:\Users\alexa\YandexDisk\Книги\Нон-фикшн\Изотерика\Энергопрактики йоги и цигуна.doc","Энергопрактики йоги и цигуна.doc")</f>
        <v>Энергопрактики йоги и цигуна.doc</v>
      </c>
      <c r="O1785" s="5" t="s">
        <v>7119</v>
      </c>
    </row>
    <row r="1786" spans="1:15" ht="220.8" x14ac:dyDescent="0.3">
      <c r="A1786" s="2">
        <v>1785</v>
      </c>
      <c r="B1786" s="3" t="s">
        <v>7120</v>
      </c>
      <c r="C1786" s="3" t="s">
        <v>7121</v>
      </c>
      <c r="D1786" s="3"/>
      <c r="E1786" s="3"/>
      <c r="F1786" s="3" t="s">
        <v>7122</v>
      </c>
      <c r="G1786" s="3" t="s">
        <v>6986</v>
      </c>
      <c r="H1786" s="3" t="s">
        <v>7123</v>
      </c>
      <c r="I1786" s="3" t="s">
        <v>20</v>
      </c>
      <c r="J1786" s="3">
        <v>1.72</v>
      </c>
      <c r="K1786" s="3" t="s">
        <v>21</v>
      </c>
      <c r="L1786" s="3" t="s">
        <v>7124</v>
      </c>
      <c r="M1786" s="3" t="s">
        <v>7125</v>
      </c>
      <c r="N1786" s="6" t="str">
        <f>HYPERLINK("C:\Users\alexa\YandexDisk\Книги\Нон-фикшн\История\frantsuzskoe-zakonodatelstvo-ob-emigrantah-epohi-frantsuzskoy-revolyutsii-xviii-veka.pdf","frantsuzskoe-zakonodatelstvo-ob-emigrantah-epohi-frantsuzskoy-revolyutsii-xviii-veka.pdf")</f>
        <v>frantsuzskoe-zakonodatelstvo-ob-emigrantah-epohi-frantsuzskoy-revolyutsii-xviii-veka.pdf</v>
      </c>
      <c r="O1786" s="3" t="s">
        <v>7126</v>
      </c>
    </row>
    <row r="1787" spans="1:15" ht="179.4" x14ac:dyDescent="0.3">
      <c r="A1787" s="4">
        <v>1786</v>
      </c>
      <c r="B1787" s="5" t="s">
        <v>7127</v>
      </c>
      <c r="C1787" s="5" t="s">
        <v>7128</v>
      </c>
      <c r="D1787" s="5"/>
      <c r="E1787" s="5"/>
      <c r="F1787" s="5" t="s">
        <v>7122</v>
      </c>
      <c r="G1787" s="5" t="s">
        <v>6986</v>
      </c>
      <c r="H1787" s="5" t="s">
        <v>7123</v>
      </c>
      <c r="I1787" s="5" t="s">
        <v>20</v>
      </c>
      <c r="J1787" s="5">
        <v>21.01</v>
      </c>
      <c r="K1787" s="5" t="s">
        <v>21</v>
      </c>
      <c r="L1787" s="5" t="s">
        <v>7129</v>
      </c>
      <c r="M1787" s="5" t="s">
        <v>7125</v>
      </c>
      <c r="N1787" s="7" t="str">
        <f>HYPERLINK("C:\Users\alexa\YandexDisk\Книги\Нон-фикшн\История\Liholat_A_V_Razgrom_nacionalisticheskoj_kontrrevoljucii_na_Ukraine.pdf","Liholat_A_V_Razgrom_nacionalisticheskoj_kontrrevoljucii_na_Ukraine.pdf")</f>
        <v>Liholat_A_V_Razgrom_nacionalisticheskoj_kontrrevoljucii_na_Ukraine.pdf</v>
      </c>
      <c r="O1787" s="5" t="s">
        <v>7130</v>
      </c>
    </row>
    <row r="1788" spans="1:15" ht="207" x14ac:dyDescent="0.3">
      <c r="A1788" s="2">
        <v>1787</v>
      </c>
      <c r="B1788" s="3" t="s">
        <v>7131</v>
      </c>
      <c r="C1788" s="3" t="s">
        <v>7132</v>
      </c>
      <c r="D1788" s="3"/>
      <c r="E1788" s="3"/>
      <c r="F1788" s="3" t="s">
        <v>7122</v>
      </c>
      <c r="G1788" s="3" t="s">
        <v>6986</v>
      </c>
      <c r="H1788" s="3" t="s">
        <v>7123</v>
      </c>
      <c r="I1788" s="3" t="s">
        <v>20</v>
      </c>
      <c r="J1788" s="3">
        <v>3.41</v>
      </c>
      <c r="K1788" s="3" t="s">
        <v>21</v>
      </c>
      <c r="L1788" s="3" t="s">
        <v>7133</v>
      </c>
      <c r="M1788" s="3" t="s">
        <v>7125</v>
      </c>
      <c r="N1788" s="6" t="str">
        <f>HYPERLINK("C:\Users\alexa\YandexDisk\Книги\Нон-фикшн\История\Великий Китайский Файрвол.pdf","Великий Китайский Файрвол.pdf")</f>
        <v>Великий Китайский Файрвол.pdf</v>
      </c>
      <c r="O1788" s="3" t="s">
        <v>7134</v>
      </c>
    </row>
    <row r="1789" spans="1:15" ht="207" x14ac:dyDescent="0.3">
      <c r="A1789" s="4">
        <v>1788</v>
      </c>
      <c r="B1789" s="5" t="s">
        <v>7135</v>
      </c>
      <c r="C1789" s="5"/>
      <c r="D1789" s="5" t="s">
        <v>59</v>
      </c>
      <c r="E1789" s="5" t="s">
        <v>7136</v>
      </c>
      <c r="F1789" s="5" t="s">
        <v>7122</v>
      </c>
      <c r="G1789" s="5" t="s">
        <v>6986</v>
      </c>
      <c r="H1789" s="5" t="s">
        <v>7123</v>
      </c>
      <c r="I1789" s="5" t="s">
        <v>20</v>
      </c>
      <c r="J1789" s="5">
        <v>16.420000000000002</v>
      </c>
      <c r="K1789" s="5" t="s">
        <v>21</v>
      </c>
      <c r="L1789" s="5" t="s">
        <v>7137</v>
      </c>
      <c r="M1789" s="5" t="s">
        <v>7125</v>
      </c>
      <c r="N1789" s="7" t="str">
        <f>HYPERLINK("C:\Users\alexa\YandexDisk\Книги\Нон-фикшн\История\Жупнал_ВКС_16.pdf","Жупнал_ВКС_16.pdf")</f>
        <v>Жупнал_ВКС_16.pdf</v>
      </c>
      <c r="O1789" s="5" t="s">
        <v>7138</v>
      </c>
    </row>
    <row r="1790" spans="1:15" ht="27.6" x14ac:dyDescent="0.3">
      <c r="A1790" s="2">
        <v>1789</v>
      </c>
      <c r="B1790" s="3" t="s">
        <v>7139</v>
      </c>
      <c r="C1790" s="3"/>
      <c r="D1790" s="3"/>
      <c r="E1790" s="3"/>
      <c r="F1790" s="3" t="s">
        <v>7122</v>
      </c>
      <c r="G1790" s="3" t="s">
        <v>6986</v>
      </c>
      <c r="H1790" s="3" t="s">
        <v>7123</v>
      </c>
      <c r="I1790" s="3" t="s">
        <v>1147</v>
      </c>
      <c r="J1790" s="3">
        <v>0.02</v>
      </c>
      <c r="K1790" s="3" t="s">
        <v>21</v>
      </c>
      <c r="L1790" s="3" t="s">
        <v>7140</v>
      </c>
      <c r="M1790" s="3" t="s">
        <v>7125</v>
      </c>
      <c r="N1790" s="6" t="str">
        <f>HYPERLINK("C:\Users\alexa\YandexDisk\Книги\Нон-фикшн\История\Про амеиканцев.docx","Про амеиканцев.docx")</f>
        <v>Про амеиканцев.docx</v>
      </c>
      <c r="O1790" s="3" t="s">
        <v>930</v>
      </c>
    </row>
    <row r="1791" spans="1:15" ht="41.4" x14ac:dyDescent="0.3">
      <c r="A1791" s="4">
        <v>1790</v>
      </c>
      <c r="B1791" s="5" t="s">
        <v>7141</v>
      </c>
      <c r="C1791" s="5" t="s">
        <v>7142</v>
      </c>
      <c r="D1791" s="5" t="s">
        <v>71</v>
      </c>
      <c r="E1791" s="5"/>
      <c r="F1791" s="5" t="s">
        <v>7143</v>
      </c>
      <c r="G1791" s="5" t="s">
        <v>6986</v>
      </c>
      <c r="H1791" s="5" t="s">
        <v>4524</v>
      </c>
      <c r="I1791" s="5" t="s">
        <v>20</v>
      </c>
      <c r="J1791" s="5">
        <v>2.75</v>
      </c>
      <c r="K1791" s="5" t="s">
        <v>21</v>
      </c>
      <c r="L1791" s="5" t="s">
        <v>7144</v>
      </c>
      <c r="M1791" s="5" t="s">
        <v>7145</v>
      </c>
      <c r="N1791" s="7" t="str">
        <f>HYPERLINK("C:\Users\alexa\YandexDisk\Книги\Нон-фикшн\Мозг и мышление\!Kurpatov_A._Mozgibiznes._Fakt_Kartyi_Dlya_Biznesa_.a4.pdf","!Kurpatov_A._Mozgibiznes._Fakt_Kartyi_Dlya_Biznesa_.a4.pdf")</f>
        <v>!Kurpatov_A._Mozgibiznes._Fakt_Kartyi_Dlya_Biznesa_.a4.pdf</v>
      </c>
      <c r="O1791" s="5" t="s">
        <v>930</v>
      </c>
    </row>
    <row r="1792" spans="1:15" ht="179.4" x14ac:dyDescent="0.3">
      <c r="A1792" s="2">
        <v>1791</v>
      </c>
      <c r="B1792" s="3" t="s">
        <v>7146</v>
      </c>
      <c r="C1792" s="3"/>
      <c r="D1792" s="3"/>
      <c r="E1792" s="3"/>
      <c r="F1792" s="3" t="s">
        <v>7143</v>
      </c>
      <c r="G1792" s="3" t="s">
        <v>6986</v>
      </c>
      <c r="H1792" s="3" t="s">
        <v>4524</v>
      </c>
      <c r="I1792" s="3" t="s">
        <v>6740</v>
      </c>
      <c r="J1792" s="3">
        <v>3.85</v>
      </c>
      <c r="K1792" s="3" t="s">
        <v>21</v>
      </c>
      <c r="L1792" s="3" t="s">
        <v>7147</v>
      </c>
      <c r="M1792" s="3" t="s">
        <v>7145</v>
      </c>
      <c r="N1792" s="6" t="str">
        <f>HYPERLINK("C:\Users\alexa\YandexDisk\Книги\Нон-фикшн\Мозг и мышление\Na_odnoy_volne.mobi","Na_odnoy_volne.mobi")</f>
        <v>Na_odnoy_volne.mobi</v>
      </c>
      <c r="O1792" s="3" t="s">
        <v>7148</v>
      </c>
    </row>
    <row r="1793" spans="1:15" ht="207" x14ac:dyDescent="0.3">
      <c r="A1793" s="4">
        <v>1792</v>
      </c>
      <c r="B1793" s="5" t="s">
        <v>7149</v>
      </c>
      <c r="C1793" s="5"/>
      <c r="D1793" s="5"/>
      <c r="E1793" s="5"/>
      <c r="F1793" s="5" t="s">
        <v>7143</v>
      </c>
      <c r="G1793" s="5" t="s">
        <v>6986</v>
      </c>
      <c r="H1793" s="5" t="s">
        <v>4524</v>
      </c>
      <c r="I1793" s="5" t="s">
        <v>20</v>
      </c>
      <c r="J1793" s="5">
        <v>2.0699999999999998</v>
      </c>
      <c r="K1793" s="5" t="s">
        <v>21</v>
      </c>
      <c r="L1793" s="5" t="s">
        <v>7150</v>
      </c>
      <c r="M1793" s="5" t="s">
        <v>7145</v>
      </c>
      <c r="N1793" s="7" t="str">
        <f>HYPERLINK("C:\Users\alexa\YandexDisk\Книги\Нон-фикшн\Мозг и мышление\Гениально.pdf","Гениально.pdf")</f>
        <v>Гениально.pdf</v>
      </c>
      <c r="O1793" s="5" t="s">
        <v>7151</v>
      </c>
    </row>
    <row r="1794" spans="1:15" ht="207" x14ac:dyDescent="0.3">
      <c r="A1794" s="2">
        <v>1793</v>
      </c>
      <c r="B1794" s="3" t="s">
        <v>7152</v>
      </c>
      <c r="C1794" s="3" t="s">
        <v>7153</v>
      </c>
      <c r="D1794" s="3" t="s">
        <v>7052</v>
      </c>
      <c r="E1794" s="3"/>
      <c r="F1794" s="3" t="s">
        <v>7154</v>
      </c>
      <c r="G1794" s="3" t="s">
        <v>6986</v>
      </c>
      <c r="H1794" s="3" t="s">
        <v>7155</v>
      </c>
      <c r="I1794" s="3" t="s">
        <v>6740</v>
      </c>
      <c r="J1794" s="3">
        <v>1.96</v>
      </c>
      <c r="K1794" s="3" t="s">
        <v>21</v>
      </c>
      <c r="L1794" s="3" t="s">
        <v>7156</v>
      </c>
      <c r="M1794" s="3" t="s">
        <v>7157</v>
      </c>
      <c r="N1794" s="6" t="str">
        <f>HYPERLINK("C:\Users\alexa\YandexDisk\Книги\Нон-фикшн\Политика\Pavlovskiy_1993-elementy-sovetskogo-opyta-Razgovory-s-Mihailom-Gefterom.350350.fb2.mobi","Pavlovskiy_1993-elementy-sovetskogo-opyta-Razgovory-s-Mihailom-Gefterom.350350.fb2.mobi")</f>
        <v>Pavlovskiy_1993-elementy-sovetskogo-opyta-Razgovory-s-Mihailom-Gefterom.350350.fb2.mobi</v>
      </c>
      <c r="O1794" s="3" t="s">
        <v>7158</v>
      </c>
    </row>
    <row r="1795" spans="1:15" ht="193.2" x14ac:dyDescent="0.3">
      <c r="A1795" s="4">
        <v>1794</v>
      </c>
      <c r="B1795" s="5" t="s">
        <v>7159</v>
      </c>
      <c r="C1795" s="5" t="s">
        <v>7160</v>
      </c>
      <c r="D1795" s="5"/>
      <c r="E1795" s="5"/>
      <c r="F1795" s="5" t="s">
        <v>7154</v>
      </c>
      <c r="G1795" s="5" t="s">
        <v>6986</v>
      </c>
      <c r="H1795" s="5" t="s">
        <v>7155</v>
      </c>
      <c r="I1795" s="5" t="s">
        <v>6740</v>
      </c>
      <c r="J1795" s="5">
        <v>0.96</v>
      </c>
      <c r="K1795" s="5" t="s">
        <v>21</v>
      </c>
      <c r="L1795" s="5" t="s">
        <v>7161</v>
      </c>
      <c r="M1795" s="5" t="s">
        <v>7157</v>
      </c>
      <c r="N1795" s="7" t="str">
        <f>HYPERLINK("C:\Users\alexa\YandexDisk\Книги\Нон-фикшн\Политика\Pavlovskiy_Genialnaya-vlast-Slovar-abstrakciy-Kremlya.254139.fb2.mobi","Pavlovskiy_Genialnaya-vlast-Slovar-abstrakciy-Kremlya.254139.fb2.mobi")</f>
        <v>Pavlovskiy_Genialnaya-vlast-Slovar-abstrakciy-Kremlya.254139.fb2.mobi</v>
      </c>
      <c r="O1795" s="5" t="s">
        <v>7162</v>
      </c>
    </row>
    <row r="1796" spans="1:15" ht="179.4" x14ac:dyDescent="0.3">
      <c r="A1796" s="2">
        <v>1795</v>
      </c>
      <c r="B1796" s="3" t="s">
        <v>7163</v>
      </c>
      <c r="C1796" s="3" t="s">
        <v>7164</v>
      </c>
      <c r="D1796" s="3"/>
      <c r="E1796" s="3"/>
      <c r="F1796" s="3" t="s">
        <v>7154</v>
      </c>
      <c r="G1796" s="3" t="s">
        <v>6986</v>
      </c>
      <c r="H1796" s="3" t="s">
        <v>7155</v>
      </c>
      <c r="I1796" s="3" t="s">
        <v>6740</v>
      </c>
      <c r="J1796" s="3">
        <v>1.47</v>
      </c>
      <c r="K1796" s="3" t="s">
        <v>21</v>
      </c>
      <c r="L1796" s="3" t="s">
        <v>7165</v>
      </c>
      <c r="M1796" s="3" t="s">
        <v>7157</v>
      </c>
      <c r="N1796" s="6" t="str">
        <f>HYPERLINK("C:\Users\alexa\YandexDisk\Книги\Нон-фикшн\Политика\Proiekt Rossiia. Bol'shaia idie - Iurii Viktorovich Shalyghanov.mobi","Proiekt Rossiia. Bol'shaia idie - Iurii Viktorovich Shalyghanov.mobi")</f>
        <v>Proiekt Rossiia. Bol'shaia idie - Iurii Viktorovich Shalyghanov.mobi</v>
      </c>
      <c r="O1796" s="3" t="s">
        <v>7166</v>
      </c>
    </row>
    <row r="1797" spans="1:15" ht="193.2" x14ac:dyDescent="0.3">
      <c r="A1797" s="4">
        <v>1796</v>
      </c>
      <c r="B1797" s="5" t="s">
        <v>7167</v>
      </c>
      <c r="C1797" s="5" t="s">
        <v>7168</v>
      </c>
      <c r="D1797" s="5"/>
      <c r="E1797" s="5"/>
      <c r="F1797" s="5" t="s">
        <v>7154</v>
      </c>
      <c r="G1797" s="5" t="s">
        <v>6986</v>
      </c>
      <c r="H1797" s="5" t="s">
        <v>7155</v>
      </c>
      <c r="I1797" s="5" t="s">
        <v>20</v>
      </c>
      <c r="J1797" s="5">
        <v>1.33</v>
      </c>
      <c r="K1797" s="5" t="s">
        <v>21</v>
      </c>
      <c r="L1797" s="5" t="s">
        <v>7169</v>
      </c>
      <c r="M1797" s="5" t="s">
        <v>7157</v>
      </c>
      <c r="N1797" s="7" t="str">
        <f>HYPERLINK("C:\Users\alexa\YandexDisk\Книги\Нон-фикшн\Политика\Proiekt Rossiia. Bol'shaia idie - Iurii Viktorovich Shalyghanov.pdf","Proiekt Rossiia. Bol'shaia idie - Iurii Viktorovich Shalyghanov.pdf")</f>
        <v>Proiekt Rossiia. Bol'shaia idie - Iurii Viktorovich Shalyghanov.pdf</v>
      </c>
      <c r="O1797" s="5" t="s">
        <v>7170</v>
      </c>
    </row>
    <row r="1798" spans="1:15" ht="220.8" x14ac:dyDescent="0.3">
      <c r="A1798" s="2">
        <v>1797</v>
      </c>
      <c r="B1798" s="3" t="s">
        <v>7171</v>
      </c>
      <c r="C1798" s="3" t="s">
        <v>7168</v>
      </c>
      <c r="D1798" s="3"/>
      <c r="E1798" s="3"/>
      <c r="F1798" s="3" t="s">
        <v>7154</v>
      </c>
      <c r="G1798" s="3" t="s">
        <v>6986</v>
      </c>
      <c r="H1798" s="3" t="s">
        <v>7155</v>
      </c>
      <c r="I1798" s="3" t="s">
        <v>280</v>
      </c>
      <c r="J1798" s="3">
        <v>1.66</v>
      </c>
      <c r="K1798" s="3" t="s">
        <v>21</v>
      </c>
      <c r="L1798" s="3" t="s">
        <v>7172</v>
      </c>
      <c r="M1798" s="3" t="s">
        <v>7157</v>
      </c>
      <c r="N1798" s="6" t="str">
        <f>HYPERLINK("C:\Users\alexa\YandexDisk\Книги\Нон-фикшн\Политика\Proiekt Rossiia. Polnoie sobran - Iurii Viktorovich Shalyghanov.epub","Proiekt Rossiia. Polnoie sobran - Iurii Viktorovich Shalyghanov.epub")</f>
        <v>Proiekt Rossiia. Polnoie sobran - Iurii Viktorovich Shalyghanov.epub</v>
      </c>
      <c r="O1798" s="3" t="s">
        <v>7173</v>
      </c>
    </row>
    <row r="1799" spans="1:15" ht="179.4" x14ac:dyDescent="0.3">
      <c r="A1799" s="4">
        <v>1798</v>
      </c>
      <c r="B1799" s="5" t="s">
        <v>7174</v>
      </c>
      <c r="C1799" s="5" t="s">
        <v>7164</v>
      </c>
      <c r="D1799" s="5"/>
      <c r="E1799" s="5"/>
      <c r="F1799" s="5" t="s">
        <v>7154</v>
      </c>
      <c r="G1799" s="5" t="s">
        <v>6986</v>
      </c>
      <c r="H1799" s="5" t="s">
        <v>7155</v>
      </c>
      <c r="I1799" s="5" t="s">
        <v>6740</v>
      </c>
      <c r="J1799" s="5">
        <v>6.52</v>
      </c>
      <c r="K1799" s="5" t="s">
        <v>21</v>
      </c>
      <c r="L1799" s="5" t="s">
        <v>7175</v>
      </c>
      <c r="M1799" s="5" t="s">
        <v>7157</v>
      </c>
      <c r="N1799" s="7" t="str">
        <f>HYPERLINK("C:\Users\alexa\YandexDisk\Книги\Нон-фикшн\Политика\Proiekt Rossiia. Polnoie sobran - Iurii Viktorovich Shalyghanov.mobi","Proiekt Rossiia. Polnoie sobran - Iurii Viktorovich Shalyghanov.mobi")</f>
        <v>Proiekt Rossiia. Polnoie sobran - Iurii Viktorovich Shalyghanov.mobi</v>
      </c>
      <c r="O1799" s="5" t="s">
        <v>7176</v>
      </c>
    </row>
    <row r="1800" spans="1:15" ht="262.2" x14ac:dyDescent="0.3">
      <c r="A1800" s="2">
        <v>1799</v>
      </c>
      <c r="B1800" s="3" t="s">
        <v>7171</v>
      </c>
      <c r="C1800" s="3" t="s">
        <v>7168</v>
      </c>
      <c r="D1800" s="3"/>
      <c r="E1800" s="3"/>
      <c r="F1800" s="3" t="s">
        <v>7154</v>
      </c>
      <c r="G1800" s="3" t="s">
        <v>6986</v>
      </c>
      <c r="H1800" s="3" t="s">
        <v>7155</v>
      </c>
      <c r="I1800" s="3" t="s">
        <v>20</v>
      </c>
      <c r="J1800" s="3">
        <v>6.37</v>
      </c>
      <c r="K1800" s="3" t="s">
        <v>21</v>
      </c>
      <c r="L1800" s="3" t="s">
        <v>7177</v>
      </c>
      <c r="M1800" s="3" t="s">
        <v>7157</v>
      </c>
      <c r="N1800" s="6" t="str">
        <f>HYPERLINK("C:\Users\alexa\YandexDisk\Книги\Нон-фикшн\Политика\Proiekt Rossiia. Polnoie sobran - Iurii Viktorovich Shalyghanov.pdf","Proiekt Rossiia. Polnoie sobran - Iurii Viktorovich Shalyghanov.pdf")</f>
        <v>Proiekt Rossiia. Polnoie sobran - Iurii Viktorovich Shalyghanov.pdf</v>
      </c>
      <c r="O1800" s="3" t="s">
        <v>7178</v>
      </c>
    </row>
    <row r="1801" spans="1:15" ht="317.39999999999998" x14ac:dyDescent="0.3">
      <c r="A1801" s="4">
        <v>1800</v>
      </c>
      <c r="B1801" s="5" t="s">
        <v>7179</v>
      </c>
      <c r="C1801" s="5" t="s">
        <v>7180</v>
      </c>
      <c r="D1801" s="5"/>
      <c r="E1801" s="5"/>
      <c r="F1801" s="5" t="s">
        <v>7154</v>
      </c>
      <c r="G1801" s="5" t="s">
        <v>6986</v>
      </c>
      <c r="H1801" s="5" t="s">
        <v>7155</v>
      </c>
      <c r="I1801" s="5" t="s">
        <v>280</v>
      </c>
      <c r="J1801" s="5">
        <v>0.26</v>
      </c>
      <c r="K1801" s="5" t="s">
        <v>21</v>
      </c>
      <c r="L1801" s="5" t="s">
        <v>7181</v>
      </c>
      <c r="M1801" s="5" t="s">
        <v>7157</v>
      </c>
      <c r="N1801" s="7" t="str">
        <f>HYPERLINK("C:\Users\alexa\YandexDisk\Книги\Нон-фикшн\Политика\Sistiema RF v voinie 2014 ghoda - Glieb Olieghovich Pavlovskii.epub","Sistiema RF v voinie 2014 ghoda - Glieb Olieghovich Pavlovskii.epub")</f>
        <v>Sistiema RF v voinie 2014 ghoda - Glieb Olieghovich Pavlovskii.epub</v>
      </c>
      <c r="O1801" s="5" t="s">
        <v>7182</v>
      </c>
    </row>
    <row r="1802" spans="1:15" ht="138" x14ac:dyDescent="0.3">
      <c r="A1802" s="2">
        <v>1801</v>
      </c>
      <c r="B1802" s="3" t="s">
        <v>7183</v>
      </c>
      <c r="C1802" s="3" t="s">
        <v>7184</v>
      </c>
      <c r="D1802" s="3"/>
      <c r="E1802" s="3"/>
      <c r="F1802" s="3" t="s">
        <v>7154</v>
      </c>
      <c r="G1802" s="3" t="s">
        <v>6986</v>
      </c>
      <c r="H1802" s="3" t="s">
        <v>7155</v>
      </c>
      <c r="I1802" s="3" t="s">
        <v>6740</v>
      </c>
      <c r="J1802" s="3">
        <v>0.78</v>
      </c>
      <c r="K1802" s="3" t="s">
        <v>21</v>
      </c>
      <c r="L1802" s="3" t="s">
        <v>7185</v>
      </c>
      <c r="M1802" s="3" t="s">
        <v>7157</v>
      </c>
      <c r="N1802" s="6" t="str">
        <f>HYPERLINK("C:\Users\alexa\YandexDisk\Книги\Нон-фикшн\Политика\Sistiema RF v voinie 2014 ghoda - Glieb Olieghovich Pavlovskii.mobi","Sistiema RF v voinie 2014 ghoda - Glieb Olieghovich Pavlovskii.mobi")</f>
        <v>Sistiema RF v voinie 2014 ghoda - Glieb Olieghovich Pavlovskii.mobi</v>
      </c>
      <c r="O1802" s="3" t="s">
        <v>7186</v>
      </c>
    </row>
    <row r="1803" spans="1:15" ht="248.4" x14ac:dyDescent="0.3">
      <c r="A1803" s="4">
        <v>1802</v>
      </c>
      <c r="B1803" s="5" t="s">
        <v>7179</v>
      </c>
      <c r="C1803" s="5" t="s">
        <v>7180</v>
      </c>
      <c r="D1803" s="5"/>
      <c r="E1803" s="5"/>
      <c r="F1803" s="5" t="s">
        <v>7154</v>
      </c>
      <c r="G1803" s="5" t="s">
        <v>6986</v>
      </c>
      <c r="H1803" s="5" t="s">
        <v>7155</v>
      </c>
      <c r="I1803" s="5" t="s">
        <v>20</v>
      </c>
      <c r="J1803" s="5">
        <v>0.56000000000000005</v>
      </c>
      <c r="K1803" s="5" t="s">
        <v>21</v>
      </c>
      <c r="L1803" s="5" t="s">
        <v>7187</v>
      </c>
      <c r="M1803" s="5" t="s">
        <v>7157</v>
      </c>
      <c r="N1803" s="7" t="str">
        <f>HYPERLINK("C:\Users\alexa\YandexDisk\Книги\Нон-фикшн\Политика\Sistiema RF v voinie 2014 ghoda - Glieb Olieghovich Pavlovskii.pdf","Sistiema RF v voinie 2014 ghoda - Glieb Olieghovich Pavlovskii.pdf")</f>
        <v>Sistiema RF v voinie 2014 ghoda - Glieb Olieghovich Pavlovskii.pdf</v>
      </c>
      <c r="O1803" s="5" t="s">
        <v>7188</v>
      </c>
    </row>
    <row r="1804" spans="1:15" ht="27.6" x14ac:dyDescent="0.3">
      <c r="A1804" s="2">
        <v>1803</v>
      </c>
      <c r="B1804" s="3" t="s">
        <v>7189</v>
      </c>
      <c r="C1804" s="3"/>
      <c r="D1804" s="3"/>
      <c r="E1804" s="3"/>
      <c r="F1804" s="3" t="s">
        <v>7154</v>
      </c>
      <c r="G1804" s="3" t="s">
        <v>6986</v>
      </c>
      <c r="H1804" s="3" t="s">
        <v>7155</v>
      </c>
      <c r="I1804" s="3" t="s">
        <v>519</v>
      </c>
      <c r="J1804" s="3">
        <v>0.21</v>
      </c>
      <c r="K1804" s="3" t="s">
        <v>21</v>
      </c>
      <c r="L1804" s="3" t="s">
        <v>7190</v>
      </c>
      <c r="M1804" s="3" t="s">
        <v>7157</v>
      </c>
      <c r="N1804" s="6" t="str">
        <f>HYPERLINK("C:\Users\alexa\YandexDisk\Книги\Нон-фикшн\Политика\Ельцин.zip","Ельцин.zip")</f>
        <v>Ельцин.zip</v>
      </c>
      <c r="O1804" s="3"/>
    </row>
    <row r="1805" spans="1:15" ht="234.6" x14ac:dyDescent="0.3">
      <c r="A1805" s="4">
        <v>1804</v>
      </c>
      <c r="B1805" s="5" t="s">
        <v>7167</v>
      </c>
      <c r="C1805" s="5" t="s">
        <v>7168</v>
      </c>
      <c r="D1805" s="5"/>
      <c r="E1805" s="5"/>
      <c r="F1805" s="5" t="s">
        <v>7191</v>
      </c>
      <c r="G1805" s="5" t="s">
        <v>6986</v>
      </c>
      <c r="H1805" s="5" t="s">
        <v>7192</v>
      </c>
      <c r="I1805" s="5" t="s">
        <v>280</v>
      </c>
      <c r="J1805" s="5">
        <v>0.4</v>
      </c>
      <c r="K1805" s="5" t="s">
        <v>21</v>
      </c>
      <c r="L1805" s="5" t="s">
        <v>7193</v>
      </c>
      <c r="M1805" s="5" t="s">
        <v>7194</v>
      </c>
      <c r="N1805" s="7" t="str">
        <f>HYPERLINK("C:\Users\alexa\YandexDisk\Книги\Нон-фикшн\Прогнозы\Proiekt Rossiia. Bol'shaia idie - Iurii Viktorovich Shalyghanov.epub","Proiekt Rossiia. Bol'shaia idie - Iurii Viktorovich Shalyghanov.epub")</f>
        <v>Proiekt Rossiia. Bol'shaia idie - Iurii Viktorovich Shalyghanov.epub</v>
      </c>
      <c r="O1805" s="5" t="s">
        <v>7195</v>
      </c>
    </row>
    <row r="1806" spans="1:15" ht="179.4" x14ac:dyDescent="0.3">
      <c r="A1806" s="2">
        <v>1805</v>
      </c>
      <c r="B1806" s="3" t="s">
        <v>7196</v>
      </c>
      <c r="C1806" s="3" t="s">
        <v>7197</v>
      </c>
      <c r="D1806" s="3" t="s">
        <v>71</v>
      </c>
      <c r="E1806" s="3" t="s">
        <v>7198</v>
      </c>
      <c r="F1806" s="3" t="s">
        <v>7199</v>
      </c>
      <c r="G1806" s="3" t="s">
        <v>6986</v>
      </c>
      <c r="H1806" s="3" t="s">
        <v>7200</v>
      </c>
      <c r="I1806" s="3" t="s">
        <v>20</v>
      </c>
      <c r="J1806" s="3">
        <v>26.08</v>
      </c>
      <c r="K1806" s="3" t="s">
        <v>21</v>
      </c>
      <c r="L1806" s="3" t="s">
        <v>7201</v>
      </c>
      <c r="M1806" s="3" t="s">
        <v>7202</v>
      </c>
      <c r="N1806" s="6" t="str">
        <f>HYPERLINK("C:\Users\alexa\YandexDisk\Книги\Нон-фикшн\Психология\!Kurpatov_A._Akademiyasmyisla._Mashina_Myishleniya.a4.pdf","!Kurpatov_A._Akademiyasmyisla._Mashina_Myishleniya.a4.pdf")</f>
        <v>!Kurpatov_A._Akademiyasmyisla._Mashina_Myishleniya.a4.pdf</v>
      </c>
      <c r="O1806" s="3" t="s">
        <v>7203</v>
      </c>
    </row>
    <row r="1807" spans="1:15" ht="138" x14ac:dyDescent="0.3">
      <c r="A1807" s="4">
        <v>1806</v>
      </c>
      <c r="B1807" s="5" t="s">
        <v>7204</v>
      </c>
      <c r="C1807" s="5"/>
      <c r="D1807" s="5"/>
      <c r="E1807" s="5" t="s">
        <v>7205</v>
      </c>
      <c r="F1807" s="5" t="s">
        <v>7199</v>
      </c>
      <c r="G1807" s="5" t="s">
        <v>6986</v>
      </c>
      <c r="H1807" s="5" t="s">
        <v>7200</v>
      </c>
      <c r="I1807" s="5" t="s">
        <v>20</v>
      </c>
      <c r="J1807" s="5">
        <v>0.21</v>
      </c>
      <c r="K1807" s="5" t="s">
        <v>21</v>
      </c>
      <c r="L1807" s="5" t="s">
        <v>7206</v>
      </c>
      <c r="M1807" s="5" t="s">
        <v>7202</v>
      </c>
      <c r="N1807" s="7" t="str">
        <f>HYPERLINK("C:\Users\alexa\YandexDisk\Книги\Нон-фикшн\Психология\12-Steps-to-Happiness-v1.00-Poster-color.pdf","12-Steps-to-Happiness-v1.00-Poster-color.pdf")</f>
        <v>12-Steps-to-Happiness-v1.00-Poster-color.pdf</v>
      </c>
      <c r="O1807" s="5" t="s">
        <v>7207</v>
      </c>
    </row>
    <row r="1808" spans="1:15" ht="207" x14ac:dyDescent="0.3">
      <c r="A1808" s="2">
        <v>1807</v>
      </c>
      <c r="B1808" s="3" t="s">
        <v>7208</v>
      </c>
      <c r="C1808" s="3" t="s">
        <v>7209</v>
      </c>
      <c r="D1808" s="3"/>
      <c r="E1808" s="3"/>
      <c r="F1808" s="3" t="s">
        <v>7199</v>
      </c>
      <c r="G1808" s="3" t="s">
        <v>6986</v>
      </c>
      <c r="H1808" s="3" t="s">
        <v>7200</v>
      </c>
      <c r="I1808" s="3" t="s">
        <v>280</v>
      </c>
      <c r="J1808" s="3">
        <v>0.31</v>
      </c>
      <c r="K1808" s="3" t="s">
        <v>21</v>
      </c>
      <c r="L1808" s="3" t="s">
        <v>7210</v>
      </c>
      <c r="M1808" s="3" t="s">
        <v>7202</v>
      </c>
      <c r="N1808" s="6" t="str">
        <f>HYPERLINK("C:\Users\alexa\YandexDisk\Книги\Нон-фикшн\Психология\Dzheyms_Rozhdennye-vyigryvat.14462.fb2.epub","Dzheyms_Rozhdennye-vyigryvat.14462.fb2.epub")</f>
        <v>Dzheyms_Rozhdennye-vyigryvat.14462.fb2.epub</v>
      </c>
      <c r="O1808" s="3" t="s">
        <v>7211</v>
      </c>
    </row>
    <row r="1809" spans="1:15" ht="193.2" x14ac:dyDescent="0.3">
      <c r="A1809" s="4">
        <v>1808</v>
      </c>
      <c r="B1809" s="5" t="s">
        <v>7212</v>
      </c>
      <c r="C1809" s="5" t="s">
        <v>6783</v>
      </c>
      <c r="D1809" s="5"/>
      <c r="E1809" s="5"/>
      <c r="F1809" s="5" t="s">
        <v>7199</v>
      </c>
      <c r="G1809" s="5" t="s">
        <v>6986</v>
      </c>
      <c r="H1809" s="5" t="s">
        <v>7200</v>
      </c>
      <c r="I1809" s="5" t="s">
        <v>280</v>
      </c>
      <c r="J1809" s="5">
        <v>0.36</v>
      </c>
      <c r="K1809" s="5" t="s">
        <v>21</v>
      </c>
      <c r="L1809" s="5" t="s">
        <v>7213</v>
      </c>
      <c r="M1809" s="5" t="s">
        <v>7202</v>
      </c>
      <c r="N1809" s="7" t="str">
        <f>HYPERLINK("C:\Users\alexa\YandexDisk\Книги\Нон-фикшн\Психология\Karnegi_Kak-perestat-bespokoitsya-i-nachat-zhit.67998.fb2.epub","Karnegi_Kak-perestat-bespokoitsya-i-nachat-zhit.67998.fb2.epub")</f>
        <v>Karnegi_Kak-perestat-bespokoitsya-i-nachat-zhit.67998.fb2.epub</v>
      </c>
      <c r="O1809" s="5" t="s">
        <v>7214</v>
      </c>
    </row>
    <row r="1810" spans="1:15" ht="207" x14ac:dyDescent="0.3">
      <c r="A1810" s="2">
        <v>1809</v>
      </c>
      <c r="B1810" s="3" t="s">
        <v>7215</v>
      </c>
      <c r="C1810" s="3" t="s">
        <v>7216</v>
      </c>
      <c r="D1810" s="3"/>
      <c r="E1810" s="3"/>
      <c r="F1810" s="3" t="s">
        <v>7199</v>
      </c>
      <c r="G1810" s="3" t="s">
        <v>6986</v>
      </c>
      <c r="H1810" s="3" t="s">
        <v>7200</v>
      </c>
      <c r="I1810" s="3" t="s">
        <v>20</v>
      </c>
      <c r="J1810" s="3">
        <v>2.14</v>
      </c>
      <c r="K1810" s="3" t="s">
        <v>21</v>
      </c>
      <c r="L1810" s="3" t="s">
        <v>7217</v>
      </c>
      <c r="M1810" s="3" t="s">
        <v>7202</v>
      </c>
      <c r="N1810" s="6" t="str">
        <f>HYPERLINK("C:\Users\alexa\YandexDisk\Книги\Нон-фикшн\Психология\Kovalev_Psihoterapiya-chelovecheskoy-zhizni_RuLit_Me.pdf","Kovalev_Psihoterapiya-chelovecheskoy-zhizni_RuLit_Me.pdf")</f>
        <v>Kovalev_Psihoterapiya-chelovecheskoy-zhizni_RuLit_Me.pdf</v>
      </c>
      <c r="O1810" s="3" t="s">
        <v>7218</v>
      </c>
    </row>
    <row r="1811" spans="1:15" ht="220.8" x14ac:dyDescent="0.3">
      <c r="A1811" s="4">
        <v>1810</v>
      </c>
      <c r="B1811" s="5" t="s">
        <v>7215</v>
      </c>
      <c r="C1811" s="5" t="s">
        <v>7216</v>
      </c>
      <c r="D1811" s="5"/>
      <c r="E1811" s="5"/>
      <c r="F1811" s="5" t="s">
        <v>7199</v>
      </c>
      <c r="G1811" s="5" t="s">
        <v>6986</v>
      </c>
      <c r="H1811" s="5" t="s">
        <v>7200</v>
      </c>
      <c r="I1811" s="5" t="s">
        <v>280</v>
      </c>
      <c r="J1811" s="5">
        <v>0.77</v>
      </c>
      <c r="K1811" s="5" t="s">
        <v>21</v>
      </c>
      <c r="L1811" s="5" t="s">
        <v>7219</v>
      </c>
      <c r="M1811" s="5" t="s">
        <v>7202</v>
      </c>
      <c r="N1811" s="7" t="str">
        <f>HYPERLINK("C:\Users\alexa\YandexDisk\Книги\Нон-фикшн\Психология\Kovalev_Psihoterapiya-chelovecheskoy-zhizni_RuLit_Me_404699.epub","Kovalev_Psihoterapiya-chelovecheskoy-zhizni_RuLit_Me_404699.epub")</f>
        <v>Kovalev_Psihoterapiya-chelovecheskoy-zhizni_RuLit_Me_404699.epub</v>
      </c>
      <c r="O1811" s="5" t="s">
        <v>7220</v>
      </c>
    </row>
    <row r="1812" spans="1:15" ht="165.6" x14ac:dyDescent="0.3">
      <c r="A1812" s="2">
        <v>1811</v>
      </c>
      <c r="B1812" s="3" t="s">
        <v>7221</v>
      </c>
      <c r="C1812" s="3" t="s">
        <v>7222</v>
      </c>
      <c r="D1812" s="3"/>
      <c r="E1812" s="3"/>
      <c r="F1812" s="3" t="s">
        <v>7199</v>
      </c>
      <c r="G1812" s="3" t="s">
        <v>6986</v>
      </c>
      <c r="H1812" s="3" t="s">
        <v>7200</v>
      </c>
      <c r="I1812" s="3" t="s">
        <v>6740</v>
      </c>
      <c r="J1812" s="3">
        <v>2.59</v>
      </c>
      <c r="K1812" s="3" t="s">
        <v>21</v>
      </c>
      <c r="L1812" s="3" t="s">
        <v>7223</v>
      </c>
      <c r="M1812" s="3" t="s">
        <v>7202</v>
      </c>
      <c r="N1812" s="6" t="str">
        <f>HYPERLINK("C:\Users\alexa\YandexDisk\Книги\Нон-фикшн\Психология\Kovalev_Psihoterapiya-chelovecheskoy-zhizni_RuLit_Me_404699.mobi","Kovalev_Psihoterapiya-chelovecheskoy-zhizni_RuLit_Me_404699.mobi")</f>
        <v>Kovalev_Psihoterapiya-chelovecheskoy-zhizni_RuLit_Me_404699.mobi</v>
      </c>
      <c r="O1812" s="3" t="s">
        <v>7224</v>
      </c>
    </row>
    <row r="1813" spans="1:15" ht="220.8" x14ac:dyDescent="0.3">
      <c r="A1813" s="4">
        <v>1812</v>
      </c>
      <c r="B1813" s="5" t="s">
        <v>7225</v>
      </c>
      <c r="C1813" s="5" t="s">
        <v>7226</v>
      </c>
      <c r="D1813" s="5"/>
      <c r="E1813" s="5"/>
      <c r="F1813" s="5" t="s">
        <v>7199</v>
      </c>
      <c r="G1813" s="5" t="s">
        <v>6986</v>
      </c>
      <c r="H1813" s="5" t="s">
        <v>7200</v>
      </c>
      <c r="I1813" s="5" t="s">
        <v>280</v>
      </c>
      <c r="J1813" s="5">
        <v>43.7</v>
      </c>
      <c r="K1813" s="5" t="s">
        <v>21</v>
      </c>
      <c r="L1813" s="5" t="s">
        <v>7227</v>
      </c>
      <c r="M1813" s="5" t="s">
        <v>7202</v>
      </c>
      <c r="N1813" s="7" t="str">
        <f>HYPERLINK("C:\Users\alexa\YandexDisk\Книги\Нон-фикшн\Психология\Kurpatov_A._Intellektualnyi._Deepfake_Gde_Tyi_Prosnis.ios.epub","Kurpatov_A._Intellektualnyi._Deepfake_Gde_Tyi_Prosnis.ios.epub")</f>
        <v>Kurpatov_A._Intellektualnyi._Deepfake_Gde_Tyi_Prosnis.ios.epub</v>
      </c>
      <c r="O1813" s="5" t="s">
        <v>7228</v>
      </c>
    </row>
    <row r="1814" spans="1:15" ht="207" x14ac:dyDescent="0.3">
      <c r="A1814" s="2">
        <v>1813</v>
      </c>
      <c r="B1814" s="3" t="s">
        <v>7229</v>
      </c>
      <c r="C1814" s="3" t="s">
        <v>7230</v>
      </c>
      <c r="D1814" s="3" t="s">
        <v>335</v>
      </c>
      <c r="E1814" s="3" t="s">
        <v>7231</v>
      </c>
      <c r="F1814" s="3" t="s">
        <v>7199</v>
      </c>
      <c r="G1814" s="3" t="s">
        <v>6986</v>
      </c>
      <c r="H1814" s="3" t="s">
        <v>7200</v>
      </c>
      <c r="I1814" s="3" t="s">
        <v>20</v>
      </c>
      <c r="J1814" s="3">
        <v>0.7</v>
      </c>
      <c r="K1814" s="3" t="s">
        <v>21</v>
      </c>
      <c r="L1814" s="3" t="s">
        <v>7232</v>
      </c>
      <c r="M1814" s="3" t="s">
        <v>7202</v>
      </c>
      <c r="N1814" s="6" t="str">
        <f>HYPERLINK("C:\Users\alexa\YandexDisk\Книги\Нон-фикшн\Психология\Kurpatov_A._Intellektualnyi1._Zaslujennyiyi_Sobesednik_.a4.pdf","Kurpatov_A._Intellektualnyi1._Zaslujennyiyi_Sobesednik_.a4.pdf")</f>
        <v>Kurpatov_A._Intellektualnyi1._Zaslujennyiyi_Sobesednik_.a4.pdf</v>
      </c>
      <c r="O1814" s="3" t="s">
        <v>7233</v>
      </c>
    </row>
    <row r="1815" spans="1:15" ht="220.8" x14ac:dyDescent="0.3">
      <c r="A1815" s="4">
        <v>1814</v>
      </c>
      <c r="B1815" s="5" t="s">
        <v>7229</v>
      </c>
      <c r="C1815" s="5" t="s">
        <v>7230</v>
      </c>
      <c r="D1815" s="5"/>
      <c r="E1815" s="5"/>
      <c r="F1815" s="5" t="s">
        <v>7199</v>
      </c>
      <c r="G1815" s="5" t="s">
        <v>6986</v>
      </c>
      <c r="H1815" s="5" t="s">
        <v>7200</v>
      </c>
      <c r="I1815" s="5" t="s">
        <v>280</v>
      </c>
      <c r="J1815" s="5">
        <v>1.17</v>
      </c>
      <c r="K1815" s="5" t="s">
        <v>21</v>
      </c>
      <c r="L1815" s="5" t="s">
        <v>7234</v>
      </c>
      <c r="M1815" s="5" t="s">
        <v>7202</v>
      </c>
      <c r="N1815" s="7" t="str">
        <f>HYPERLINK("C:\Users\alexa\YandexDisk\Книги\Нон-фикшн\Психология\Kurpatov_A._Intellektualnyi1._Zaslujennyiyi_Sobesednik_.epub","Kurpatov_A._Intellektualnyi1._Zaslujennyiyi_Sobesednik_.epub")</f>
        <v>Kurpatov_A._Intellektualnyi1._Zaslujennyiyi_Sobesednik_.epub</v>
      </c>
      <c r="O1815" s="5" t="s">
        <v>7235</v>
      </c>
    </row>
    <row r="1816" spans="1:15" ht="193.2" x14ac:dyDescent="0.3">
      <c r="A1816" s="2">
        <v>1815</v>
      </c>
      <c r="B1816" s="3" t="s">
        <v>7236</v>
      </c>
      <c r="C1816" s="3" t="s">
        <v>7237</v>
      </c>
      <c r="D1816" s="3"/>
      <c r="E1816" s="3"/>
      <c r="F1816" s="3" t="s">
        <v>7199</v>
      </c>
      <c r="G1816" s="3" t="s">
        <v>6986</v>
      </c>
      <c r="H1816" s="3" t="s">
        <v>7200</v>
      </c>
      <c r="I1816" s="3" t="s">
        <v>20</v>
      </c>
      <c r="J1816" s="3">
        <v>0.26</v>
      </c>
      <c r="K1816" s="3" t="s">
        <v>21</v>
      </c>
      <c r="L1816" s="3" t="s">
        <v>7238</v>
      </c>
      <c r="M1816" s="3" t="s">
        <v>7202</v>
      </c>
      <c r="N1816" s="6" t="str">
        <f>HYPERLINK("C:\Users\alexa\YandexDisk\Книги\Нон-фикшн\Психология\money.pdf","money.pdf")</f>
        <v>money.pdf</v>
      </c>
      <c r="O1816" s="3" t="s">
        <v>7239</v>
      </c>
    </row>
    <row r="1817" spans="1:15" ht="234.6" x14ac:dyDescent="0.3">
      <c r="A1817" s="4">
        <v>1816</v>
      </c>
      <c r="B1817" s="5" t="s">
        <v>7240</v>
      </c>
      <c r="C1817" s="5" t="s">
        <v>7241</v>
      </c>
      <c r="D1817" s="5" t="s">
        <v>50</v>
      </c>
      <c r="E1817" s="5" t="s">
        <v>303</v>
      </c>
      <c r="F1817" s="5" t="s">
        <v>7199</v>
      </c>
      <c r="G1817" s="5" t="s">
        <v>6986</v>
      </c>
      <c r="H1817" s="5" t="s">
        <v>7200</v>
      </c>
      <c r="I1817" s="5" t="s">
        <v>20</v>
      </c>
      <c r="J1817" s="5">
        <v>3.82</v>
      </c>
      <c r="K1817" s="5" t="s">
        <v>21</v>
      </c>
      <c r="L1817" s="5" t="s">
        <v>7242</v>
      </c>
      <c r="M1817" s="5" t="s">
        <v>7202</v>
      </c>
      <c r="N1817" s="7" t="str">
        <f>HYPERLINK("C:\Users\alexa\YandexDisk\Книги\Нон-фикшн\Психология\pochemu_my_oshibaemsya_29-5-17.pdf","pochemu_my_oshibaemsya_29-5-17.pdf")</f>
        <v>pochemu_my_oshibaemsya_29-5-17.pdf</v>
      </c>
      <c r="O1817" s="5" t="s">
        <v>7243</v>
      </c>
    </row>
    <row r="1818" spans="1:15" ht="179.4" x14ac:dyDescent="0.3">
      <c r="A1818" s="2">
        <v>1817</v>
      </c>
      <c r="B1818" s="3" t="s">
        <v>7244</v>
      </c>
      <c r="C1818" s="3" t="s">
        <v>7245</v>
      </c>
      <c r="D1818" s="3" t="s">
        <v>186</v>
      </c>
      <c r="E1818" s="3" t="s">
        <v>7246</v>
      </c>
      <c r="F1818" s="3" t="s">
        <v>7199</v>
      </c>
      <c r="G1818" s="3" t="s">
        <v>6986</v>
      </c>
      <c r="H1818" s="3" t="s">
        <v>7200</v>
      </c>
      <c r="I1818" s="3" t="s">
        <v>20</v>
      </c>
      <c r="J1818" s="3">
        <v>7.22</v>
      </c>
      <c r="K1818" s="3" t="s">
        <v>21</v>
      </c>
      <c r="L1818" s="3" t="s">
        <v>7247</v>
      </c>
      <c r="M1818" s="3" t="s">
        <v>7202</v>
      </c>
      <c r="N1818" s="6" t="str">
        <f>HYPERLINK("C:\Users\alexa\YandexDisk\Книги\Нон-фикшн\Психология\Vestnik1.pdf","Vestnik1.pdf")</f>
        <v>Vestnik1.pdf</v>
      </c>
      <c r="O1818" s="3" t="s">
        <v>7248</v>
      </c>
    </row>
    <row r="1819" spans="1:15" ht="262.2" x14ac:dyDescent="0.3">
      <c r="A1819" s="4">
        <v>1818</v>
      </c>
      <c r="B1819" s="5" t="s">
        <v>7249</v>
      </c>
      <c r="C1819" s="5" t="s">
        <v>7250</v>
      </c>
      <c r="D1819" s="5" t="s">
        <v>17</v>
      </c>
      <c r="E1819" s="5" t="s">
        <v>442</v>
      </c>
      <c r="F1819" s="5" t="s">
        <v>7199</v>
      </c>
      <c r="G1819" s="5" t="s">
        <v>6986</v>
      </c>
      <c r="H1819" s="5" t="s">
        <v>7200</v>
      </c>
      <c r="I1819" s="5" t="s">
        <v>20</v>
      </c>
      <c r="J1819" s="5">
        <v>7.64</v>
      </c>
      <c r="K1819" s="5" t="s">
        <v>21</v>
      </c>
      <c r="L1819" s="5" t="s">
        <v>7251</v>
      </c>
      <c r="M1819" s="5" t="s">
        <v>7202</v>
      </c>
      <c r="N1819" s="7" t="str">
        <f>HYPERLINK("C:\Users\alexa\YandexDisk\Книги\Нон-фикшн\Психология\Дизайн пользовательского опыта.pdf","Дизайн пользовательского опыта.pdf")</f>
        <v>Дизайн пользовательского опыта.pdf</v>
      </c>
      <c r="O1819" s="5" t="s">
        <v>7252</v>
      </c>
    </row>
    <row r="1820" spans="1:15" ht="151.80000000000001" x14ac:dyDescent="0.3">
      <c r="A1820" s="2">
        <v>1819</v>
      </c>
      <c r="B1820" s="3" t="s">
        <v>7253</v>
      </c>
      <c r="C1820" s="3" t="s">
        <v>7254</v>
      </c>
      <c r="D1820" s="3" t="s">
        <v>17</v>
      </c>
      <c r="E1820" s="3" t="s">
        <v>303</v>
      </c>
      <c r="F1820" s="3" t="s">
        <v>7199</v>
      </c>
      <c r="G1820" s="3" t="s">
        <v>6986</v>
      </c>
      <c r="H1820" s="3" t="s">
        <v>7200</v>
      </c>
      <c r="I1820" s="3" t="s">
        <v>20</v>
      </c>
      <c r="J1820" s="3">
        <v>5.97</v>
      </c>
      <c r="K1820" s="3" t="s">
        <v>21</v>
      </c>
      <c r="L1820" s="3" t="s">
        <v>7255</v>
      </c>
      <c r="M1820" s="3" t="s">
        <v>7202</v>
      </c>
      <c r="N1820" s="6" t="str">
        <f>HYPERLINK("C:\Users\alexa\YandexDisk\Книги\Нон-фикшн\Психология\Дизайн_пользовательского_опыта_Как_создать_продукт,_который (2).pdf","Дизайн_пользовательского_опыта_Как_создать_продукт,_который (2).pdf")</f>
        <v>Дизайн_пользовательского_опыта_Как_создать_продукт,_который (2).pdf</v>
      </c>
      <c r="O1820" s="3" t="s">
        <v>7256</v>
      </c>
    </row>
    <row r="1821" spans="1:15" ht="165.6" x14ac:dyDescent="0.3">
      <c r="A1821" s="4">
        <v>1820</v>
      </c>
      <c r="B1821" s="5" t="s">
        <v>7253</v>
      </c>
      <c r="C1821" s="5" t="s">
        <v>7254</v>
      </c>
      <c r="D1821" s="5" t="s">
        <v>17</v>
      </c>
      <c r="E1821" s="5" t="s">
        <v>303</v>
      </c>
      <c r="F1821" s="5" t="s">
        <v>7199</v>
      </c>
      <c r="G1821" s="5" t="s">
        <v>6986</v>
      </c>
      <c r="H1821" s="5" t="s">
        <v>7200</v>
      </c>
      <c r="I1821" s="5" t="s">
        <v>20</v>
      </c>
      <c r="J1821" s="5">
        <v>5.97</v>
      </c>
      <c r="K1821" s="5" t="s">
        <v>21</v>
      </c>
      <c r="L1821" s="5" t="s">
        <v>7257</v>
      </c>
      <c r="M1821" s="5" t="s">
        <v>7202</v>
      </c>
      <c r="N1821" s="7" t="str">
        <f>HYPERLINK("C:\Users\alexa\YandexDisk\Книги\Нон-фикшн\Психология\Дизайн_пользовательского_опыта_Как_создать_продукт,_который.pdf","Дизайн_пользовательского_опыта_Как_создать_продукт,_который.pdf")</f>
        <v>Дизайн_пользовательского_опыта_Как_создать_продукт,_который.pdf</v>
      </c>
      <c r="O1821" s="5" t="s">
        <v>7258</v>
      </c>
    </row>
    <row r="1822" spans="1:15" ht="179.4" x14ac:dyDescent="0.3">
      <c r="A1822" s="2">
        <v>1821</v>
      </c>
      <c r="B1822" s="3" t="s">
        <v>7259</v>
      </c>
      <c r="C1822" s="3" t="s">
        <v>7216</v>
      </c>
      <c r="D1822" s="3"/>
      <c r="E1822" s="3"/>
      <c r="F1822" s="3" t="s">
        <v>7199</v>
      </c>
      <c r="G1822" s="3" t="s">
        <v>6986</v>
      </c>
      <c r="H1822" s="3" t="s">
        <v>7200</v>
      </c>
      <c r="I1822" s="3" t="s">
        <v>20</v>
      </c>
      <c r="J1822" s="3">
        <v>4.3099999999999996</v>
      </c>
      <c r="K1822" s="3" t="s">
        <v>21</v>
      </c>
      <c r="L1822" s="3" t="s">
        <v>7260</v>
      </c>
      <c r="M1822" s="3" t="s">
        <v>7202</v>
      </c>
      <c r="N1822" s="6" t="str">
        <f>HYPERLINK("C:\Users\alexa\YandexDisk\Книги\Нон-фикшн\Психология\как_жить_чтобы_жить_или_основы_экзистенциального_нейропрограммирования.pdf","как_жить_чтобы_жить_или_основы_экзистенциального_нейропрограммирования.pdf")</f>
        <v>как_жить_чтобы_жить_или_основы_экзистенциального_нейропрограммирования.pdf</v>
      </c>
      <c r="O1822" s="3" t="s">
        <v>7261</v>
      </c>
    </row>
    <row r="1823" spans="1:15" ht="179.4" x14ac:dyDescent="0.3">
      <c r="A1823" s="4">
        <v>1822</v>
      </c>
      <c r="B1823" s="5" t="s">
        <v>7262</v>
      </c>
      <c r="C1823" s="5" t="s">
        <v>7263</v>
      </c>
      <c r="D1823" s="5"/>
      <c r="E1823" s="5"/>
      <c r="F1823" s="5" t="s">
        <v>7199</v>
      </c>
      <c r="G1823" s="5" t="s">
        <v>6986</v>
      </c>
      <c r="H1823" s="5" t="s">
        <v>7200</v>
      </c>
      <c r="I1823" s="5" t="s">
        <v>4473</v>
      </c>
      <c r="J1823" s="5">
        <v>1.1299999999999999</v>
      </c>
      <c r="K1823" s="5" t="s">
        <v>21</v>
      </c>
      <c r="L1823" s="5" t="s">
        <v>7264</v>
      </c>
      <c r="M1823" s="5" t="s">
        <v>7202</v>
      </c>
      <c r="N1823" s="7" t="str">
        <f>HYPERLINK("C:\Users\alexa\YandexDisk\Книги\Нон-фикшн\Психология\Ковалев С. В. - Введение в нейротрансформинг или руководство по эффективности и счастливости.doc","Ковалев С. В. - Введение в нейротрансформинг или руководство по эффективности и счастливости.doc")</f>
        <v>Ковалев С. В. - Введение в нейротрансформинг или руководство по эффективности и счастливости.doc</v>
      </c>
      <c r="O1823" s="5" t="s">
        <v>7265</v>
      </c>
    </row>
    <row r="1824" spans="1:15" ht="179.4" x14ac:dyDescent="0.3">
      <c r="A1824" s="2">
        <v>1823</v>
      </c>
      <c r="B1824" s="3" t="s">
        <v>7266</v>
      </c>
      <c r="C1824" s="3" t="s">
        <v>7263</v>
      </c>
      <c r="D1824" s="3"/>
      <c r="E1824" s="3"/>
      <c r="F1824" s="3" t="s">
        <v>7199</v>
      </c>
      <c r="G1824" s="3" t="s">
        <v>6986</v>
      </c>
      <c r="H1824" s="3" t="s">
        <v>7200</v>
      </c>
      <c r="I1824" s="3" t="s">
        <v>4473</v>
      </c>
      <c r="J1824" s="3">
        <v>6.06</v>
      </c>
      <c r="K1824" s="3" t="s">
        <v>21</v>
      </c>
      <c r="L1824" s="3" t="s">
        <v>7267</v>
      </c>
      <c r="M1824" s="3" t="s">
        <v>7202</v>
      </c>
      <c r="N1824" s="6" t="str">
        <f>HYPERLINK("C:\Users\alexa\YandexDisk\Книги\Нон-фикшн\Психология\Ковалев С. В. - Нейропрограммирование успешной судьбы.doc","Ковалев С. В. - Нейропрограммирование успешной судьбы.doc")</f>
        <v>Ковалев С. В. - Нейропрограммирование успешной судьбы.doc</v>
      </c>
      <c r="O1824" s="3" t="s">
        <v>7268</v>
      </c>
    </row>
    <row r="1825" spans="1:15" ht="193.2" x14ac:dyDescent="0.3">
      <c r="A1825" s="4">
        <v>1824</v>
      </c>
      <c r="B1825" s="5" t="s">
        <v>7269</v>
      </c>
      <c r="C1825" s="5" t="s">
        <v>7270</v>
      </c>
      <c r="D1825" s="5" t="s">
        <v>2849</v>
      </c>
      <c r="E1825" s="5" t="s">
        <v>7271</v>
      </c>
      <c r="F1825" s="5" t="s">
        <v>7199</v>
      </c>
      <c r="G1825" s="5" t="s">
        <v>6986</v>
      </c>
      <c r="H1825" s="5" t="s">
        <v>7200</v>
      </c>
      <c r="I1825" s="5" t="s">
        <v>20</v>
      </c>
      <c r="J1825" s="5">
        <v>2.4900000000000002</v>
      </c>
      <c r="K1825" s="5" t="s">
        <v>21</v>
      </c>
      <c r="L1825" s="5" t="s">
        <v>7272</v>
      </c>
      <c r="M1825" s="5" t="s">
        <v>7202</v>
      </c>
      <c r="N1825" s="7" t="str">
        <f>HYPERLINK("C:\Users\alexa\YandexDisk\Книги\Нон-фикшн\Психология\КОВАЛЕВ С.В - ИСЦЕЛЕНИЕ С ПОМОЩЬЮ НЛП..pdf","КОВАЛЕВ С.В - ИСЦЕЛЕНИЕ С ПОМОЩЬЮ НЛП..pdf")</f>
        <v>КОВАЛЕВ С.В - ИСЦЕЛЕНИЕ С ПОМОЩЬЮ НЛП..pdf</v>
      </c>
      <c r="O1825" s="5" t="s">
        <v>7273</v>
      </c>
    </row>
    <row r="1826" spans="1:15" ht="207" x14ac:dyDescent="0.3">
      <c r="A1826" s="2">
        <v>1825</v>
      </c>
      <c r="B1826" s="3" t="s">
        <v>7274</v>
      </c>
      <c r="C1826" s="3" t="s">
        <v>7270</v>
      </c>
      <c r="D1826" s="3"/>
      <c r="E1826" s="3"/>
      <c r="F1826" s="3" t="s">
        <v>7199</v>
      </c>
      <c r="G1826" s="3" t="s">
        <v>6986</v>
      </c>
      <c r="H1826" s="3" t="s">
        <v>7200</v>
      </c>
      <c r="I1826" s="3" t="s">
        <v>4473</v>
      </c>
      <c r="J1826" s="3">
        <v>0.87</v>
      </c>
      <c r="K1826" s="3" t="s">
        <v>21</v>
      </c>
      <c r="L1826" s="3" t="s">
        <v>7275</v>
      </c>
      <c r="M1826" s="3" t="s">
        <v>7202</v>
      </c>
      <c r="N1826" s="6" t="str">
        <f>HYPERLINK("C:\Users\alexa\YandexDisk\Книги\Нон-фикшн\Психология\Ковалев С.В. – Нейротрансформинг. Команда нашего «Я».doc","Ковалев С.В. – Нейротрансформинг. Команда нашего «Я».doc")</f>
        <v>Ковалев С.В. – Нейротрансформинг. Команда нашего «Я».doc</v>
      </c>
      <c r="O1826" s="3" t="s">
        <v>7276</v>
      </c>
    </row>
    <row r="1827" spans="1:15" ht="165.6" x14ac:dyDescent="0.3">
      <c r="A1827" s="4">
        <v>1826</v>
      </c>
      <c r="B1827" s="5" t="s">
        <v>7277</v>
      </c>
      <c r="C1827" s="5" t="s">
        <v>7270</v>
      </c>
      <c r="D1827" s="5"/>
      <c r="E1827" s="5"/>
      <c r="F1827" s="5" t="s">
        <v>7199</v>
      </c>
      <c r="G1827" s="5" t="s">
        <v>6986</v>
      </c>
      <c r="H1827" s="5" t="s">
        <v>7200</v>
      </c>
      <c r="I1827" s="5" t="s">
        <v>4473</v>
      </c>
      <c r="J1827" s="5">
        <v>1.1100000000000001</v>
      </c>
      <c r="K1827" s="5" t="s">
        <v>21</v>
      </c>
      <c r="L1827" s="5" t="s">
        <v>7278</v>
      </c>
      <c r="M1827" s="5" t="s">
        <v>7202</v>
      </c>
      <c r="N1827" s="7" t="str">
        <f>HYPERLINK("C:\Users\alexa\YandexDisk\Книги\Нон-фикшн\Психология\Ковалев С.В. – Нейротрансформинг. Основы самоконсультирования.doc","Ковалев С.В. – Нейротрансформинг. Основы самоконсультирования.doc")</f>
        <v>Ковалев С.В. – Нейротрансформинг. Основы самоконсультирования.doc</v>
      </c>
      <c r="O1827" s="5" t="s">
        <v>7279</v>
      </c>
    </row>
    <row r="1828" spans="1:15" ht="151.80000000000001" x14ac:dyDescent="0.3">
      <c r="A1828" s="2">
        <v>1827</v>
      </c>
      <c r="B1828" s="3" t="s">
        <v>7280</v>
      </c>
      <c r="C1828" s="3" t="s">
        <v>7270</v>
      </c>
      <c r="D1828" s="3"/>
      <c r="E1828" s="3"/>
      <c r="F1828" s="3" t="s">
        <v>7199</v>
      </c>
      <c r="G1828" s="3" t="s">
        <v>6986</v>
      </c>
      <c r="H1828" s="3" t="s">
        <v>7200</v>
      </c>
      <c r="I1828" s="3" t="s">
        <v>4473</v>
      </c>
      <c r="J1828" s="3">
        <v>0.97</v>
      </c>
      <c r="K1828" s="3" t="s">
        <v>21</v>
      </c>
      <c r="L1828" s="3" t="s">
        <v>7281</v>
      </c>
      <c r="M1828" s="3" t="s">
        <v>7202</v>
      </c>
      <c r="N1828" s="6" t="str">
        <f>HYPERLINK("C:\Users\alexa\YandexDisk\Книги\Нон-фикшн\Психология\Ковалев С.В. – Основы нейролингвистического программирования.doc","Ковалев С.В. – Основы нейролингвистического программирования.doc")</f>
        <v>Ковалев С.В. – Основы нейролингвистического программирования.doc</v>
      </c>
      <c r="O1828" s="3" t="s">
        <v>7282</v>
      </c>
    </row>
    <row r="1829" spans="1:15" ht="179.4" x14ac:dyDescent="0.3">
      <c r="A1829" s="4">
        <v>1828</v>
      </c>
      <c r="B1829" s="5" t="s">
        <v>7283</v>
      </c>
      <c r="C1829" s="5" t="s">
        <v>7284</v>
      </c>
      <c r="D1829" s="5"/>
      <c r="E1829" s="5"/>
      <c r="F1829" s="5" t="s">
        <v>7199</v>
      </c>
      <c r="G1829" s="5" t="s">
        <v>6986</v>
      </c>
      <c r="H1829" s="5" t="s">
        <v>7200</v>
      </c>
      <c r="I1829" s="5" t="s">
        <v>4473</v>
      </c>
      <c r="J1829" s="5">
        <v>2.4500000000000002</v>
      </c>
      <c r="K1829" s="5" t="s">
        <v>21</v>
      </c>
      <c r="L1829" s="5" t="s">
        <v>7285</v>
      </c>
      <c r="M1829" s="5" t="s">
        <v>7202</v>
      </c>
      <c r="N1829" s="7" t="str">
        <f>HYPERLINK("C:\Users\alexa\YandexDisk\Книги\Нон-фикшн\Психология\Ковалев Сергей – НЛП человеческого совершенства.doc","Ковалев Сергей – НЛП человеческого совершенства.doc")</f>
        <v>Ковалев Сергей – НЛП человеческого совершенства.doc</v>
      </c>
      <c r="O1829" s="5" t="s">
        <v>7286</v>
      </c>
    </row>
    <row r="1830" spans="1:15" ht="193.2" x14ac:dyDescent="0.3">
      <c r="A1830" s="2">
        <v>1829</v>
      </c>
      <c r="B1830" s="3" t="s">
        <v>7287</v>
      </c>
      <c r="C1830" s="3" t="s">
        <v>7288</v>
      </c>
      <c r="D1830" s="3"/>
      <c r="E1830" s="3"/>
      <c r="F1830" s="3" t="s">
        <v>7199</v>
      </c>
      <c r="G1830" s="3" t="s">
        <v>6986</v>
      </c>
      <c r="H1830" s="3" t="s">
        <v>7200</v>
      </c>
      <c r="I1830" s="3" t="s">
        <v>280</v>
      </c>
      <c r="J1830" s="3">
        <v>0.38</v>
      </c>
      <c r="K1830" s="3" t="s">
        <v>21</v>
      </c>
      <c r="L1830" s="3" t="s">
        <v>7289</v>
      </c>
      <c r="M1830" s="3" t="s">
        <v>7202</v>
      </c>
      <c r="N1830" s="6" t="str">
        <f>HYPERLINK("C:\Users\alexa\YandexDisk\Книги\Нон-фикшн\Психология\Оружие-слово.epub","Оружие-слово.epub")</f>
        <v>Оружие-слово.epub</v>
      </c>
      <c r="O1830" s="3" t="s">
        <v>7290</v>
      </c>
    </row>
    <row r="1831" spans="1:15" ht="193.2" x14ac:dyDescent="0.3">
      <c r="A1831" s="4">
        <v>1830</v>
      </c>
      <c r="B1831" s="5" t="s">
        <v>7208</v>
      </c>
      <c r="C1831" s="5" t="s">
        <v>7209</v>
      </c>
      <c r="D1831" s="5"/>
      <c r="E1831" s="5"/>
      <c r="F1831" s="5" t="s">
        <v>7199</v>
      </c>
      <c r="G1831" s="5" t="s">
        <v>6986</v>
      </c>
      <c r="H1831" s="5" t="s">
        <v>7200</v>
      </c>
      <c r="I1831" s="5" t="s">
        <v>20</v>
      </c>
      <c r="J1831" s="5">
        <v>1.38</v>
      </c>
      <c r="K1831" s="5" t="s">
        <v>21</v>
      </c>
      <c r="L1831" s="5" t="s">
        <v>7291</v>
      </c>
      <c r="M1831" s="5" t="s">
        <v>7202</v>
      </c>
      <c r="N1831" s="7" t="str">
        <f>HYPERLINK("C:\Users\alexa\YandexDisk\Книги\Нон-фикшн\Психология\Рожденные Выигрывать.pdf","Рожденные Выигрывать.pdf")</f>
        <v>Рожденные Выигрывать.pdf</v>
      </c>
      <c r="O1831" s="5" t="s">
        <v>7292</v>
      </c>
    </row>
    <row r="1832" spans="1:15" ht="165.6" x14ac:dyDescent="0.3">
      <c r="A1832" s="2">
        <v>1831</v>
      </c>
      <c r="B1832" s="3" t="s">
        <v>7293</v>
      </c>
      <c r="C1832" s="3" t="s">
        <v>7294</v>
      </c>
      <c r="D1832" s="3" t="s">
        <v>71</v>
      </c>
      <c r="E1832" s="3"/>
      <c r="F1832" s="3" t="s">
        <v>7199</v>
      </c>
      <c r="G1832" s="3" t="s">
        <v>6986</v>
      </c>
      <c r="H1832" s="3" t="s">
        <v>7200</v>
      </c>
      <c r="I1832" s="3" t="s">
        <v>20</v>
      </c>
      <c r="J1832" s="3">
        <v>6.89</v>
      </c>
      <c r="K1832" s="3" t="s">
        <v>21</v>
      </c>
      <c r="L1832" s="3" t="s">
        <v>7295</v>
      </c>
      <c r="M1832" s="3" t="s">
        <v>7202</v>
      </c>
      <c r="N1832" s="6" t="str">
        <f>HYPERLINK("C:\Users\alexa\YandexDisk\Книги\Нон-фикшн\Психология\Семь с половиной уроков о мозге-2022).pdf","Семь с половиной уроков о мозге-2022).pdf")</f>
        <v>Семь с половиной уроков о мозге-2022).pdf</v>
      </c>
      <c r="O1832" s="3" t="s">
        <v>7296</v>
      </c>
    </row>
    <row r="1833" spans="1:15" ht="234.6" x14ac:dyDescent="0.3">
      <c r="A1833" s="4">
        <v>1832</v>
      </c>
      <c r="B1833" s="5" t="s">
        <v>7297</v>
      </c>
      <c r="C1833" s="5" t="s">
        <v>7298</v>
      </c>
      <c r="D1833" s="5"/>
      <c r="E1833" s="5"/>
      <c r="F1833" s="5" t="s">
        <v>7199</v>
      </c>
      <c r="G1833" s="5" t="s">
        <v>6986</v>
      </c>
      <c r="H1833" s="5" t="s">
        <v>7200</v>
      </c>
      <c r="I1833" s="5" t="s">
        <v>280</v>
      </c>
      <c r="J1833" s="5">
        <v>0.62</v>
      </c>
      <c r="K1833" s="5" t="s">
        <v>21</v>
      </c>
      <c r="L1833" s="5" t="s">
        <v>7299</v>
      </c>
      <c r="M1833" s="5" t="s">
        <v>7202</v>
      </c>
      <c r="N1833" s="7" t="str">
        <f>HYPERLINK("C:\Users\alexa\YandexDisk\Книги\Нон-фикшн\Психология\Черепанова-Язык творческого бессознательного.epub","Черепанова-Язык творческого бессознательного.epub")</f>
        <v>Черепанова-Язык творческого бессознательного.epub</v>
      </c>
      <c r="O1833" s="5" t="s">
        <v>7300</v>
      </c>
    </row>
    <row r="1834" spans="1:15" ht="248.4" x14ac:dyDescent="0.3">
      <c r="A1834" s="2">
        <v>1833</v>
      </c>
      <c r="B1834" s="3" t="s">
        <v>7301</v>
      </c>
      <c r="C1834" s="3" t="s">
        <v>7302</v>
      </c>
      <c r="D1834" s="3"/>
      <c r="E1834" s="3"/>
      <c r="F1834" s="3" t="s">
        <v>7303</v>
      </c>
      <c r="G1834" s="3" t="s">
        <v>6986</v>
      </c>
      <c r="H1834" s="3" t="s">
        <v>7304</v>
      </c>
      <c r="I1834" s="3" t="s">
        <v>20</v>
      </c>
      <c r="J1834" s="3">
        <v>0.54</v>
      </c>
      <c r="K1834" s="3" t="s">
        <v>21</v>
      </c>
      <c r="L1834" s="3" t="s">
        <v>7305</v>
      </c>
      <c r="M1834" s="3" t="s">
        <v>7306</v>
      </c>
      <c r="N1834" s="6" t="str">
        <f>HYPERLINK("C:\Users\alexa\YandexDisk\Книги\Нон-фикшн\Саморазвитие\4000 недель.pdf","4000 недель.pdf")</f>
        <v>4000 недель.pdf</v>
      </c>
      <c r="O1834" s="3" t="s">
        <v>7307</v>
      </c>
    </row>
    <row r="1835" spans="1:15" ht="193.2" x14ac:dyDescent="0.3">
      <c r="A1835" s="4">
        <v>1834</v>
      </c>
      <c r="B1835" s="5" t="s">
        <v>7308</v>
      </c>
      <c r="C1835" s="5" t="s">
        <v>7309</v>
      </c>
      <c r="D1835" s="5" t="s">
        <v>27</v>
      </c>
      <c r="E1835" s="5" t="s">
        <v>7310</v>
      </c>
      <c r="F1835" s="5" t="s">
        <v>7303</v>
      </c>
      <c r="G1835" s="5" t="s">
        <v>6986</v>
      </c>
      <c r="H1835" s="5" t="s">
        <v>7304</v>
      </c>
      <c r="I1835" s="5" t="s">
        <v>20</v>
      </c>
      <c r="J1835" s="5">
        <v>4.8499999999999996</v>
      </c>
      <c r="K1835" s="5" t="s">
        <v>21</v>
      </c>
      <c r="L1835" s="5" t="s">
        <v>7311</v>
      </c>
      <c r="M1835" s="5" t="s">
        <v>7306</v>
      </c>
      <c r="N1835" s="7" t="str">
        <f>HYPERLINK("C:\Users\alexa\YandexDisk\Книги\Нон-фикшн\Саморазвитие\Advance-учись учится.pdf","Advance-учись учится.pdf")</f>
        <v>Advance-учись учится.pdf</v>
      </c>
      <c r="O1835" s="5" t="s">
        <v>7312</v>
      </c>
    </row>
    <row r="1836" spans="1:15" ht="151.80000000000001" x14ac:dyDescent="0.3">
      <c r="A1836" s="2">
        <v>1835</v>
      </c>
      <c r="B1836" s="3" t="s">
        <v>7313</v>
      </c>
      <c r="C1836" s="3" t="s">
        <v>7314</v>
      </c>
      <c r="D1836" s="3" t="s">
        <v>50</v>
      </c>
      <c r="E1836" s="3" t="s">
        <v>7315</v>
      </c>
      <c r="F1836" s="3" t="s">
        <v>7303</v>
      </c>
      <c r="G1836" s="3" t="s">
        <v>6986</v>
      </c>
      <c r="H1836" s="3" t="s">
        <v>7304</v>
      </c>
      <c r="I1836" s="3" t="s">
        <v>20</v>
      </c>
      <c r="J1836" s="3">
        <v>3.08</v>
      </c>
      <c r="K1836" s="3" t="s">
        <v>21</v>
      </c>
      <c r="L1836" s="3" t="s">
        <v>7316</v>
      </c>
      <c r="M1836" s="3" t="s">
        <v>7306</v>
      </c>
      <c r="N1836" s="6" t="str">
        <f>HYPERLINK("C:\Users\alexa\YandexDisk\Книги\Нон-фикшн\Саморазвитие\bioxaking-mozga.pdf","bioxaking-mozga.pdf")</f>
        <v>bioxaking-mozga.pdf</v>
      </c>
      <c r="O1836" s="3" t="s">
        <v>7317</v>
      </c>
    </row>
    <row r="1837" spans="1:15" ht="220.8" x14ac:dyDescent="0.3">
      <c r="A1837" s="4">
        <v>1836</v>
      </c>
      <c r="B1837" s="5" t="s">
        <v>7318</v>
      </c>
      <c r="C1837" s="5" t="s">
        <v>7319</v>
      </c>
      <c r="D1837" s="5" t="s">
        <v>77</v>
      </c>
      <c r="E1837" s="5" t="s">
        <v>7320</v>
      </c>
      <c r="F1837" s="5" t="s">
        <v>7303</v>
      </c>
      <c r="G1837" s="5" t="s">
        <v>6986</v>
      </c>
      <c r="H1837" s="5" t="s">
        <v>7304</v>
      </c>
      <c r="I1837" s="5" t="s">
        <v>20</v>
      </c>
      <c r="J1837" s="5">
        <v>3.93</v>
      </c>
      <c r="K1837" s="5" t="s">
        <v>21</v>
      </c>
      <c r="L1837" s="5" t="s">
        <v>7321</v>
      </c>
      <c r="M1837" s="5" t="s">
        <v>7306</v>
      </c>
      <c r="N1837" s="7" t="str">
        <f>HYPERLINK("C:\Users\alexa\YandexDisk\Книги\Нон-фикшн\Саморазвитие\czifrovoj-minimalizm.pdf","czifrovoj-minimalizm.pdf")</f>
        <v>czifrovoj-minimalizm.pdf</v>
      </c>
      <c r="O1837" s="5" t="s">
        <v>7322</v>
      </c>
    </row>
    <row r="1838" spans="1:15" ht="207" x14ac:dyDescent="0.3">
      <c r="A1838" s="2">
        <v>1837</v>
      </c>
      <c r="B1838" s="3" t="s">
        <v>7323</v>
      </c>
      <c r="C1838" s="3" t="s">
        <v>7324</v>
      </c>
      <c r="D1838" s="3" t="s">
        <v>32</v>
      </c>
      <c r="E1838" s="3" t="s">
        <v>303</v>
      </c>
      <c r="F1838" s="3" t="s">
        <v>7303</v>
      </c>
      <c r="G1838" s="3" t="s">
        <v>6986</v>
      </c>
      <c r="H1838" s="3" t="s">
        <v>7304</v>
      </c>
      <c r="I1838" s="3" t="s">
        <v>20</v>
      </c>
      <c r="J1838" s="3">
        <v>49.38</v>
      </c>
      <c r="K1838" s="3" t="s">
        <v>21</v>
      </c>
      <c r="L1838" s="3" t="s">
        <v>7325</v>
      </c>
      <c r="M1838" s="3" t="s">
        <v>7306</v>
      </c>
      <c r="N1838" s="6" t="str">
        <f>HYPERLINK("C:\Users\alexa\YandexDisk\Книги\Нон-фикшн\Саморазвитие\dorozhnaya-karta.pdf","dorozhnaya-karta.pdf")</f>
        <v>dorozhnaya-karta.pdf</v>
      </c>
      <c r="O1838" s="3" t="s">
        <v>7326</v>
      </c>
    </row>
    <row r="1839" spans="1:15" ht="138" x14ac:dyDescent="0.3">
      <c r="A1839" s="4">
        <v>1838</v>
      </c>
      <c r="B1839" s="5" t="s">
        <v>7327</v>
      </c>
      <c r="C1839" s="5" t="s">
        <v>7328</v>
      </c>
      <c r="D1839" s="5"/>
      <c r="E1839" s="5"/>
      <c r="F1839" s="5" t="s">
        <v>7303</v>
      </c>
      <c r="G1839" s="5" t="s">
        <v>6986</v>
      </c>
      <c r="H1839" s="5" t="s">
        <v>7304</v>
      </c>
      <c r="I1839" s="5" t="s">
        <v>6740</v>
      </c>
      <c r="J1839" s="5">
        <v>1.34</v>
      </c>
      <c r="K1839" s="5" t="s">
        <v>21</v>
      </c>
      <c r="L1839" s="5" t="s">
        <v>7329</v>
      </c>
      <c r="M1839" s="5" t="s">
        <v>7306</v>
      </c>
      <c r="N1839" s="7" t="str">
        <f>HYPERLINK("C:\Users\alexa\YandexDisk\Книги\Нон-фикшн\Саморазвитие\Dzheyms_Rozhdennye-vyigryvat.14462.fb2.mobi","Dzheyms_Rozhdennye-vyigryvat.14462.fb2.mobi")</f>
        <v>Dzheyms_Rozhdennye-vyigryvat.14462.fb2.mobi</v>
      </c>
      <c r="O1839" s="5" t="s">
        <v>7330</v>
      </c>
    </row>
    <row r="1840" spans="1:15" ht="151.80000000000001" x14ac:dyDescent="0.3">
      <c r="A1840" s="2">
        <v>1839</v>
      </c>
      <c r="B1840" s="3" t="s">
        <v>7331</v>
      </c>
      <c r="C1840" s="3" t="s">
        <v>7332</v>
      </c>
      <c r="D1840" s="3" t="s">
        <v>172</v>
      </c>
      <c r="E1840" s="3" t="s">
        <v>7333</v>
      </c>
      <c r="F1840" s="3" t="s">
        <v>7303</v>
      </c>
      <c r="G1840" s="3" t="s">
        <v>6986</v>
      </c>
      <c r="H1840" s="3" t="s">
        <v>7304</v>
      </c>
      <c r="I1840" s="3" t="s">
        <v>2787</v>
      </c>
      <c r="J1840" s="3">
        <v>0.45</v>
      </c>
      <c r="K1840" s="3" t="s">
        <v>21</v>
      </c>
      <c r="L1840" s="3" t="s">
        <v>7334</v>
      </c>
      <c r="M1840" s="3" t="s">
        <v>7306</v>
      </c>
      <c r="N1840" s="6" t="str">
        <f>HYPERLINK("C:\Users\alexa\YandexDisk\Книги\Нон-фикшн\Саморазвитие\Dzho VITIeIL - Dima.fb2","Dzho VITIeIL - Dima.fb2")</f>
        <v>Dzho VITIeIL - Dima.fb2</v>
      </c>
      <c r="O1840" s="3" t="s">
        <v>7335</v>
      </c>
    </row>
    <row r="1841" spans="1:15" ht="193.2" x14ac:dyDescent="0.3">
      <c r="A1841" s="4">
        <v>1840</v>
      </c>
      <c r="B1841" s="5" t="s">
        <v>7336</v>
      </c>
      <c r="C1841" s="5" t="s">
        <v>7337</v>
      </c>
      <c r="D1841" s="5"/>
      <c r="E1841" s="5" t="s">
        <v>303</v>
      </c>
      <c r="F1841" s="5" t="s">
        <v>7303</v>
      </c>
      <c r="G1841" s="5" t="s">
        <v>6986</v>
      </c>
      <c r="H1841" s="5" t="s">
        <v>7304</v>
      </c>
      <c r="I1841" s="5" t="s">
        <v>280</v>
      </c>
      <c r="J1841" s="5">
        <v>1.91</v>
      </c>
      <c r="K1841" s="5" t="s">
        <v>21</v>
      </c>
      <c r="L1841" s="5" t="s">
        <v>7338</v>
      </c>
      <c r="M1841" s="5" t="s">
        <v>7306</v>
      </c>
      <c r="N1841" s="7" t="str">
        <f>HYPERLINK("C:\Users\alexa\YandexDisk\Книги\Нон-фикшн\Саморазвитие\emotionalintelligence20.epub","emotionalintelligence20.epub")</f>
        <v>emotionalintelligence20.epub</v>
      </c>
      <c r="O1841" s="5" t="s">
        <v>7339</v>
      </c>
    </row>
    <row r="1842" spans="1:15" ht="207" x14ac:dyDescent="0.3">
      <c r="A1842" s="2">
        <v>1841</v>
      </c>
      <c r="B1842" s="3" t="s">
        <v>7340</v>
      </c>
      <c r="C1842" s="3" t="s">
        <v>7341</v>
      </c>
      <c r="D1842" s="3" t="s">
        <v>50</v>
      </c>
      <c r="E1842" s="3" t="s">
        <v>303</v>
      </c>
      <c r="F1842" s="3" t="s">
        <v>7303</v>
      </c>
      <c r="G1842" s="3" t="s">
        <v>6986</v>
      </c>
      <c r="H1842" s="3" t="s">
        <v>7304</v>
      </c>
      <c r="I1842" s="3" t="s">
        <v>20</v>
      </c>
      <c r="J1842" s="3">
        <v>1.97</v>
      </c>
      <c r="K1842" s="3" t="s">
        <v>21</v>
      </c>
      <c r="L1842" s="3" t="s">
        <v>7342</v>
      </c>
      <c r="M1842" s="3" t="s">
        <v>7306</v>
      </c>
      <c r="N1842" s="6" t="str">
        <f>HYPERLINK("C:\Users\alexa\YandexDisk\Книги\Нон-фикшн\Саморазвитие\emotionalintelligence20.pdf","emotionalintelligence20.pdf")</f>
        <v>emotionalintelligence20.pdf</v>
      </c>
      <c r="O1842" s="3" t="s">
        <v>7343</v>
      </c>
    </row>
    <row r="1843" spans="1:15" ht="165.6" x14ac:dyDescent="0.3">
      <c r="A1843" s="4">
        <v>1842</v>
      </c>
      <c r="B1843" s="5" t="s">
        <v>7344</v>
      </c>
      <c r="C1843" s="5" t="s">
        <v>7345</v>
      </c>
      <c r="D1843" s="5"/>
      <c r="E1843" s="5"/>
      <c r="F1843" s="5" t="s">
        <v>7303</v>
      </c>
      <c r="G1843" s="5" t="s">
        <v>6986</v>
      </c>
      <c r="H1843" s="5" t="s">
        <v>7304</v>
      </c>
      <c r="I1843" s="5" t="s">
        <v>280</v>
      </c>
      <c r="J1843" s="5">
        <v>0.5</v>
      </c>
      <c r="K1843" s="5" t="s">
        <v>21</v>
      </c>
      <c r="L1843" s="5" t="s">
        <v>7346</v>
      </c>
      <c r="M1843" s="5" t="s">
        <v>7306</v>
      </c>
      <c r="N1843" s="7" t="str">
        <f>HYPERLINK("C:\Users\alexa\YandexDisk\Книги\Нон-фикшн\Саморазвитие\Kak priviesti diela v poriadok_ iskusstv - Devid Allien.epub","Kak priviesti diela v poriadok_ iskusstv - Devid Allien.epub")</f>
        <v>Kak priviesti diela v poriadok_ iskusstv - Devid Allien.epub</v>
      </c>
      <c r="O1843" s="5" t="s">
        <v>7347</v>
      </c>
    </row>
    <row r="1844" spans="1:15" ht="207" x14ac:dyDescent="0.3">
      <c r="A1844" s="2">
        <v>1843</v>
      </c>
      <c r="B1844" s="3" t="s">
        <v>7348</v>
      </c>
      <c r="C1844" s="3" t="s">
        <v>7349</v>
      </c>
      <c r="D1844" s="3"/>
      <c r="E1844" s="3"/>
      <c r="F1844" s="3" t="s">
        <v>7303</v>
      </c>
      <c r="G1844" s="3" t="s">
        <v>6986</v>
      </c>
      <c r="H1844" s="3" t="s">
        <v>7304</v>
      </c>
      <c r="I1844" s="3" t="s">
        <v>6740</v>
      </c>
      <c r="J1844" s="3">
        <v>0.83</v>
      </c>
      <c r="K1844" s="3" t="s">
        <v>21</v>
      </c>
      <c r="L1844" s="3" t="s">
        <v>7350</v>
      </c>
      <c r="M1844" s="3" t="s">
        <v>7306</v>
      </c>
      <c r="N1844" s="6" t="str">
        <f>HYPERLINK("C:\Users\alexa\YandexDisk\Книги\Нон-фикшн\Саморазвитие\Kak priviesti diela v poriadok_ iskusstv - Devid Allien.mobi","Kak priviesti diela v poriadok_ iskusstv - Devid Allien.mobi")</f>
        <v>Kak priviesti diela v poriadok_ iskusstv - Devid Allien.mobi</v>
      </c>
      <c r="O1844" s="3" t="s">
        <v>7351</v>
      </c>
    </row>
    <row r="1845" spans="1:15" ht="179.4" x14ac:dyDescent="0.3">
      <c r="A1845" s="4">
        <v>1844</v>
      </c>
      <c r="B1845" s="5" t="s">
        <v>7352</v>
      </c>
      <c r="C1845" s="5" t="s">
        <v>7353</v>
      </c>
      <c r="D1845" s="5" t="s">
        <v>77</v>
      </c>
      <c r="E1845" s="5" t="s">
        <v>303</v>
      </c>
      <c r="F1845" s="5" t="s">
        <v>7303</v>
      </c>
      <c r="G1845" s="5" t="s">
        <v>6986</v>
      </c>
      <c r="H1845" s="5" t="s">
        <v>7304</v>
      </c>
      <c r="I1845" s="5" t="s">
        <v>280</v>
      </c>
      <c r="J1845" s="5">
        <v>2.38</v>
      </c>
      <c r="K1845" s="5" t="s">
        <v>21</v>
      </c>
      <c r="L1845" s="5" t="s">
        <v>7354</v>
      </c>
      <c r="M1845" s="5" t="s">
        <v>7306</v>
      </c>
      <c r="N1845" s="7" t="str">
        <f>HYPERLINK("C:\Users\alexa\YandexDisk\Книги\Нон-фикшн\Саморазвитие\kak-chitat-knigi-pereizdanie.epub","kak-chitat-knigi-pereizdanie.epub")</f>
        <v>kak-chitat-knigi-pereizdanie.epub</v>
      </c>
      <c r="O1845" s="5" t="s">
        <v>7355</v>
      </c>
    </row>
    <row r="1846" spans="1:15" ht="207" x14ac:dyDescent="0.3">
      <c r="A1846" s="2">
        <v>1845</v>
      </c>
      <c r="B1846" s="3" t="s">
        <v>7356</v>
      </c>
      <c r="C1846" s="3" t="s">
        <v>7353</v>
      </c>
      <c r="D1846" s="3" t="s">
        <v>77</v>
      </c>
      <c r="E1846" s="3" t="s">
        <v>303</v>
      </c>
      <c r="F1846" s="3" t="s">
        <v>7303</v>
      </c>
      <c r="G1846" s="3" t="s">
        <v>6986</v>
      </c>
      <c r="H1846" s="3" t="s">
        <v>7304</v>
      </c>
      <c r="I1846" s="3" t="s">
        <v>20</v>
      </c>
      <c r="J1846" s="3">
        <v>5.26</v>
      </c>
      <c r="K1846" s="3" t="s">
        <v>21</v>
      </c>
      <c r="L1846" s="3" t="s">
        <v>7357</v>
      </c>
      <c r="M1846" s="3" t="s">
        <v>7306</v>
      </c>
      <c r="N1846" s="6" t="str">
        <f>HYPERLINK("C:\Users\alexa\YandexDisk\Книги\Нон-фикшн\Саморазвитие\kak-chitat-knigi-pereizdanie.pdf","kak-chitat-knigi-pereizdanie.pdf")</f>
        <v>kak-chitat-knigi-pereizdanie.pdf</v>
      </c>
      <c r="O1846" s="3" t="s">
        <v>7358</v>
      </c>
    </row>
    <row r="1847" spans="1:15" ht="193.2" x14ac:dyDescent="0.3">
      <c r="A1847" s="4">
        <v>1846</v>
      </c>
      <c r="B1847" s="5" t="s">
        <v>7359</v>
      </c>
      <c r="C1847" s="5" t="s">
        <v>7360</v>
      </c>
      <c r="D1847" s="5" t="s">
        <v>32</v>
      </c>
      <c r="E1847" s="5" t="s">
        <v>303</v>
      </c>
      <c r="F1847" s="5" t="s">
        <v>7303</v>
      </c>
      <c r="G1847" s="5" t="s">
        <v>6986</v>
      </c>
      <c r="H1847" s="5" t="s">
        <v>7304</v>
      </c>
      <c r="I1847" s="5" t="s">
        <v>20</v>
      </c>
      <c r="J1847" s="5">
        <v>0.72</v>
      </c>
      <c r="K1847" s="5" t="s">
        <v>21</v>
      </c>
      <c r="L1847" s="5" t="s">
        <v>7361</v>
      </c>
      <c r="M1847" s="5" t="s">
        <v>7306</v>
      </c>
      <c r="N1847" s="7" t="str">
        <f>HYPERLINK("C:\Users\alexa\YandexDisk\Книги\Нон-фикшн\Саморазвитие\kak-iskusstvo-mozhet-sdelat-vas-schastlivee1.pdf","kak-iskusstvo-mozhet-sdelat-vas-schastlivee1.pdf")</f>
        <v>kak-iskusstvo-mozhet-sdelat-vas-schastlivee1.pdf</v>
      </c>
      <c r="O1847" s="5" t="s">
        <v>7362</v>
      </c>
    </row>
    <row r="1848" spans="1:15" ht="41.4" x14ac:dyDescent="0.3">
      <c r="A1848" s="2">
        <v>1847</v>
      </c>
      <c r="B1848" s="3" t="s">
        <v>7363</v>
      </c>
      <c r="C1848" s="3"/>
      <c r="D1848" s="3"/>
      <c r="E1848" s="3"/>
      <c r="F1848" s="3" t="s">
        <v>7303</v>
      </c>
      <c r="G1848" s="3" t="s">
        <v>6986</v>
      </c>
      <c r="H1848" s="3" t="s">
        <v>7304</v>
      </c>
      <c r="I1848" s="3" t="s">
        <v>519</v>
      </c>
      <c r="J1848" s="3">
        <v>1026.72</v>
      </c>
      <c r="K1848" s="3" t="s">
        <v>21</v>
      </c>
      <c r="L1848" s="3" t="s">
        <v>7364</v>
      </c>
      <c r="M1848" s="3" t="s">
        <v>7306</v>
      </c>
      <c r="N1848" s="6" t="str">
        <f>HYPERLINK("C:\Users\alexa\YandexDisk\Книги\Нон-фикшн\Саморазвитие\kak-menyatsya.zip","kak-menyatsya.zip")</f>
        <v>kak-menyatsya.zip</v>
      </c>
      <c r="O1848" s="3" t="s">
        <v>7365</v>
      </c>
    </row>
    <row r="1849" spans="1:15" ht="165.6" x14ac:dyDescent="0.3">
      <c r="A1849" s="4">
        <v>1848</v>
      </c>
      <c r="B1849" s="5" t="s">
        <v>7366</v>
      </c>
      <c r="C1849" s="5" t="s">
        <v>6779</v>
      </c>
      <c r="D1849" s="5" t="s">
        <v>7367</v>
      </c>
      <c r="E1849" s="5" t="s">
        <v>7368</v>
      </c>
      <c r="F1849" s="5" t="s">
        <v>7303</v>
      </c>
      <c r="G1849" s="5" t="s">
        <v>6986</v>
      </c>
      <c r="H1849" s="5" t="s">
        <v>7304</v>
      </c>
      <c r="I1849" s="5" t="s">
        <v>6740</v>
      </c>
      <c r="J1849" s="5">
        <v>1.31</v>
      </c>
      <c r="K1849" s="5" t="s">
        <v>21</v>
      </c>
      <c r="L1849" s="5" t="s">
        <v>7369</v>
      </c>
      <c r="M1849" s="5" t="s">
        <v>7306</v>
      </c>
      <c r="N1849" s="7" t="str">
        <f>HYPERLINK("C:\Users\alexa\YandexDisk\Книги\Нон-фикшн\Саморазвитие\Karnegi_Kak-perestat-bespokoitsya-i-nachat-zhit.67998.fb2.mobi","Karnegi_Kak-perestat-bespokoitsya-i-nachat-zhit.67998.fb2.mobi")</f>
        <v>Karnegi_Kak-perestat-bespokoitsya-i-nachat-zhit.67998.fb2.mobi</v>
      </c>
      <c r="O1849" s="5" t="s">
        <v>7370</v>
      </c>
    </row>
    <row r="1850" spans="1:15" ht="179.4" x14ac:dyDescent="0.3">
      <c r="A1850" s="2">
        <v>1849</v>
      </c>
      <c r="B1850" s="3" t="s">
        <v>7371</v>
      </c>
      <c r="C1850" s="3" t="s">
        <v>6783</v>
      </c>
      <c r="D1850" s="3"/>
      <c r="E1850" s="3"/>
      <c r="F1850" s="3" t="s">
        <v>7303</v>
      </c>
      <c r="G1850" s="3" t="s">
        <v>6986</v>
      </c>
      <c r="H1850" s="3" t="s">
        <v>7304</v>
      </c>
      <c r="I1850" s="3" t="s">
        <v>280</v>
      </c>
      <c r="J1850" s="3">
        <v>0.55000000000000004</v>
      </c>
      <c r="K1850" s="3" t="s">
        <v>21</v>
      </c>
      <c r="L1850" s="3" t="s">
        <v>7372</v>
      </c>
      <c r="M1850" s="3" t="s">
        <v>7306</v>
      </c>
      <c r="N1850" s="6" t="str">
        <f>HYPERLINK("C:\Users\alexa\YandexDisk\Книги\Нон-фикшн\Саморазвитие\Karnegi_Kak-priobretat-druzey-i-okazyvat-vliyanie-na-lyudey.195738.fb2.epub","Karnegi_Kak-priobretat-druzey-i-okazyvat-vliyanie-na-lyudey.195738.fb2.epub")</f>
        <v>Karnegi_Kak-priobretat-druzey-i-okazyvat-vliyanie-na-lyudey.195738.fb2.epub</v>
      </c>
      <c r="O1850" s="3" t="s">
        <v>7373</v>
      </c>
    </row>
    <row r="1851" spans="1:15" ht="151.80000000000001" x14ac:dyDescent="0.3">
      <c r="A1851" s="4">
        <v>1850</v>
      </c>
      <c r="B1851" s="5" t="s">
        <v>7374</v>
      </c>
      <c r="C1851" s="5" t="s">
        <v>6783</v>
      </c>
      <c r="D1851" s="5"/>
      <c r="E1851" s="5"/>
      <c r="F1851" s="5" t="s">
        <v>7303</v>
      </c>
      <c r="G1851" s="5" t="s">
        <v>6986</v>
      </c>
      <c r="H1851" s="5" t="s">
        <v>7304</v>
      </c>
      <c r="I1851" s="5" t="s">
        <v>280</v>
      </c>
      <c r="J1851" s="5">
        <v>0.35</v>
      </c>
      <c r="K1851" s="5" t="s">
        <v>21</v>
      </c>
      <c r="L1851" s="5" t="s">
        <v>7375</v>
      </c>
      <c r="M1851" s="5" t="s">
        <v>7306</v>
      </c>
      <c r="N1851" s="7" t="str">
        <f>HYPERLINK("C:\Users\alexa\YandexDisk\Книги\Нон-фикшн\Саморазвитие\Karnegi_Kak-vyrabatyvat-uverennost-v-sebe-i-vliyat-na-lyudey-vystupaya-publichno.25582.fb2.epub","Karnegi_Kak-vyrabatyvat-uverennost-v-sebe-i-vliyat-na-lyudey-vystupaya-publichno.25582.fb2.epub")</f>
        <v>Karnegi_Kak-vyrabatyvat-uverennost-v-sebe-i-vliyat-na-lyudey-vystupaya-publichno.25582.fb2.epub</v>
      </c>
      <c r="O1851" s="5" t="s">
        <v>7376</v>
      </c>
    </row>
    <row r="1852" spans="1:15" ht="151.80000000000001" x14ac:dyDescent="0.3">
      <c r="A1852" s="2">
        <v>1851</v>
      </c>
      <c r="B1852" s="3" t="s">
        <v>7374</v>
      </c>
      <c r="C1852" s="3" t="s">
        <v>6783</v>
      </c>
      <c r="D1852" s="3"/>
      <c r="E1852" s="3"/>
      <c r="F1852" s="3" t="s">
        <v>7303</v>
      </c>
      <c r="G1852" s="3" t="s">
        <v>6986</v>
      </c>
      <c r="H1852" s="3" t="s">
        <v>7304</v>
      </c>
      <c r="I1852" s="3" t="s">
        <v>6740</v>
      </c>
      <c r="J1852" s="3">
        <v>1.26</v>
      </c>
      <c r="K1852" s="3" t="s">
        <v>21</v>
      </c>
      <c r="L1852" s="3" t="s">
        <v>7377</v>
      </c>
      <c r="M1852" s="3" t="s">
        <v>7306</v>
      </c>
      <c r="N1852" s="6" t="str">
        <f>HYPERLINK("C:\Users\alexa\YandexDisk\Книги\Нон-фикшн\Саморазвитие\Karnegi_Kak-vyrabatyvat-uverennost-v-sebe-i-vliyat-na-lyudey-vystupaya-publichno.25582.fb2.mobi","Karnegi_Kak-vyrabatyvat-uverennost-v-sebe-i-vliyat-na-lyudey-vystupaya-publichno.25582.fb2.mobi")</f>
        <v>Karnegi_Kak-vyrabatyvat-uverennost-v-sebe-i-vliyat-na-lyudey-vystupaya-publichno.25582.fb2.mobi</v>
      </c>
      <c r="O1852" s="3" t="s">
        <v>7378</v>
      </c>
    </row>
    <row r="1853" spans="1:15" ht="179.4" x14ac:dyDescent="0.3">
      <c r="A1853" s="4">
        <v>1852</v>
      </c>
      <c r="B1853" s="5" t="s">
        <v>6782</v>
      </c>
      <c r="C1853" s="5" t="s">
        <v>6783</v>
      </c>
      <c r="D1853" s="5"/>
      <c r="E1853" s="5"/>
      <c r="F1853" s="5" t="s">
        <v>7303</v>
      </c>
      <c r="G1853" s="5" t="s">
        <v>6986</v>
      </c>
      <c r="H1853" s="5" t="s">
        <v>7304</v>
      </c>
      <c r="I1853" s="5" t="s">
        <v>280</v>
      </c>
      <c r="J1853" s="5">
        <v>0.12</v>
      </c>
      <c r="K1853" s="5" t="s">
        <v>21</v>
      </c>
      <c r="L1853" s="5" t="s">
        <v>7379</v>
      </c>
      <c r="M1853" s="5" t="s">
        <v>7306</v>
      </c>
      <c r="N1853" s="7" t="str">
        <f>HYPERLINK("C:\Users\alexa\YandexDisk\Книги\Нон-фикшн\Саморазвитие\Karnegi_Shest-sposobov-raspolagat-k-sebe-lyudey.25583.fb2.epub","Karnegi_Shest-sposobov-raspolagat-k-sebe-lyudey.25583.fb2.epub")</f>
        <v>Karnegi_Shest-sposobov-raspolagat-k-sebe-lyudey.25583.fb2.epub</v>
      </c>
      <c r="O1853" s="5" t="s">
        <v>7380</v>
      </c>
    </row>
    <row r="1854" spans="1:15" ht="248.4" x14ac:dyDescent="0.3">
      <c r="A1854" s="2">
        <v>1853</v>
      </c>
      <c r="B1854" s="3" t="s">
        <v>6797</v>
      </c>
      <c r="C1854" s="3" t="s">
        <v>6807</v>
      </c>
      <c r="D1854" s="3"/>
      <c r="E1854" s="3"/>
      <c r="F1854" s="3" t="s">
        <v>7303</v>
      </c>
      <c r="G1854" s="3" t="s">
        <v>6986</v>
      </c>
      <c r="H1854" s="3" t="s">
        <v>7304</v>
      </c>
      <c r="I1854" s="3" t="s">
        <v>280</v>
      </c>
      <c r="J1854" s="3">
        <v>1.58</v>
      </c>
      <c r="K1854" s="3" t="s">
        <v>21</v>
      </c>
      <c r="L1854" s="3" t="s">
        <v>7381</v>
      </c>
      <c r="M1854" s="3" t="s">
        <v>7306</v>
      </c>
      <c r="N1854" s="6" t="str">
        <f>HYPERLINK("C:\Users\alexa\YandexDisk\Книги\Нон-фикшн\Саморазвитие\Kovi_7-navykov-vysokoeffektivnyh-lyudey.273071.fb2.epub","Kovi_7-navykov-vysokoeffektivnyh-lyudey.273071.fb2.epub")</f>
        <v>Kovi_7-navykov-vysokoeffektivnyh-lyudey.273071.fb2.epub</v>
      </c>
      <c r="O1854" s="3" t="s">
        <v>7382</v>
      </c>
    </row>
    <row r="1855" spans="1:15" ht="220.8" x14ac:dyDescent="0.3">
      <c r="A1855" s="4">
        <v>1854</v>
      </c>
      <c r="B1855" s="5" t="s">
        <v>7383</v>
      </c>
      <c r="C1855" s="5" t="s">
        <v>7197</v>
      </c>
      <c r="D1855" s="5" t="s">
        <v>335</v>
      </c>
      <c r="E1855" s="5" t="s">
        <v>7384</v>
      </c>
      <c r="F1855" s="5" t="s">
        <v>7303</v>
      </c>
      <c r="G1855" s="5" t="s">
        <v>6986</v>
      </c>
      <c r="H1855" s="5" t="s">
        <v>7304</v>
      </c>
      <c r="I1855" s="5" t="s">
        <v>20</v>
      </c>
      <c r="J1855" s="5">
        <v>22.37</v>
      </c>
      <c r="K1855" s="5" t="s">
        <v>21</v>
      </c>
      <c r="L1855" s="5" t="s">
        <v>7385</v>
      </c>
      <c r="M1855" s="5" t="s">
        <v>7306</v>
      </c>
      <c r="N1855" s="7" t="str">
        <f>HYPERLINK("C:\Users\alexa\YandexDisk\Книги\Нон-фикшн\Саморазвитие\Kurpatov_A._Intellektualnyi._Deepfake_Gde_Tyi_Prosnis.a4.pdf","Kurpatov_A._Intellektualnyi._Deepfake_Gde_Tyi_Prosnis.a4.pdf")</f>
        <v>Kurpatov_A._Intellektualnyi._Deepfake_Gde_Tyi_Prosnis.a4.pdf</v>
      </c>
      <c r="O1855" s="5" t="s">
        <v>7386</v>
      </c>
    </row>
    <row r="1856" spans="1:15" ht="220.8" x14ac:dyDescent="0.3">
      <c r="A1856" s="2">
        <v>1855</v>
      </c>
      <c r="B1856" s="3" t="s">
        <v>7387</v>
      </c>
      <c r="C1856" s="3" t="s">
        <v>7388</v>
      </c>
      <c r="D1856" s="3" t="s">
        <v>476</v>
      </c>
      <c r="E1856" s="3" t="s">
        <v>7389</v>
      </c>
      <c r="F1856" s="3" t="s">
        <v>7303</v>
      </c>
      <c r="G1856" s="3" t="s">
        <v>6986</v>
      </c>
      <c r="H1856" s="3" t="s">
        <v>7304</v>
      </c>
      <c r="I1856" s="3" t="s">
        <v>20</v>
      </c>
      <c r="J1856" s="3">
        <v>1.78</v>
      </c>
      <c r="K1856" s="3" t="s">
        <v>21</v>
      </c>
      <c r="L1856" s="3" t="s">
        <v>7390</v>
      </c>
      <c r="M1856" s="3" t="s">
        <v>7306</v>
      </c>
      <c r="N1856" s="6" t="str">
        <f>HYPERLINK("C:\Users\alexa\YandexDisk\Книги\Нон-фикшн\Саморазвитие\Mozg_Instruktsia_po_primeneniyu-_Kak_ispolzovat_svoi_vozmozhnosti_po_maximumu_i_bez_peregruzok.pdf","Mozg_Instruktsia_po_primeneniyu-_Kak_ispolzovat_svoi_vozmozhnosti_po_maximumu_i_bez_peregruzok.pdf")</f>
        <v>Mozg_Instruktsia_po_primeneniyu-_Kak_ispolzovat_svoi_vozmozhnosti_po_maximumu_i_bez_peregruzok.pdf</v>
      </c>
      <c r="O1856" s="3" t="s">
        <v>7391</v>
      </c>
    </row>
    <row r="1857" spans="1:15" ht="151.80000000000001" x14ac:dyDescent="0.3">
      <c r="A1857" s="4">
        <v>1856</v>
      </c>
      <c r="B1857" s="5" t="s">
        <v>7392</v>
      </c>
      <c r="C1857" s="5"/>
      <c r="D1857" s="5"/>
      <c r="E1857" s="5"/>
      <c r="F1857" s="5" t="s">
        <v>7303</v>
      </c>
      <c r="G1857" s="5" t="s">
        <v>6986</v>
      </c>
      <c r="H1857" s="5" t="s">
        <v>7304</v>
      </c>
      <c r="I1857" s="5" t="s">
        <v>6740</v>
      </c>
      <c r="J1857" s="5">
        <v>7.29</v>
      </c>
      <c r="K1857" s="5" t="s">
        <v>21</v>
      </c>
      <c r="L1857" s="5" t="s">
        <v>7393</v>
      </c>
      <c r="M1857" s="5" t="s">
        <v>7306</v>
      </c>
      <c r="N1857" s="7" t="str">
        <f>HYPERLINK("C:\Users\alexa\YandexDisk\Книги\Нон-фикшн\Саморазвитие\my-rodom-iz-strashnogo-detstva.mobi","my-rodom-iz-strashnogo-detstva.mobi")</f>
        <v>my-rodom-iz-strashnogo-detstva.mobi</v>
      </c>
      <c r="O1857" s="5" t="s">
        <v>7394</v>
      </c>
    </row>
    <row r="1858" spans="1:15" ht="151.80000000000001" x14ac:dyDescent="0.3">
      <c r="A1858" s="2">
        <v>1857</v>
      </c>
      <c r="B1858" s="3" t="s">
        <v>7395</v>
      </c>
      <c r="C1858" s="3"/>
      <c r="D1858" s="3"/>
      <c r="E1858" s="3"/>
      <c r="F1858" s="3" t="s">
        <v>7303</v>
      </c>
      <c r="G1858" s="3" t="s">
        <v>6986</v>
      </c>
      <c r="H1858" s="3" t="s">
        <v>7304</v>
      </c>
      <c r="I1858" s="3" t="s">
        <v>721</v>
      </c>
      <c r="J1858" s="3">
        <v>2.11</v>
      </c>
      <c r="K1858" s="3" t="s">
        <v>21</v>
      </c>
      <c r="L1858" s="3" t="s">
        <v>7396</v>
      </c>
      <c r="M1858" s="3" t="s">
        <v>7306</v>
      </c>
      <c r="N1858" s="6" t="str">
        <f>HYPERLINK("C:\Users\alexa\YandexDisk\Книги\Нон-фикшн\Саморазвитие\Nauchite_sebya_dumat_biuzen_.djvu","Nauchite_sebya_dumat_biuzen_.djvu")</f>
        <v>Nauchite_sebya_dumat_biuzen_.djvu</v>
      </c>
      <c r="O1858" s="3" t="s">
        <v>7397</v>
      </c>
    </row>
    <row r="1859" spans="1:15" ht="193.2" x14ac:dyDescent="0.3">
      <c r="A1859" s="4">
        <v>1858</v>
      </c>
      <c r="B1859" s="5" t="s">
        <v>7398</v>
      </c>
      <c r="C1859" s="5" t="s">
        <v>7399</v>
      </c>
      <c r="D1859" s="5" t="s">
        <v>114</v>
      </c>
      <c r="E1859" s="5" t="s">
        <v>303</v>
      </c>
      <c r="F1859" s="5" t="s">
        <v>7303</v>
      </c>
      <c r="G1859" s="5" t="s">
        <v>6986</v>
      </c>
      <c r="H1859" s="5" t="s">
        <v>7304</v>
      </c>
      <c r="I1859" s="5" t="s">
        <v>20</v>
      </c>
      <c r="J1859" s="5">
        <v>1.85</v>
      </c>
      <c r="K1859" s="5" t="s">
        <v>21</v>
      </c>
      <c r="L1859" s="5" t="s">
        <v>7400</v>
      </c>
      <c r="M1859" s="5" t="s">
        <v>7306</v>
      </c>
      <c r="N1859" s="7" t="str">
        <f>HYPERLINK("C:\Users\alexa\YandexDisk\Книги\Нон-фикшн\Саморазвитие\Na_odnoy_volne.pdf","Na_odnoy_volne.pdf")</f>
        <v>Na_odnoy_volne.pdf</v>
      </c>
      <c r="O1859" s="5" t="s">
        <v>7401</v>
      </c>
    </row>
    <row r="1860" spans="1:15" ht="193.2" x14ac:dyDescent="0.3">
      <c r="A1860" s="2">
        <v>1859</v>
      </c>
      <c r="B1860" s="3" t="s">
        <v>7402</v>
      </c>
      <c r="C1860" s="3" t="s">
        <v>7403</v>
      </c>
      <c r="D1860" s="3" t="s">
        <v>77</v>
      </c>
      <c r="E1860" s="3" t="s">
        <v>303</v>
      </c>
      <c r="F1860" s="3" t="s">
        <v>7303</v>
      </c>
      <c r="G1860" s="3" t="s">
        <v>6986</v>
      </c>
      <c r="H1860" s="3" t="s">
        <v>7304</v>
      </c>
      <c r="I1860" s="3" t="s">
        <v>280</v>
      </c>
      <c r="J1860" s="3">
        <v>2.79</v>
      </c>
      <c r="K1860" s="3" t="s">
        <v>21</v>
      </c>
      <c r="L1860" s="3" t="s">
        <v>7404</v>
      </c>
      <c r="M1860" s="3" t="s">
        <v>7306</v>
      </c>
      <c r="N1860" s="6" t="str">
        <f>HYPERLINK("C:\Users\alexa\YandexDisk\Книги\Нон-фикшн\Саморазвитие\organizovannyj-um.epub","organizovannyj-um.epub")</f>
        <v>organizovannyj-um.epub</v>
      </c>
      <c r="O1860" s="3" t="s">
        <v>7405</v>
      </c>
    </row>
    <row r="1861" spans="1:15" ht="179.4" x14ac:dyDescent="0.3">
      <c r="A1861" s="4">
        <v>1860</v>
      </c>
      <c r="B1861" s="5" t="s">
        <v>7406</v>
      </c>
      <c r="C1861" s="5"/>
      <c r="D1861" s="5"/>
      <c r="E1861" s="5"/>
      <c r="F1861" s="5" t="s">
        <v>7303</v>
      </c>
      <c r="G1861" s="5" t="s">
        <v>6986</v>
      </c>
      <c r="H1861" s="5" t="s">
        <v>7304</v>
      </c>
      <c r="I1861" s="5" t="s">
        <v>6740</v>
      </c>
      <c r="J1861" s="5">
        <v>7.74</v>
      </c>
      <c r="K1861" s="5" t="s">
        <v>21</v>
      </c>
      <c r="L1861" s="5" t="s">
        <v>7407</v>
      </c>
      <c r="M1861" s="5" t="s">
        <v>7306</v>
      </c>
      <c r="N1861" s="7" t="str">
        <f>HYPERLINK("C:\Users\alexa\YandexDisk\Книги\Нон-фикшн\Саморазвитие\organizovannyj-um.mobi","organizovannyj-um.mobi")</f>
        <v>organizovannyj-um.mobi</v>
      </c>
      <c r="O1861" s="5" t="s">
        <v>7408</v>
      </c>
    </row>
    <row r="1862" spans="1:15" ht="207" x14ac:dyDescent="0.3">
      <c r="A1862" s="2">
        <v>1861</v>
      </c>
      <c r="B1862" s="3" t="s">
        <v>7409</v>
      </c>
      <c r="C1862" s="3" t="s">
        <v>7410</v>
      </c>
      <c r="D1862" s="3" t="s">
        <v>77</v>
      </c>
      <c r="E1862" s="3" t="s">
        <v>303</v>
      </c>
      <c r="F1862" s="3" t="s">
        <v>7303</v>
      </c>
      <c r="G1862" s="3" t="s">
        <v>6986</v>
      </c>
      <c r="H1862" s="3" t="s">
        <v>7304</v>
      </c>
      <c r="I1862" s="3" t="s">
        <v>20</v>
      </c>
      <c r="J1862" s="3">
        <v>5.67</v>
      </c>
      <c r="K1862" s="3" t="s">
        <v>21</v>
      </c>
      <c r="L1862" s="3" t="s">
        <v>7411</v>
      </c>
      <c r="M1862" s="3" t="s">
        <v>7306</v>
      </c>
      <c r="N1862" s="6" t="str">
        <f>HYPERLINK("C:\Users\alexa\YandexDisk\Книги\Нон-фикшн\Саморазвитие\organizovannyj-um.pdf","organizovannyj-um.pdf")</f>
        <v>organizovannyj-um.pdf</v>
      </c>
      <c r="O1862" s="3" t="s">
        <v>7412</v>
      </c>
    </row>
    <row r="1863" spans="1:15" ht="234.6" x14ac:dyDescent="0.3">
      <c r="A1863" s="4">
        <v>1862</v>
      </c>
      <c r="B1863" s="5" t="s">
        <v>7413</v>
      </c>
      <c r="C1863" s="5" t="s">
        <v>7414</v>
      </c>
      <c r="D1863" s="5" t="s">
        <v>17</v>
      </c>
      <c r="E1863" s="5" t="s">
        <v>303</v>
      </c>
      <c r="F1863" s="5" t="s">
        <v>7303</v>
      </c>
      <c r="G1863" s="5" t="s">
        <v>6986</v>
      </c>
      <c r="H1863" s="5" t="s">
        <v>7304</v>
      </c>
      <c r="I1863" s="5" t="s">
        <v>20</v>
      </c>
      <c r="J1863" s="5">
        <v>4.24</v>
      </c>
      <c r="K1863" s="5" t="s">
        <v>21</v>
      </c>
      <c r="L1863" s="5" t="s">
        <v>7415</v>
      </c>
      <c r="M1863" s="5" t="s">
        <v>7306</v>
      </c>
      <c r="N1863" s="7" t="str">
        <f>HYPERLINK("C:\Users\alexa\YandexDisk\Книги\Нон-фикшн\Саморазвитие\ot-vygoraniya-k-balansu.pdf","ot-vygoraniya-k-balansu.pdf")</f>
        <v>ot-vygoraniya-k-balansu.pdf</v>
      </c>
      <c r="O1863" s="5" t="s">
        <v>7416</v>
      </c>
    </row>
    <row r="1864" spans="1:15" ht="207" x14ac:dyDescent="0.3">
      <c r="A1864" s="2">
        <v>1863</v>
      </c>
      <c r="B1864" s="3" t="s">
        <v>7417</v>
      </c>
      <c r="C1864" s="3" t="s">
        <v>7418</v>
      </c>
      <c r="D1864" s="3" t="s">
        <v>17</v>
      </c>
      <c r="E1864" s="3" t="s">
        <v>303</v>
      </c>
      <c r="F1864" s="3" t="s">
        <v>7303</v>
      </c>
      <c r="G1864" s="3" t="s">
        <v>6986</v>
      </c>
      <c r="H1864" s="3" t="s">
        <v>7304</v>
      </c>
      <c r="I1864" s="3" t="s">
        <v>20</v>
      </c>
      <c r="J1864" s="3">
        <v>5.03</v>
      </c>
      <c r="K1864" s="3" t="s">
        <v>21</v>
      </c>
      <c r="L1864" s="3" t="s">
        <v>7419</v>
      </c>
      <c r="M1864" s="3" t="s">
        <v>7306</v>
      </c>
      <c r="N1864" s="6" t="str">
        <f>HYPERLINK("C:\Users\alexa\YandexDisk\Книги\Нон-фикшн\Саморазвитие\Podumajte-eshchyo-raz.pdf","Podumajte-eshchyo-raz.pdf")</f>
        <v>Podumajte-eshchyo-raz.pdf</v>
      </c>
      <c r="O1864" s="3" t="s">
        <v>7420</v>
      </c>
    </row>
    <row r="1865" spans="1:15" ht="165.6" x14ac:dyDescent="0.3">
      <c r="A1865" s="4">
        <v>1864</v>
      </c>
      <c r="B1865" s="5" t="s">
        <v>7421</v>
      </c>
      <c r="C1865" s="5" t="s">
        <v>7422</v>
      </c>
      <c r="D1865" s="5" t="s">
        <v>17</v>
      </c>
      <c r="E1865" s="5" t="s">
        <v>303</v>
      </c>
      <c r="F1865" s="5" t="s">
        <v>7303</v>
      </c>
      <c r="G1865" s="5" t="s">
        <v>6986</v>
      </c>
      <c r="H1865" s="5" t="s">
        <v>7304</v>
      </c>
      <c r="I1865" s="5" t="s">
        <v>20</v>
      </c>
      <c r="J1865" s="5">
        <v>5.88</v>
      </c>
      <c r="K1865" s="5" t="s">
        <v>21</v>
      </c>
      <c r="L1865" s="5" t="s">
        <v>7423</v>
      </c>
      <c r="M1865" s="5" t="s">
        <v>7306</v>
      </c>
      <c r="N1865" s="7" t="str">
        <f>HYPERLINK("C:\Users\alexa\YandexDisk\Книги\Нон-фикшн\Саморазвитие\pomnit-vse-6.pdf","pomnit-vse-6.pdf")</f>
        <v>pomnit-vse-6.pdf</v>
      </c>
      <c r="O1865" s="5" t="s">
        <v>7424</v>
      </c>
    </row>
    <row r="1866" spans="1:15" ht="220.8" x14ac:dyDescent="0.3">
      <c r="A1866" s="2">
        <v>1865</v>
      </c>
      <c r="B1866" s="3" t="s">
        <v>7425</v>
      </c>
      <c r="C1866" s="3" t="s">
        <v>7426</v>
      </c>
      <c r="D1866" s="3" t="s">
        <v>32</v>
      </c>
      <c r="E1866" s="3" t="s">
        <v>303</v>
      </c>
      <c r="F1866" s="3" t="s">
        <v>7303</v>
      </c>
      <c r="G1866" s="3" t="s">
        <v>6986</v>
      </c>
      <c r="H1866" s="3" t="s">
        <v>7304</v>
      </c>
      <c r="I1866" s="3" t="s">
        <v>20</v>
      </c>
      <c r="J1866" s="3">
        <v>2.2000000000000002</v>
      </c>
      <c r="K1866" s="3" t="s">
        <v>21</v>
      </c>
      <c r="L1866" s="3" t="s">
        <v>7427</v>
      </c>
      <c r="M1866" s="3" t="s">
        <v>7306</v>
      </c>
      <c r="N1866" s="6" t="str">
        <f>HYPERLINK("C:\Users\alexa\YandexDisk\Книги\Нон-фикшн\Саморазвитие\pravilnyij-vyibor.pdf","pravilnyij-vyibor.pdf")</f>
        <v>pravilnyij-vyibor.pdf</v>
      </c>
      <c r="O1866" s="3" t="s">
        <v>7428</v>
      </c>
    </row>
    <row r="1867" spans="1:15" ht="207" x14ac:dyDescent="0.3">
      <c r="A1867" s="4">
        <v>1866</v>
      </c>
      <c r="B1867" s="5" t="s">
        <v>7429</v>
      </c>
      <c r="C1867" s="5" t="s">
        <v>7430</v>
      </c>
      <c r="D1867" s="5" t="s">
        <v>32</v>
      </c>
      <c r="E1867" s="5" t="s">
        <v>303</v>
      </c>
      <c r="F1867" s="5" t="s">
        <v>7303</v>
      </c>
      <c r="G1867" s="5" t="s">
        <v>6986</v>
      </c>
      <c r="H1867" s="5" t="s">
        <v>7304</v>
      </c>
      <c r="I1867" s="5" t="s">
        <v>20</v>
      </c>
      <c r="J1867" s="5">
        <v>4.96</v>
      </c>
      <c r="K1867" s="5" t="s">
        <v>21</v>
      </c>
      <c r="L1867" s="5" t="s">
        <v>7431</v>
      </c>
      <c r="M1867" s="5" t="s">
        <v>7306</v>
      </c>
      <c r="N1867" s="7" t="str">
        <f>HYPERLINK("C:\Users\alexa\YandexDisk\Книги\Нон-фикшн\Саморазвитие\princzipyi.pdf","princzipyi.pdf")</f>
        <v>princzipyi.pdf</v>
      </c>
      <c r="O1867" s="5" t="s">
        <v>7432</v>
      </c>
    </row>
    <row r="1868" spans="1:15" ht="207" x14ac:dyDescent="0.3">
      <c r="A1868" s="2">
        <v>1867</v>
      </c>
      <c r="B1868" s="3" t="s">
        <v>7433</v>
      </c>
      <c r="C1868" s="3" t="s">
        <v>7434</v>
      </c>
      <c r="D1868" s="3" t="s">
        <v>32</v>
      </c>
      <c r="E1868" s="3" t="s">
        <v>7435</v>
      </c>
      <c r="F1868" s="3" t="s">
        <v>7303</v>
      </c>
      <c r="G1868" s="3" t="s">
        <v>6986</v>
      </c>
      <c r="H1868" s="3" t="s">
        <v>7304</v>
      </c>
      <c r="I1868" s="3" t="s">
        <v>20</v>
      </c>
      <c r="J1868" s="3">
        <v>3.53</v>
      </c>
      <c r="K1868" s="3" t="s">
        <v>21</v>
      </c>
      <c r="L1868" s="3" t="s">
        <v>7436</v>
      </c>
      <c r="M1868" s="3" t="s">
        <v>7306</v>
      </c>
      <c r="N1868" s="6" t="str">
        <f>HYPERLINK("C:\Users\alexa\YandexDisk\Книги\Нон-фикшн\Саморазвитие\realnost-pod-voprosom1.pdf","realnost-pod-voprosom1.pdf")</f>
        <v>realnost-pod-voprosom1.pdf</v>
      </c>
      <c r="O1868" s="3" t="s">
        <v>7437</v>
      </c>
    </row>
    <row r="1869" spans="1:15" ht="165.6" x14ac:dyDescent="0.3">
      <c r="A1869" s="4">
        <v>1868</v>
      </c>
      <c r="B1869" s="5" t="s">
        <v>7438</v>
      </c>
      <c r="C1869" s="5" t="s">
        <v>7439</v>
      </c>
      <c r="D1869" s="5"/>
      <c r="E1869" s="5"/>
      <c r="F1869" s="5" t="s">
        <v>7303</v>
      </c>
      <c r="G1869" s="5" t="s">
        <v>6986</v>
      </c>
      <c r="H1869" s="5" t="s">
        <v>7304</v>
      </c>
      <c r="I1869" s="5" t="s">
        <v>280</v>
      </c>
      <c r="J1869" s="5">
        <v>0.95</v>
      </c>
      <c r="K1869" s="5" t="s">
        <v>21</v>
      </c>
      <c r="L1869" s="5" t="s">
        <v>7440</v>
      </c>
      <c r="M1869" s="5" t="s">
        <v>7306</v>
      </c>
      <c r="N1869" s="7" t="str">
        <f>HYPERLINK("C:\Users\alexa\YandexDisk\Книги\Нон-фикшн\Саморазвитие\Robinson_Prizvanie-Kak-nayti-to-dlya-chego-vy-sozdany-i-zhit-v-svoey-stihii.290978.fb2.epub","Robinson_Prizvanie-Kak-nayti-to-dlya-chego-vy-sozdany-i-zhit-v-svoey-stihii.290978.fb2.epub")</f>
        <v>Robinson_Prizvanie-Kak-nayti-to-dlya-chego-vy-sozdany-i-zhit-v-svoey-stihii.290978.fb2.epub</v>
      </c>
      <c r="O1869" s="5" t="s">
        <v>7441</v>
      </c>
    </row>
    <row r="1870" spans="1:15" ht="138" x14ac:dyDescent="0.3">
      <c r="A1870" s="2">
        <v>1869</v>
      </c>
      <c r="B1870" s="3" t="s">
        <v>7442</v>
      </c>
      <c r="C1870" s="3" t="s">
        <v>7443</v>
      </c>
      <c r="D1870" s="3"/>
      <c r="E1870" s="3"/>
      <c r="F1870" s="3" t="s">
        <v>7303</v>
      </c>
      <c r="G1870" s="3" t="s">
        <v>6986</v>
      </c>
      <c r="H1870" s="3" t="s">
        <v>7304</v>
      </c>
      <c r="I1870" s="3" t="s">
        <v>6740</v>
      </c>
      <c r="J1870" s="3">
        <v>2.27</v>
      </c>
      <c r="K1870" s="3" t="s">
        <v>21</v>
      </c>
      <c r="L1870" s="3" t="s">
        <v>7444</v>
      </c>
      <c r="M1870" s="3" t="s">
        <v>7306</v>
      </c>
      <c r="N1870" s="6" t="str">
        <f>HYPERLINK("C:\Users\alexa\YandexDisk\Книги\Нон-фикшн\Саморазвитие\Robinson_Prizvanie-Kak-nayti-to-dlya-chego-vy-sozdany-i-zhit-v-svoey-stihii.290978.fb2.mobi","Robinson_Prizvanie-Kak-nayti-to-dlya-chego-vy-sozdany-i-zhit-v-svoey-stihii.290978.fb2.mobi")</f>
        <v>Robinson_Prizvanie-Kak-nayti-to-dlya-chego-vy-sozdany-i-zhit-v-svoey-stihii.290978.fb2.mobi</v>
      </c>
      <c r="O1870" s="3" t="s">
        <v>7445</v>
      </c>
    </row>
    <row r="1871" spans="1:15" ht="165.6" x14ac:dyDescent="0.3">
      <c r="A1871" s="4">
        <v>1870</v>
      </c>
      <c r="B1871" s="5" t="s">
        <v>7446</v>
      </c>
      <c r="C1871" s="5" t="s">
        <v>7447</v>
      </c>
      <c r="D1871" s="5" t="s">
        <v>1022</v>
      </c>
      <c r="E1871" s="5" t="s">
        <v>7448</v>
      </c>
      <c r="F1871" s="5" t="s">
        <v>7303</v>
      </c>
      <c r="G1871" s="5" t="s">
        <v>6986</v>
      </c>
      <c r="H1871" s="5" t="s">
        <v>7304</v>
      </c>
      <c r="I1871" s="5" t="s">
        <v>20</v>
      </c>
      <c r="J1871" s="5">
        <v>13.03</v>
      </c>
      <c r="K1871" s="5" t="s">
        <v>21</v>
      </c>
      <c r="L1871" s="5" t="s">
        <v>7449</v>
      </c>
      <c r="M1871" s="5" t="s">
        <v>7306</v>
      </c>
      <c r="N1871" s="7" t="str">
        <f>HYPERLINK("C:\Users\alexa\YandexDisk\Книги\Нон-фикшн\Саморазвитие\Soft Skills  The Sof... by John Sonmez.pdf","Soft Skills  The Sof... by John Sonmez.pdf")</f>
        <v>Soft Skills  The Sof... by John Sonmez.pdf</v>
      </c>
      <c r="O1871" s="5" t="s">
        <v>7450</v>
      </c>
    </row>
    <row r="1872" spans="1:15" ht="179.4" x14ac:dyDescent="0.3">
      <c r="A1872" s="2">
        <v>1871</v>
      </c>
      <c r="B1872" s="3" t="s">
        <v>7451</v>
      </c>
      <c r="C1872" s="3" t="s">
        <v>7452</v>
      </c>
      <c r="D1872" s="3" t="s">
        <v>27</v>
      </c>
      <c r="E1872" s="3" t="s">
        <v>1023</v>
      </c>
      <c r="F1872" s="3" t="s">
        <v>7303</v>
      </c>
      <c r="G1872" s="3" t="s">
        <v>6986</v>
      </c>
      <c r="H1872" s="3" t="s">
        <v>7304</v>
      </c>
      <c r="I1872" s="3" t="s">
        <v>20</v>
      </c>
      <c r="J1872" s="3">
        <v>2.48</v>
      </c>
      <c r="K1872" s="3" t="s">
        <v>21</v>
      </c>
      <c r="L1872" s="3" t="s">
        <v>7453</v>
      </c>
      <c r="M1872" s="3" t="s">
        <v>7306</v>
      </c>
      <c r="N1872" s="6" t="str">
        <f>HYPERLINK("C:\Users\alexa\YandexDisk\Книги\Нон-фикшн\Саморазвитие\Soft skills для IT-специалистов.pdf","Soft skills для IT-специалистов.pdf")</f>
        <v>Soft skills для IT-специалистов.pdf</v>
      </c>
      <c r="O1872" s="3" t="s">
        <v>7454</v>
      </c>
    </row>
    <row r="1873" spans="1:15" ht="179.4" x14ac:dyDescent="0.3">
      <c r="A1873" s="4">
        <v>1872</v>
      </c>
      <c r="B1873" s="5" t="s">
        <v>7455</v>
      </c>
      <c r="C1873" s="5" t="s">
        <v>7353</v>
      </c>
      <c r="D1873" s="5" t="s">
        <v>77</v>
      </c>
      <c r="E1873" s="5"/>
      <c r="F1873" s="5" t="s">
        <v>7303</v>
      </c>
      <c r="G1873" s="5" t="s">
        <v>6986</v>
      </c>
      <c r="H1873" s="5" t="s">
        <v>7304</v>
      </c>
      <c r="I1873" s="5" t="s">
        <v>20</v>
      </c>
      <c r="J1873" s="5">
        <v>2.17</v>
      </c>
      <c r="K1873" s="5" t="s">
        <v>21</v>
      </c>
      <c r="L1873" s="5" t="s">
        <v>7456</v>
      </c>
      <c r="M1873" s="5" t="s">
        <v>7306</v>
      </c>
      <c r="N1873" s="7" t="str">
        <f>HYPERLINK("C:\Users\alexa\YandexDisk\Книги\Нон-фикшн\Саморазвитие\Summary_Kak_chitat_knigi.pdf","Summary_Kak_chitat_knigi.pdf")</f>
        <v>Summary_Kak_chitat_knigi.pdf</v>
      </c>
      <c r="O1873" s="5" t="s">
        <v>7457</v>
      </c>
    </row>
    <row r="1874" spans="1:15" ht="193.2" x14ac:dyDescent="0.3">
      <c r="A1874" s="2">
        <v>1873</v>
      </c>
      <c r="B1874" s="3" t="s">
        <v>7458</v>
      </c>
      <c r="C1874" s="3" t="s">
        <v>7459</v>
      </c>
      <c r="D1874" s="3" t="s">
        <v>59</v>
      </c>
      <c r="E1874" s="3" t="s">
        <v>7460</v>
      </c>
      <c r="F1874" s="3" t="s">
        <v>7303</v>
      </c>
      <c r="G1874" s="3" t="s">
        <v>6986</v>
      </c>
      <c r="H1874" s="3" t="s">
        <v>7304</v>
      </c>
      <c r="I1874" s="3" t="s">
        <v>20</v>
      </c>
      <c r="J1874" s="3">
        <v>0.48</v>
      </c>
      <c r="K1874" s="3" t="s">
        <v>21</v>
      </c>
      <c r="L1874" s="3" t="s">
        <v>7461</v>
      </c>
      <c r="M1874" s="3" t="s">
        <v>7306</v>
      </c>
      <c r="N1874" s="6" t="str">
        <f>HYPERLINK("C:\Users\alexa\YandexDisk\Книги\Нон-фикшн\Саморазвитие\Summary_Ne_meshay_sebe_zhyt.pdf","Summary_Ne_meshay_sebe_zhyt.pdf")</f>
        <v>Summary_Ne_meshay_sebe_zhyt.pdf</v>
      </c>
      <c r="O1874" s="3" t="s">
        <v>7462</v>
      </c>
    </row>
    <row r="1875" spans="1:15" ht="193.2" x14ac:dyDescent="0.3">
      <c r="A1875" s="4">
        <v>1874</v>
      </c>
      <c r="B1875" s="5" t="s">
        <v>7463</v>
      </c>
      <c r="C1875" s="5" t="s">
        <v>7464</v>
      </c>
      <c r="D1875" s="5" t="s">
        <v>114</v>
      </c>
      <c r="E1875" s="5" t="s">
        <v>303</v>
      </c>
      <c r="F1875" s="5" t="s">
        <v>7303</v>
      </c>
      <c r="G1875" s="5" t="s">
        <v>6986</v>
      </c>
      <c r="H1875" s="5" t="s">
        <v>7304</v>
      </c>
      <c r="I1875" s="5" t="s">
        <v>20</v>
      </c>
      <c r="J1875" s="5">
        <v>54.96</v>
      </c>
      <c r="K1875" s="5" t="s">
        <v>21</v>
      </c>
      <c r="L1875" s="5" t="s">
        <v>7465</v>
      </c>
      <c r="M1875" s="5" t="s">
        <v>7306</v>
      </c>
      <c r="N1875" s="7" t="str">
        <f>HYPERLINK("C:\Users\alexa\YandexDisk\Книги\Нон-фикшн\Саморазвитие\Vizualnie_zametki.pdf","Vizualnie_zametki.pdf")</f>
        <v>Vizualnie_zametki.pdf</v>
      </c>
      <c r="O1875" s="5" t="s">
        <v>7466</v>
      </c>
    </row>
    <row r="1876" spans="1:15" ht="207" x14ac:dyDescent="0.3">
      <c r="A1876" s="2">
        <v>1875</v>
      </c>
      <c r="B1876" s="3" t="s">
        <v>7467</v>
      </c>
      <c r="C1876" s="3" t="s">
        <v>7468</v>
      </c>
      <c r="D1876" s="3" t="s">
        <v>50</v>
      </c>
      <c r="E1876" s="3" t="s">
        <v>303</v>
      </c>
      <c r="F1876" s="3" t="s">
        <v>7303</v>
      </c>
      <c r="G1876" s="3" t="s">
        <v>6986</v>
      </c>
      <c r="H1876" s="3" t="s">
        <v>7304</v>
      </c>
      <c r="I1876" s="3" t="s">
        <v>20</v>
      </c>
      <c r="J1876" s="3">
        <v>3.9</v>
      </c>
      <c r="K1876" s="3" t="s">
        <v>21</v>
      </c>
      <c r="L1876" s="3" t="s">
        <v>7469</v>
      </c>
      <c r="M1876" s="3" t="s">
        <v>7306</v>
      </c>
      <c r="N1876" s="6" t="str">
        <f>HYPERLINK("C:\Users\alexa\YandexDisk\Книги\Нон-фикшн\Саморазвитие\vsegda-vovremya.pdf","vsegda-vovremya.pdf")</f>
        <v>vsegda-vovremya.pdf</v>
      </c>
      <c r="O1876" s="3" t="s">
        <v>7470</v>
      </c>
    </row>
    <row r="1877" spans="1:15" ht="193.2" x14ac:dyDescent="0.3">
      <c r="A1877" s="4">
        <v>1876</v>
      </c>
      <c r="B1877" s="5" t="s">
        <v>7471</v>
      </c>
      <c r="C1877" s="5" t="s">
        <v>7472</v>
      </c>
      <c r="D1877" s="5" t="s">
        <v>50</v>
      </c>
      <c r="E1877" s="5" t="s">
        <v>18</v>
      </c>
      <c r="F1877" s="5" t="s">
        <v>7303</v>
      </c>
      <c r="G1877" s="5" t="s">
        <v>6986</v>
      </c>
      <c r="H1877" s="5" t="s">
        <v>7304</v>
      </c>
      <c r="I1877" s="5" t="s">
        <v>20</v>
      </c>
      <c r="J1877" s="5">
        <v>4.2300000000000004</v>
      </c>
      <c r="K1877" s="5" t="s">
        <v>21</v>
      </c>
      <c r="L1877" s="5" t="s">
        <v>7473</v>
      </c>
      <c r="M1877" s="5" t="s">
        <v>7306</v>
      </c>
      <c r="N1877" s="7" t="str">
        <f>HYPERLINK("C:\Users\alexa\YandexDisk\Книги\Нон-фикшн\Саморазвитие\V_rabotu_s_golovoy_Patterny_uspekha_ot_IT-spetsialista_2017.pdf","V_rabotu_s_golovoy_Patterny_uspekha_ot_IT-spetsialista_2017.pdf")</f>
        <v>V_rabotu_s_golovoy_Patterny_uspekha_ot_IT-spetsialista_2017.pdf</v>
      </c>
      <c r="O1877" s="5" t="s">
        <v>7474</v>
      </c>
    </row>
    <row r="1878" spans="1:15" ht="193.2" x14ac:dyDescent="0.3">
      <c r="A1878" s="2">
        <v>1877</v>
      </c>
      <c r="B1878" s="3" t="s">
        <v>7398</v>
      </c>
      <c r="C1878" s="3" t="s">
        <v>7399</v>
      </c>
      <c r="D1878" s="3" t="s">
        <v>114</v>
      </c>
      <c r="E1878" s="3" t="s">
        <v>303</v>
      </c>
      <c r="F1878" s="3" t="s">
        <v>7303</v>
      </c>
      <c r="G1878" s="3" t="s">
        <v>6986</v>
      </c>
      <c r="H1878" s="3" t="s">
        <v>7304</v>
      </c>
      <c r="I1878" s="3" t="s">
        <v>280</v>
      </c>
      <c r="J1878" s="3">
        <v>1.5</v>
      </c>
      <c r="K1878" s="3" t="s">
        <v>21</v>
      </c>
      <c r="L1878" s="3" t="s">
        <v>7475</v>
      </c>
      <c r="M1878" s="3" t="s">
        <v>7306</v>
      </c>
      <c r="N1878" s="6" t="str">
        <f>HYPERLINK("C:\Users\alexa\YandexDisk\Книги\Нон-фикшн\Саморазвитие\z_Na_odnoy_volne.epub","z_Na_odnoy_volne.epub")</f>
        <v>z_Na_odnoy_volne.epub</v>
      </c>
      <c r="O1878" s="3" t="s">
        <v>7476</v>
      </c>
    </row>
    <row r="1879" spans="1:15" ht="207" x14ac:dyDescent="0.3">
      <c r="A1879" s="4">
        <v>1878</v>
      </c>
      <c r="B1879" s="5" t="s">
        <v>7477</v>
      </c>
      <c r="C1879" s="5" t="s">
        <v>7478</v>
      </c>
      <c r="D1879" s="5" t="s">
        <v>71</v>
      </c>
      <c r="E1879" s="5" t="s">
        <v>303</v>
      </c>
      <c r="F1879" s="5" t="s">
        <v>7303</v>
      </c>
      <c r="G1879" s="5" t="s">
        <v>6986</v>
      </c>
      <c r="H1879" s="5" t="s">
        <v>7304</v>
      </c>
      <c r="I1879" s="5" t="s">
        <v>20</v>
      </c>
      <c r="J1879" s="5">
        <v>7.32</v>
      </c>
      <c r="K1879" s="5" t="s">
        <v>21</v>
      </c>
      <c r="L1879" s="5" t="s">
        <v>7479</v>
      </c>
      <c r="M1879" s="5" t="s">
        <v>7306</v>
      </c>
      <c r="N1879" s="7" t="str">
        <f>HYPERLINK("C:\Users\alexa\YandexDisk\Книги\Нон-фикшн\Саморазвитие\_Время для себя.pdf","_Время для себя.pdf")</f>
        <v>_Время для себя.pdf</v>
      </c>
      <c r="O1879" s="5" t="s">
        <v>7480</v>
      </c>
    </row>
    <row r="1880" spans="1:15" ht="151.80000000000001" x14ac:dyDescent="0.3">
      <c r="A1880" s="2">
        <v>1879</v>
      </c>
      <c r="B1880" s="3" t="s">
        <v>7481</v>
      </c>
      <c r="C1880" s="3"/>
      <c r="D1880" s="3"/>
      <c r="E1880" s="3"/>
      <c r="F1880" s="3" t="s">
        <v>7303</v>
      </c>
      <c r="G1880" s="3" t="s">
        <v>6986</v>
      </c>
      <c r="H1880" s="3" t="s">
        <v>7304</v>
      </c>
      <c r="I1880" s="3" t="s">
        <v>1147</v>
      </c>
      <c r="J1880" s="3">
        <v>0.02</v>
      </c>
      <c r="K1880" s="3" t="s">
        <v>21</v>
      </c>
      <c r="L1880" s="3" t="s">
        <v>7482</v>
      </c>
      <c r="M1880" s="3" t="s">
        <v>7306</v>
      </c>
      <c r="N1880" s="6" t="str">
        <f>HYPERLINK("C:\Users\alexa\YandexDisk\Книги\Нон-фикшн\Саморазвитие\Вы набиты мудростью-про самомотивацию.docx","Вы набиты мудростью-про самомотивацию.docx")</f>
        <v>Вы набиты мудростью-про самомотивацию.docx</v>
      </c>
      <c r="O1880" s="3" t="s">
        <v>7483</v>
      </c>
    </row>
    <row r="1881" spans="1:15" ht="262.2" x14ac:dyDescent="0.3">
      <c r="A1881" s="4">
        <v>1880</v>
      </c>
      <c r="B1881" s="5" t="s">
        <v>7484</v>
      </c>
      <c r="C1881" s="5"/>
      <c r="D1881" s="5"/>
      <c r="E1881" s="5"/>
      <c r="F1881" s="5" t="s">
        <v>7303</v>
      </c>
      <c r="G1881" s="5" t="s">
        <v>6986</v>
      </c>
      <c r="H1881" s="5" t="s">
        <v>7304</v>
      </c>
      <c r="I1881" s="5" t="s">
        <v>20</v>
      </c>
      <c r="J1881" s="5">
        <v>2.0699999999999998</v>
      </c>
      <c r="K1881" s="5" t="s">
        <v>21</v>
      </c>
      <c r="L1881" s="5" t="s">
        <v>7485</v>
      </c>
      <c r="M1881" s="5" t="s">
        <v>7306</v>
      </c>
      <c r="N1881" s="7" t="str">
        <f>HYPERLINK("C:\Users\alexa\YandexDisk\Книги\Нон-фикшн\Саморазвитие\Инструменты решения креативных задач.pdf","Инструменты решения креативных задач.pdf")</f>
        <v>Инструменты решения креативных задач.pdf</v>
      </c>
      <c r="O1881" s="5" t="s">
        <v>7486</v>
      </c>
    </row>
    <row r="1882" spans="1:15" ht="220.8" x14ac:dyDescent="0.3">
      <c r="A1882" s="2">
        <v>1881</v>
      </c>
      <c r="B1882" s="3" t="s">
        <v>7487</v>
      </c>
      <c r="C1882" s="3" t="s">
        <v>7488</v>
      </c>
      <c r="D1882" s="3"/>
      <c r="E1882" s="3"/>
      <c r="F1882" s="3" t="s">
        <v>7303</v>
      </c>
      <c r="G1882" s="3" t="s">
        <v>6986</v>
      </c>
      <c r="H1882" s="3" t="s">
        <v>7304</v>
      </c>
      <c r="I1882" s="3" t="s">
        <v>20</v>
      </c>
      <c r="J1882" s="3">
        <v>5.98</v>
      </c>
      <c r="K1882" s="3" t="s">
        <v>21</v>
      </c>
      <c r="L1882" s="3" t="s">
        <v>7489</v>
      </c>
      <c r="M1882" s="3" t="s">
        <v>7306</v>
      </c>
      <c r="N1882" s="6" t="str">
        <f>HYPERLINK("C:\Users\alexa\YandexDisk\Книги\Нон-фикшн\Саморазвитие\Как обычный может стать гением.pdf","Как обычный может стать гением.pdf")</f>
        <v>Как обычный может стать гением.pdf</v>
      </c>
      <c r="O1882" s="3" t="s">
        <v>7490</v>
      </c>
    </row>
    <row r="1883" spans="1:15" ht="151.80000000000001" x14ac:dyDescent="0.3">
      <c r="A1883" s="4">
        <v>1882</v>
      </c>
      <c r="B1883" s="5" t="s">
        <v>7491</v>
      </c>
      <c r="C1883" s="5" t="s">
        <v>7492</v>
      </c>
      <c r="D1883" s="5"/>
      <c r="E1883" s="5"/>
      <c r="F1883" s="5" t="s">
        <v>7303</v>
      </c>
      <c r="G1883" s="5" t="s">
        <v>6986</v>
      </c>
      <c r="H1883" s="5" t="s">
        <v>7304</v>
      </c>
      <c r="I1883" s="5" t="s">
        <v>20</v>
      </c>
      <c r="J1883" s="5">
        <v>2.82</v>
      </c>
      <c r="K1883" s="5" t="s">
        <v>21</v>
      </c>
      <c r="L1883" s="5" t="s">
        <v>7493</v>
      </c>
      <c r="M1883" s="5" t="s">
        <v>7306</v>
      </c>
      <c r="N1883" s="7" t="str">
        <f>HYPERLINK("C:\Users\alexa\YandexDisk\Книги\Нон-фикшн\Саморазвитие\Книга о тактике.pdf","Книга о тактике.pdf")</f>
        <v>Книга о тактике.pdf</v>
      </c>
      <c r="O1883" s="5" t="s">
        <v>7494</v>
      </c>
    </row>
    <row r="1884" spans="1:15" ht="193.2" x14ac:dyDescent="0.3">
      <c r="A1884" s="2">
        <v>1883</v>
      </c>
      <c r="B1884" s="3" t="s">
        <v>7495</v>
      </c>
      <c r="C1884" s="3" t="s">
        <v>7496</v>
      </c>
      <c r="D1884" s="3" t="s">
        <v>186</v>
      </c>
      <c r="E1884" s="3" t="s">
        <v>303</v>
      </c>
      <c r="F1884" s="3" t="s">
        <v>7303</v>
      </c>
      <c r="G1884" s="3" t="s">
        <v>6986</v>
      </c>
      <c r="H1884" s="3" t="s">
        <v>7304</v>
      </c>
      <c r="I1884" s="3" t="s">
        <v>2787</v>
      </c>
      <c r="J1884" s="3">
        <v>1.45</v>
      </c>
      <c r="K1884" s="3" t="s">
        <v>21</v>
      </c>
      <c r="L1884" s="3" t="s">
        <v>7497</v>
      </c>
      <c r="M1884" s="3" t="s">
        <v>7306</v>
      </c>
      <c r="N1884" s="6" t="str">
        <f>HYPERLINK("C:\Users\alexa\YandexDisk\Книги\Нон-фикшн\Саморазвитие\Манн_Как_стать_лучшим_в_том_что_ты_делаешь.fb2","Манн_Как_стать_лучшим_в_том_что_ты_делаешь.fb2")</f>
        <v>Манн_Как_стать_лучшим_в_том_что_ты_делаешь.fb2</v>
      </c>
      <c r="O1884" s="3" t="s">
        <v>7498</v>
      </c>
    </row>
    <row r="1885" spans="1:15" ht="151.80000000000001" x14ac:dyDescent="0.3">
      <c r="A1885" s="4">
        <v>1884</v>
      </c>
      <c r="B1885" s="5" t="s">
        <v>7499</v>
      </c>
      <c r="C1885" s="5"/>
      <c r="D1885" s="5"/>
      <c r="E1885" s="5"/>
      <c r="F1885" s="5" t="s">
        <v>7303</v>
      </c>
      <c r="G1885" s="5" t="s">
        <v>6986</v>
      </c>
      <c r="H1885" s="5" t="s">
        <v>7304</v>
      </c>
      <c r="I1885" s="5" t="s">
        <v>4473</v>
      </c>
      <c r="J1885" s="5">
        <v>1.26</v>
      </c>
      <c r="K1885" s="5" t="s">
        <v>21</v>
      </c>
      <c r="L1885" s="5" t="s">
        <v>7500</v>
      </c>
      <c r="M1885" s="5" t="s">
        <v>7306</v>
      </c>
      <c r="N1885" s="7" t="str">
        <f>HYPERLINK("C:\Users\alexa\YandexDisk\Книги\Нон-фикшн\Саморазвитие\МН-Где зимует кузькина мать.doc","МН-Где зимует кузькина мать.doc")</f>
        <v>МН-Где зимует кузькина мать.doc</v>
      </c>
      <c r="O1885" s="5" t="s">
        <v>7501</v>
      </c>
    </row>
    <row r="1886" spans="1:15" ht="179.4" x14ac:dyDescent="0.3">
      <c r="A1886" s="2">
        <v>1885</v>
      </c>
      <c r="B1886" s="3" t="s">
        <v>7502</v>
      </c>
      <c r="C1886" s="3"/>
      <c r="D1886" s="3"/>
      <c r="E1886" s="3"/>
      <c r="F1886" s="3" t="s">
        <v>7303</v>
      </c>
      <c r="G1886" s="3" t="s">
        <v>6986</v>
      </c>
      <c r="H1886" s="3" t="s">
        <v>7304</v>
      </c>
      <c r="I1886" s="3" t="s">
        <v>4473</v>
      </c>
      <c r="J1886" s="3">
        <v>0.74</v>
      </c>
      <c r="K1886" s="3" t="s">
        <v>21</v>
      </c>
      <c r="L1886" s="3" t="s">
        <v>7503</v>
      </c>
      <c r="M1886" s="3" t="s">
        <v>7306</v>
      </c>
      <c r="N1886" s="6" t="str">
        <f>HYPERLINK("C:\Users\alexa\YandexDisk\Книги\Нон-фикшн\Саморазвитие\МН-Рыжий ослик.doc","МН-Рыжий ослик.doc")</f>
        <v>МН-Рыжий ослик.doc</v>
      </c>
      <c r="O1886" s="3" t="s">
        <v>7504</v>
      </c>
    </row>
    <row r="1887" spans="1:15" ht="41.4" x14ac:dyDescent="0.3">
      <c r="A1887" s="4">
        <v>1886</v>
      </c>
      <c r="B1887" s="5" t="s">
        <v>7505</v>
      </c>
      <c r="C1887" s="5"/>
      <c r="D1887" s="5"/>
      <c r="E1887" s="5"/>
      <c r="F1887" s="5" t="s">
        <v>7303</v>
      </c>
      <c r="G1887" s="5" t="s">
        <v>6986</v>
      </c>
      <c r="H1887" s="5" t="s">
        <v>7304</v>
      </c>
      <c r="I1887" s="5" t="s">
        <v>3154</v>
      </c>
      <c r="J1887" s="5">
        <v>2.17</v>
      </c>
      <c r="K1887" s="5" t="s">
        <v>21</v>
      </c>
      <c r="L1887" s="5" t="s">
        <v>7506</v>
      </c>
      <c r="M1887" s="5" t="s">
        <v>7306</v>
      </c>
      <c r="N1887" s="7" t="str">
        <f>HYPERLINK("C:\Users\alexa\YandexDisk\Книги\Нон-фикшн\Саморазвитие\Рожденные Выигрывать.rtf","Рожденные Выигрывать.rtf")</f>
        <v>Рожденные Выигрывать.rtf</v>
      </c>
      <c r="O1887" s="5" t="s">
        <v>930</v>
      </c>
    </row>
    <row r="1888" spans="1:15" ht="124.2" x14ac:dyDescent="0.3">
      <c r="A1888" s="2">
        <v>1887</v>
      </c>
      <c r="B1888" s="3" t="s">
        <v>7507</v>
      </c>
      <c r="C1888" s="3"/>
      <c r="D1888" s="3"/>
      <c r="E1888" s="3"/>
      <c r="F1888" s="3" t="s">
        <v>7303</v>
      </c>
      <c r="G1888" s="3" t="s">
        <v>6986</v>
      </c>
      <c r="H1888" s="3" t="s">
        <v>7304</v>
      </c>
      <c r="I1888" s="3" t="s">
        <v>4473</v>
      </c>
      <c r="J1888" s="3">
        <v>0.77</v>
      </c>
      <c r="K1888" s="3" t="s">
        <v>21</v>
      </c>
      <c r="L1888" s="3" t="s">
        <v>7508</v>
      </c>
      <c r="M1888" s="3" t="s">
        <v>7306</v>
      </c>
      <c r="N1888" s="6" t="str">
        <f>HYPERLINK("C:\Users\alexa\YandexDisk\Книги\Нон-фикшн\Саморазвитие\Самоучитель по развитию интуциии.doc","Самоучитель по развитию интуциии.doc")</f>
        <v>Самоучитель по развитию интуциии.doc</v>
      </c>
      <c r="O1888" s="3" t="s">
        <v>7509</v>
      </c>
    </row>
    <row r="1889" spans="1:15" ht="179.4" x14ac:dyDescent="0.3">
      <c r="A1889" s="4">
        <v>1888</v>
      </c>
      <c r="B1889" s="5" t="s">
        <v>7510</v>
      </c>
      <c r="C1889" s="5"/>
      <c r="D1889" s="5"/>
      <c r="E1889" s="5"/>
      <c r="F1889" s="5" t="s">
        <v>7303</v>
      </c>
      <c r="G1889" s="5" t="s">
        <v>6986</v>
      </c>
      <c r="H1889" s="5" t="s">
        <v>7304</v>
      </c>
      <c r="I1889" s="5" t="s">
        <v>4473</v>
      </c>
      <c r="J1889" s="5">
        <v>1.92</v>
      </c>
      <c r="K1889" s="5" t="s">
        <v>21</v>
      </c>
      <c r="L1889" s="5" t="s">
        <v>7511</v>
      </c>
      <c r="M1889" s="5" t="s">
        <v>7306</v>
      </c>
      <c r="N1889" s="7" t="str">
        <f>HYPERLINK("C:\Users\alexa\YandexDisk\Книги\Нон-фикшн\Саморазвитие\СОВЕРШЕНСТВОВАНИЕ ЭНЕРГИИ.doc","СОВЕРШЕНСТВОВАНИЕ ЭНЕРГИИ.doc")</f>
        <v>СОВЕРШЕНСТВОВАНИЕ ЭНЕРГИИ.doc</v>
      </c>
      <c r="O1889" s="5" t="s">
        <v>7512</v>
      </c>
    </row>
    <row r="1890" spans="1:15" ht="41.4" x14ac:dyDescent="0.3">
      <c r="A1890" s="2">
        <v>1889</v>
      </c>
      <c r="B1890" s="3" t="s">
        <v>7513</v>
      </c>
      <c r="C1890" s="3"/>
      <c r="D1890" s="3"/>
      <c r="E1890" s="3"/>
      <c r="F1890" s="3" t="s">
        <v>7303</v>
      </c>
      <c r="G1890" s="3" t="s">
        <v>6986</v>
      </c>
      <c r="H1890" s="3" t="s">
        <v>7304</v>
      </c>
      <c r="I1890" s="3" t="s">
        <v>4473</v>
      </c>
      <c r="J1890" s="3">
        <v>0.96</v>
      </c>
      <c r="K1890" s="3" t="s">
        <v>21</v>
      </c>
      <c r="L1890" s="3" t="s">
        <v>7514</v>
      </c>
      <c r="M1890" s="3" t="s">
        <v>7306</v>
      </c>
      <c r="N1890" s="6" t="str">
        <f>HYPERLINK("C:\Users\alexa\YandexDisk\Книги\Нон-фикшн\Саморазвитие\Уроки Норбекова.doc","Уроки Норбекова.doc")</f>
        <v>Уроки Норбекова.doc</v>
      </c>
      <c r="O1890" s="3" t="s">
        <v>7365</v>
      </c>
    </row>
    <row r="1891" spans="1:15" ht="165.6" x14ac:dyDescent="0.3">
      <c r="A1891" s="4">
        <v>1890</v>
      </c>
      <c r="B1891" s="5" t="s">
        <v>7515</v>
      </c>
      <c r="C1891" s="5"/>
      <c r="D1891" s="5"/>
      <c r="E1891" s="5"/>
      <c r="F1891" s="5" t="s">
        <v>7303</v>
      </c>
      <c r="G1891" s="5" t="s">
        <v>6986</v>
      </c>
      <c r="H1891" s="5" t="s">
        <v>7304</v>
      </c>
      <c r="I1891" s="5" t="s">
        <v>4473</v>
      </c>
      <c r="J1891" s="5">
        <v>1.47</v>
      </c>
      <c r="K1891" s="5" t="s">
        <v>21</v>
      </c>
      <c r="L1891" s="5" t="s">
        <v>7516</v>
      </c>
      <c r="M1891" s="5" t="s">
        <v>7306</v>
      </c>
      <c r="N1891" s="7" t="str">
        <f>HYPERLINK("C:\Users\alexa\YandexDisk\Книги\Нон-фикшн\Саморазвитие\Успех на вашу голову и как его избежать.doc","Успех на вашу голову и как его избежать.doc")</f>
        <v>Успех на вашу голову и как его избежать.doc</v>
      </c>
      <c r="O1891" s="5" t="s">
        <v>7517</v>
      </c>
    </row>
    <row r="1892" spans="1:15" ht="220.8" x14ac:dyDescent="0.3">
      <c r="A1892" s="2">
        <v>1891</v>
      </c>
      <c r="B1892" s="3" t="s">
        <v>7518</v>
      </c>
      <c r="C1892" s="3"/>
      <c r="D1892" s="3"/>
      <c r="E1892" s="3"/>
      <c r="F1892" s="3" t="s">
        <v>7303</v>
      </c>
      <c r="G1892" s="3" t="s">
        <v>6986</v>
      </c>
      <c r="H1892" s="3" t="s">
        <v>7304</v>
      </c>
      <c r="I1892" s="3" t="s">
        <v>20</v>
      </c>
      <c r="J1892" s="3">
        <v>0.28999999999999998</v>
      </c>
      <c r="K1892" s="3" t="s">
        <v>21</v>
      </c>
      <c r="L1892" s="3" t="s">
        <v>7519</v>
      </c>
      <c r="M1892" s="3" t="s">
        <v>7306</v>
      </c>
      <c r="N1892" s="6" t="str">
        <f>HYPERLINK("C:\Users\alexa\YandexDisk\Книги\Нон-фикшн\Саморазвитие\Факт-карта- как принимать сложные решения.pdf","Факт-карта- как принимать сложные решения.pdf")</f>
        <v>Факт-карта- как принимать сложные решения.pdf</v>
      </c>
      <c r="O1892" s="3" t="s">
        <v>7520</v>
      </c>
    </row>
    <row r="1893" spans="1:15" ht="179.4" x14ac:dyDescent="0.3">
      <c r="A1893" s="4">
        <v>1892</v>
      </c>
      <c r="B1893" s="5" t="s">
        <v>7521</v>
      </c>
      <c r="C1893" s="5" t="s">
        <v>7522</v>
      </c>
      <c r="D1893" s="5" t="s">
        <v>59</v>
      </c>
      <c r="E1893" s="5" t="s">
        <v>303</v>
      </c>
      <c r="F1893" s="5" t="s">
        <v>7523</v>
      </c>
      <c r="G1893" s="5" t="s">
        <v>6986</v>
      </c>
      <c r="H1893" s="5" t="s">
        <v>7524</v>
      </c>
      <c r="I1893" s="5" t="s">
        <v>20</v>
      </c>
      <c r="J1893" s="5">
        <v>23.81</v>
      </c>
      <c r="K1893" s="5" t="s">
        <v>21</v>
      </c>
      <c r="L1893" s="5" t="s">
        <v>7525</v>
      </c>
      <c r="M1893" s="5" t="s">
        <v>7526</v>
      </c>
      <c r="N1893" s="7" t="str">
        <f>HYPERLINK("C:\Users\alexa\YandexDisk\Книги\Нон-фикшн\Спорт\joga-dyshi-tyanis-zhivi2.pdf","joga-dyshi-tyanis-zhivi2.pdf")</f>
        <v>joga-dyshi-tyanis-zhivi2.pdf</v>
      </c>
      <c r="O1893" s="5" t="s">
        <v>7527</v>
      </c>
    </row>
    <row r="1894" spans="1:15" ht="27.6" x14ac:dyDescent="0.3">
      <c r="A1894" s="2">
        <v>1893</v>
      </c>
      <c r="B1894" s="3" t="s">
        <v>7528</v>
      </c>
      <c r="C1894" s="3" t="s">
        <v>7529</v>
      </c>
      <c r="D1894" s="3"/>
      <c r="E1894" s="3"/>
      <c r="F1894" s="3" t="s">
        <v>7523</v>
      </c>
      <c r="G1894" s="3" t="s">
        <v>6986</v>
      </c>
      <c r="H1894" s="3" t="s">
        <v>7524</v>
      </c>
      <c r="I1894" s="3" t="s">
        <v>20</v>
      </c>
      <c r="J1894" s="3">
        <v>3.02</v>
      </c>
      <c r="K1894" s="3" t="s">
        <v>21</v>
      </c>
      <c r="L1894" s="3" t="s">
        <v>7530</v>
      </c>
      <c r="M1894" s="3" t="s">
        <v>7526</v>
      </c>
      <c r="N1894" s="6" t="str">
        <f>HYPERLINK("C:\Users\alexa\YandexDisk\Книги\Нон-фикшн\Спорт\Phil_Gordon_Little_Green_Book_rus.pdf","Phil_Gordon_Little_Green_Book_rus.pdf")</f>
        <v>Phil_Gordon_Little_Green_Book_rus.pdf</v>
      </c>
      <c r="O1894" s="3" t="s">
        <v>930</v>
      </c>
    </row>
    <row r="1895" spans="1:15" ht="179.4" x14ac:dyDescent="0.3">
      <c r="A1895" s="4">
        <v>1894</v>
      </c>
      <c r="B1895" s="5" t="s">
        <v>7531</v>
      </c>
      <c r="C1895" s="5" t="s">
        <v>7532</v>
      </c>
      <c r="D1895" s="5"/>
      <c r="E1895" s="5"/>
      <c r="F1895" s="5" t="s">
        <v>7523</v>
      </c>
      <c r="G1895" s="5" t="s">
        <v>6986</v>
      </c>
      <c r="H1895" s="5" t="s">
        <v>7524</v>
      </c>
      <c r="I1895" s="5" t="s">
        <v>4473</v>
      </c>
      <c r="J1895" s="5">
        <v>6.72</v>
      </c>
      <c r="K1895" s="5" t="s">
        <v>21</v>
      </c>
      <c r="L1895" s="5" t="s">
        <v>7533</v>
      </c>
      <c r="M1895" s="5" t="s">
        <v>7526</v>
      </c>
      <c r="N1895" s="7" t="str">
        <f>HYPERLINK("C:\Users\alexa\YandexDisk\Книги\Нон-фикшн\Спорт\Sklansky - The Theory Of Poker_final_edition.doc","Sklansky - The Theory Of Poker_final_edition.doc")</f>
        <v>Sklansky - The Theory Of Poker_final_edition.doc</v>
      </c>
      <c r="O1895" s="5" t="s">
        <v>7534</v>
      </c>
    </row>
    <row r="1896" spans="1:15" ht="27.6" x14ac:dyDescent="0.3">
      <c r="A1896" s="2">
        <v>1895</v>
      </c>
      <c r="B1896" s="3" t="s">
        <v>7535</v>
      </c>
      <c r="C1896" s="3" t="s">
        <v>7536</v>
      </c>
      <c r="D1896" s="3" t="s">
        <v>172</v>
      </c>
      <c r="E1896" s="3" t="s">
        <v>7537</v>
      </c>
      <c r="F1896" s="3" t="s">
        <v>7523</v>
      </c>
      <c r="G1896" s="3" t="s">
        <v>6986</v>
      </c>
      <c r="H1896" s="3" t="s">
        <v>7524</v>
      </c>
      <c r="I1896" s="3" t="s">
        <v>20</v>
      </c>
      <c r="J1896" s="3">
        <v>1.84</v>
      </c>
      <c r="K1896" s="3" t="s">
        <v>21</v>
      </c>
      <c r="L1896" s="3" t="s">
        <v>7538</v>
      </c>
      <c r="M1896" s="3" t="s">
        <v>7526</v>
      </c>
      <c r="N1896" s="6" t="str">
        <f>HYPERLINK("C:\Users\alexa\YandexDisk\Книги\Нон-фикшн\Спорт\Sklansky_Miller_NL_Holdem_Theory&amp;Practice_rus.pdf","Sklansky_Miller_NL_Holdem_Theory&amp;Practice_rus.pdf")</f>
        <v>Sklansky_Miller_NL_Holdem_Theory&amp;Practice_rus.pdf</v>
      </c>
      <c r="O1896" s="3" t="s">
        <v>930</v>
      </c>
    </row>
    <row r="1897" spans="1:15" ht="151.80000000000001" x14ac:dyDescent="0.3">
      <c r="A1897" s="4">
        <v>1896</v>
      </c>
      <c r="B1897" s="5" t="s">
        <v>7539</v>
      </c>
      <c r="C1897" s="5" t="s">
        <v>7540</v>
      </c>
      <c r="D1897" s="5" t="s">
        <v>2745</v>
      </c>
      <c r="E1897" s="5"/>
      <c r="F1897" s="5" t="s">
        <v>7523</v>
      </c>
      <c r="G1897" s="5" t="s">
        <v>6986</v>
      </c>
      <c r="H1897" s="5" t="s">
        <v>7524</v>
      </c>
      <c r="I1897" s="5" t="s">
        <v>20</v>
      </c>
      <c r="J1897" s="5">
        <v>4.33</v>
      </c>
      <c r="K1897" s="5" t="s">
        <v>21</v>
      </c>
      <c r="L1897" s="5" t="s">
        <v>7541</v>
      </c>
      <c r="M1897" s="5" t="s">
        <v>7526</v>
      </c>
      <c r="N1897" s="7" t="str">
        <f>HYPERLINK("C:\Users\alexa\YandexDisk\Книги\Нон-фикшн\Спорт\Жизнь и смерть-сикацу_Го.pdf","Жизнь и смерть-сикацу_Го.pdf")</f>
        <v>Жизнь и смерть-сикацу_Го.pdf</v>
      </c>
      <c r="O1897" s="5" t="s">
        <v>7542</v>
      </c>
    </row>
    <row r="1898" spans="1:15" ht="207" x14ac:dyDescent="0.3">
      <c r="A1898" s="2">
        <v>1897</v>
      </c>
      <c r="B1898" s="3" t="s">
        <v>7543</v>
      </c>
      <c r="C1898" s="3" t="s">
        <v>7544</v>
      </c>
      <c r="D1898" s="3" t="s">
        <v>1565</v>
      </c>
      <c r="E1898" s="3" t="s">
        <v>7545</v>
      </c>
      <c r="F1898" s="3" t="s">
        <v>7523</v>
      </c>
      <c r="G1898" s="3" t="s">
        <v>6986</v>
      </c>
      <c r="H1898" s="3" t="s">
        <v>7524</v>
      </c>
      <c r="I1898" s="3" t="s">
        <v>20</v>
      </c>
      <c r="J1898" s="3">
        <v>6.77</v>
      </c>
      <c r="K1898" s="3" t="s">
        <v>21</v>
      </c>
      <c r="L1898" s="3" t="s">
        <v>7546</v>
      </c>
      <c r="M1898" s="3" t="s">
        <v>7526</v>
      </c>
      <c r="N1898" s="6" t="str">
        <f>HYPERLINK("C:\Users\alexa\YandexDisk\Книги\Нон-фикшн\Спорт\Игра Го для начинающих.pdf","Игра Го для начинающих.pdf")</f>
        <v>Игра Го для начинающих.pdf</v>
      </c>
      <c r="O1898" s="3" t="s">
        <v>7547</v>
      </c>
    </row>
    <row r="1899" spans="1:15" ht="138" x14ac:dyDescent="0.3">
      <c r="A1899" s="4">
        <v>1898</v>
      </c>
      <c r="B1899" s="5" t="s">
        <v>7548</v>
      </c>
      <c r="C1899" s="5"/>
      <c r="D1899" s="5"/>
      <c r="E1899" s="5"/>
      <c r="F1899" s="5" t="s">
        <v>7523</v>
      </c>
      <c r="G1899" s="5" t="s">
        <v>6986</v>
      </c>
      <c r="H1899" s="5" t="s">
        <v>7524</v>
      </c>
      <c r="I1899" s="5" t="s">
        <v>4473</v>
      </c>
      <c r="J1899" s="5">
        <v>0.08</v>
      </c>
      <c r="K1899" s="5" t="s">
        <v>21</v>
      </c>
      <c r="L1899" s="5" t="s">
        <v>7549</v>
      </c>
      <c r="M1899" s="5" t="s">
        <v>7526</v>
      </c>
      <c r="N1899" s="7" t="str">
        <f>HYPERLINK("C:\Users\alexa\YandexDisk\Книги\Нон-фикшн\Спорт\Королевский Флаш.doc","Королевский Флаш.doc")</f>
        <v>Королевский Флаш.doc</v>
      </c>
      <c r="O1899" s="5" t="s">
        <v>7550</v>
      </c>
    </row>
    <row r="1900" spans="1:15" ht="165.6" x14ac:dyDescent="0.3">
      <c r="A1900" s="2">
        <v>1899</v>
      </c>
      <c r="B1900" s="3" t="s">
        <v>7551</v>
      </c>
      <c r="C1900" s="3" t="s">
        <v>7552</v>
      </c>
      <c r="D1900" s="3"/>
      <c r="E1900" s="3"/>
      <c r="F1900" s="3" t="s">
        <v>7523</v>
      </c>
      <c r="G1900" s="3" t="s">
        <v>6986</v>
      </c>
      <c r="H1900" s="3" t="s">
        <v>7524</v>
      </c>
      <c r="I1900" s="3" t="s">
        <v>721</v>
      </c>
      <c r="J1900" s="3">
        <v>8.36</v>
      </c>
      <c r="K1900" s="3" t="s">
        <v>21</v>
      </c>
      <c r="L1900" s="3" t="s">
        <v>7553</v>
      </c>
      <c r="M1900" s="3" t="s">
        <v>7526</v>
      </c>
      <c r="N1900" s="6" t="str">
        <f>HYPERLINK("C:\Users\alexa\YandexDisk\Книги\Нон-фикшн\Спорт\Ознобишин Н.Н., Искусство рукопашного боя.djvu","Ознобишин Н.Н., Искусство рукопашного боя.djvu")</f>
        <v>Ознобишин Н.Н., Искусство рукопашного боя.djvu</v>
      </c>
      <c r="O1900" s="3" t="s">
        <v>7554</v>
      </c>
    </row>
    <row r="1901" spans="1:15" ht="165.6" x14ac:dyDescent="0.3">
      <c r="A1901" s="4">
        <v>1900</v>
      </c>
      <c r="B1901" s="5" t="s">
        <v>7555</v>
      </c>
      <c r="C1901" s="5" t="s">
        <v>7556</v>
      </c>
      <c r="D1901" s="5" t="s">
        <v>7557</v>
      </c>
      <c r="E1901" s="5" t="s">
        <v>7558</v>
      </c>
      <c r="F1901" s="5" t="s">
        <v>7523</v>
      </c>
      <c r="G1901" s="5" t="s">
        <v>6986</v>
      </c>
      <c r="H1901" s="5" t="s">
        <v>7524</v>
      </c>
      <c r="I1901" s="5" t="s">
        <v>20</v>
      </c>
      <c r="J1901" s="5">
        <v>1.0900000000000001</v>
      </c>
      <c r="K1901" s="5" t="s">
        <v>21</v>
      </c>
      <c r="L1901" s="5" t="s">
        <v>7559</v>
      </c>
      <c r="M1901" s="5" t="s">
        <v>7526</v>
      </c>
      <c r="N1901" s="7" t="str">
        <f>HYPERLINK("C:\Users\alexa\YandexDisk\Книги\Нон-фикшн\Спорт\Основы Го-техники.pdf","Основы Го-техники.pdf")</f>
        <v>Основы Го-техники.pdf</v>
      </c>
      <c r="O1901" s="5" t="s">
        <v>7560</v>
      </c>
    </row>
    <row r="1902" spans="1:15" ht="41.4" x14ac:dyDescent="0.3">
      <c r="A1902" s="2">
        <v>1901</v>
      </c>
      <c r="B1902" s="3" t="s">
        <v>7561</v>
      </c>
      <c r="C1902" s="3" t="s">
        <v>7562</v>
      </c>
      <c r="D1902" s="3"/>
      <c r="E1902" s="3"/>
      <c r="F1902" s="3" t="s">
        <v>7523</v>
      </c>
      <c r="G1902" s="3" t="s">
        <v>6986</v>
      </c>
      <c r="H1902" s="3" t="s">
        <v>7524</v>
      </c>
      <c r="I1902" s="3" t="s">
        <v>519</v>
      </c>
      <c r="J1902" s="3">
        <v>1.97</v>
      </c>
      <c r="K1902" s="3" t="s">
        <v>21</v>
      </c>
      <c r="L1902" s="3" t="s">
        <v>7563</v>
      </c>
      <c r="M1902" s="3" t="s">
        <v>7526</v>
      </c>
      <c r="N1902" s="6" t="str">
        <f>HYPERLINK("C:\Users\alexa\YandexDisk\Книги\Нон-фикшн\Спорт\ХЭРРИНГТОН О холдеме_полный перевод.zip","ХЭРРИНГТОН О холдеме_полный перевод.zip")</f>
        <v>ХЭРРИНГТОН О холдеме_полный перевод.zip</v>
      </c>
      <c r="O1902" s="3" t="s">
        <v>930</v>
      </c>
    </row>
    <row r="1903" spans="1:15" ht="179.4" x14ac:dyDescent="0.3">
      <c r="A1903" s="4">
        <v>1902</v>
      </c>
      <c r="B1903" s="5" t="s">
        <v>7564</v>
      </c>
      <c r="C1903" s="5" t="s">
        <v>4623</v>
      </c>
      <c r="D1903" s="5"/>
      <c r="E1903" s="5"/>
      <c r="F1903" s="5" t="s">
        <v>7523</v>
      </c>
      <c r="G1903" s="5" t="s">
        <v>6986</v>
      </c>
      <c r="H1903" s="5" t="s">
        <v>7524</v>
      </c>
      <c r="I1903" s="5" t="s">
        <v>20</v>
      </c>
      <c r="J1903" s="5">
        <v>28.67</v>
      </c>
      <c r="K1903" s="5" t="s">
        <v>21</v>
      </c>
      <c r="L1903" s="5" t="s">
        <v>7565</v>
      </c>
      <c r="M1903" s="5" t="s">
        <v>7526</v>
      </c>
      <c r="N1903" s="7" t="str">
        <f>HYPERLINK("C:\Users\alexa\YandexDisk\Книги\Нон-фикшн\Спорт\Шаолинь_и_его_окресности_Дарья_Патока.pdf","Шаолинь_и_его_окресности_Дарья_Патока.pdf")</f>
        <v>Шаолинь_и_его_окресности_Дарья_Патока.pdf</v>
      </c>
      <c r="O1903" s="5" t="s">
        <v>7566</v>
      </c>
    </row>
    <row r="1904" spans="1:15" ht="179.4" x14ac:dyDescent="0.3">
      <c r="A1904" s="2">
        <v>1903</v>
      </c>
      <c r="B1904" s="3" t="s">
        <v>7567</v>
      </c>
      <c r="C1904" s="3" t="s">
        <v>7568</v>
      </c>
      <c r="D1904" s="3" t="s">
        <v>27</v>
      </c>
      <c r="E1904" s="3" t="s">
        <v>7384</v>
      </c>
      <c r="F1904" s="3" t="s">
        <v>7569</v>
      </c>
      <c r="G1904" s="3" t="s">
        <v>6986</v>
      </c>
      <c r="H1904" s="3" t="s">
        <v>7570</v>
      </c>
      <c r="I1904" s="3" t="s">
        <v>20</v>
      </c>
      <c r="J1904" s="3">
        <v>5.16</v>
      </c>
      <c r="K1904" s="3" t="s">
        <v>21</v>
      </c>
      <c r="L1904" s="3" t="s">
        <v>7571</v>
      </c>
      <c r="M1904" s="3" t="s">
        <v>7572</v>
      </c>
      <c r="N1904" s="6" t="str">
        <f>HYPERLINK("C:\Users\alexa\YandexDisk\Книги\Нон-фикшн\Философия\!Kurpatov_A._Akademiyasmyisla._Sposobyi_Dumat.pdf","!Kurpatov_A._Akademiyasmyisla._Sposobyi_Dumat.pdf")</f>
        <v>!Kurpatov_A._Akademiyasmyisla._Sposobyi_Dumat.pdf</v>
      </c>
      <c r="O1904" s="3" t="s">
        <v>7573</v>
      </c>
    </row>
    <row r="1905" spans="1:15" ht="179.4" x14ac:dyDescent="0.3">
      <c r="A1905" s="4">
        <v>1904</v>
      </c>
      <c r="B1905" s="5" t="s">
        <v>7574</v>
      </c>
      <c r="C1905" s="5" t="s">
        <v>7575</v>
      </c>
      <c r="D1905" s="5" t="s">
        <v>77</v>
      </c>
      <c r="E1905" s="5" t="s">
        <v>7576</v>
      </c>
      <c r="F1905" s="5" t="s">
        <v>7569</v>
      </c>
      <c r="G1905" s="5" t="s">
        <v>6986</v>
      </c>
      <c r="H1905" s="5" t="s">
        <v>7570</v>
      </c>
      <c r="I1905" s="5" t="s">
        <v>20</v>
      </c>
      <c r="J1905" s="5">
        <v>2.5</v>
      </c>
      <c r="K1905" s="5" t="s">
        <v>21</v>
      </c>
      <c r="L1905" s="5" t="s">
        <v>7577</v>
      </c>
      <c r="M1905" s="5" t="s">
        <v>7572</v>
      </c>
      <c r="N1905" s="7" t="str">
        <f>HYPERLINK("C:\Users\alexa\YandexDisk\Книги\Нон-фикшн\Философия\Harari_Yu._21_Urok_Dlya_Xxi_Veka.a4.pdf","Harari_Yu._21_Urok_Dlya_Xxi_Veka.a4.pdf")</f>
        <v>Harari_Yu._21_Urok_Dlya_Xxi_Veka.a4.pdf</v>
      </c>
      <c r="O1905" s="5" t="s">
        <v>7578</v>
      </c>
    </row>
    <row r="1906" spans="1:15" ht="179.4" x14ac:dyDescent="0.3">
      <c r="A1906" s="2">
        <v>1905</v>
      </c>
      <c r="B1906" s="3" t="s">
        <v>7383</v>
      </c>
      <c r="C1906" s="3" t="s">
        <v>7230</v>
      </c>
      <c r="D1906" s="3" t="s">
        <v>109</v>
      </c>
      <c r="E1906" s="3" t="s">
        <v>7579</v>
      </c>
      <c r="F1906" s="3" t="s">
        <v>7569</v>
      </c>
      <c r="G1906" s="3" t="s">
        <v>6986</v>
      </c>
      <c r="H1906" s="3" t="s">
        <v>7570</v>
      </c>
      <c r="I1906" s="3" t="s">
        <v>280</v>
      </c>
      <c r="J1906" s="3">
        <v>44.54</v>
      </c>
      <c r="K1906" s="3" t="s">
        <v>21</v>
      </c>
      <c r="L1906" s="3" t="s">
        <v>7580</v>
      </c>
      <c r="M1906" s="3" t="s">
        <v>7572</v>
      </c>
      <c r="N1906" s="6" t="str">
        <f>HYPERLINK("C:\Users\alexa\YandexDisk\Книги\Нон-фикшн\Философия\Kurpatov_A._Intellektualnyi._Deepfake_Gde_Tyi_Prosnis.epub","Kurpatov_A._Intellektualnyi._Deepfake_Gde_Tyi_Prosnis.epub")</f>
        <v>Kurpatov_A._Intellektualnyi._Deepfake_Gde_Tyi_Prosnis.epub</v>
      </c>
      <c r="O1906" s="3" t="s">
        <v>7581</v>
      </c>
    </row>
    <row r="1907" spans="1:15" ht="179.4" x14ac:dyDescent="0.3">
      <c r="A1907" s="4">
        <v>1906</v>
      </c>
      <c r="B1907" s="5" t="s">
        <v>7582</v>
      </c>
      <c r="C1907" s="5" t="s">
        <v>7583</v>
      </c>
      <c r="D1907" s="5" t="s">
        <v>7584</v>
      </c>
      <c r="E1907" s="5" t="s">
        <v>528</v>
      </c>
      <c r="F1907" s="5" t="s">
        <v>7569</v>
      </c>
      <c r="G1907" s="5" t="s">
        <v>6986</v>
      </c>
      <c r="H1907" s="5" t="s">
        <v>7570</v>
      </c>
      <c r="I1907" s="5" t="s">
        <v>20</v>
      </c>
      <c r="J1907" s="5">
        <v>1.68</v>
      </c>
      <c r="K1907" s="5" t="s">
        <v>21</v>
      </c>
      <c r="L1907" s="5" t="s">
        <v>7585</v>
      </c>
      <c r="M1907" s="5" t="s">
        <v>7572</v>
      </c>
      <c r="N1907" s="7" t="str">
        <f>HYPERLINK("C:\Users\alexa\YandexDisk\Книги\Нон-фикшн\Философия\Veller_M._Knigimihailav._Nakanune_Neizvestno_Chego.a4.pdf","Veller_M._Knigimihailav._Nakanune_Neizvestno_Chego.a4.pdf")</f>
        <v>Veller_M._Knigimihailav._Nakanune_Neizvestno_Chego.a4.pdf</v>
      </c>
      <c r="O1907" s="5" t="s">
        <v>7586</v>
      </c>
    </row>
    <row r="1908" spans="1:15" ht="262.2" x14ac:dyDescent="0.3">
      <c r="A1908" s="2">
        <v>1907</v>
      </c>
      <c r="B1908" s="3" t="s">
        <v>7587</v>
      </c>
      <c r="C1908" s="3" t="s">
        <v>7583</v>
      </c>
      <c r="D1908" s="3" t="s">
        <v>77</v>
      </c>
      <c r="E1908" s="3" t="s">
        <v>528</v>
      </c>
      <c r="F1908" s="3" t="s">
        <v>7569</v>
      </c>
      <c r="G1908" s="3" t="s">
        <v>6986</v>
      </c>
      <c r="H1908" s="3" t="s">
        <v>7570</v>
      </c>
      <c r="I1908" s="3" t="s">
        <v>20</v>
      </c>
      <c r="J1908" s="3">
        <v>2.15</v>
      </c>
      <c r="K1908" s="3" t="s">
        <v>21</v>
      </c>
      <c r="L1908" s="3" t="s">
        <v>7588</v>
      </c>
      <c r="M1908" s="3" t="s">
        <v>7572</v>
      </c>
      <c r="N1908" s="6" t="str">
        <f>HYPERLINK("C:\Users\alexa\YandexDisk\Книги\Нон-фикшн\Философия\Veller_M._Knigimihailav._Ne_Boyisya_Zavtra.a4.pdf","Veller_M._Knigimihailav._Ne_Boyisya_Zavtra.a4.pdf")</f>
        <v>Veller_M._Knigimihailav._Ne_Boyisya_Zavtra.a4.pdf</v>
      </c>
      <c r="O1908" s="3" t="s">
        <v>7589</v>
      </c>
    </row>
    <row r="1909" spans="1:15" ht="179.4" x14ac:dyDescent="0.3">
      <c r="A1909" s="4">
        <v>1908</v>
      </c>
      <c r="B1909" s="5" t="s">
        <v>7590</v>
      </c>
      <c r="C1909" s="5" t="s">
        <v>7591</v>
      </c>
      <c r="D1909" s="5" t="s">
        <v>1022</v>
      </c>
      <c r="E1909" s="5" t="s">
        <v>7592</v>
      </c>
      <c r="F1909" s="5" t="s">
        <v>7569</v>
      </c>
      <c r="G1909" s="5" t="s">
        <v>6986</v>
      </c>
      <c r="H1909" s="5" t="s">
        <v>7570</v>
      </c>
      <c r="I1909" s="5" t="s">
        <v>20</v>
      </c>
      <c r="J1909" s="5">
        <v>3.62</v>
      </c>
      <c r="K1909" s="5" t="s">
        <v>21</v>
      </c>
      <c r="L1909" s="5" t="s">
        <v>7593</v>
      </c>
      <c r="M1909" s="5" t="s">
        <v>7572</v>
      </c>
      <c r="N1909" s="7" t="str">
        <f>HYPERLINK("C:\Users\alexa\YandexDisk\Книги\Нон-фикшн\Философия\Бодрийяр. Симулякры и симуляции.pdf","Бодрийяр. Симулякры и симуляции.pdf")</f>
        <v>Бодрийяр. Симулякры и симуляции.pdf</v>
      </c>
      <c r="O1909" s="5" t="s">
        <v>7594</v>
      </c>
    </row>
    <row r="1910" spans="1:15" ht="179.4" x14ac:dyDescent="0.3">
      <c r="A1910" s="2">
        <v>1909</v>
      </c>
      <c r="B1910" s="3" t="s">
        <v>7595</v>
      </c>
      <c r="C1910" s="3" t="s">
        <v>7596</v>
      </c>
      <c r="D1910" s="3" t="s">
        <v>27</v>
      </c>
      <c r="E1910" s="3" t="s">
        <v>3172</v>
      </c>
      <c r="F1910" s="3" t="s">
        <v>7569</v>
      </c>
      <c r="G1910" s="3" t="s">
        <v>6986</v>
      </c>
      <c r="H1910" s="3" t="s">
        <v>7570</v>
      </c>
      <c r="I1910" s="3" t="s">
        <v>2787</v>
      </c>
      <c r="J1910" s="3">
        <v>1.25</v>
      </c>
      <c r="K1910" s="3" t="s">
        <v>21</v>
      </c>
      <c r="L1910" s="3" t="s">
        <v>7597</v>
      </c>
      <c r="M1910" s="3" t="s">
        <v>7572</v>
      </c>
      <c r="N1910" s="6" t="str">
        <f>HYPERLINK("C:\Users\alexa\YandexDisk\Книги\Нон-фикшн\Философия\Жизнь проста - Маккфаден.fb2","Жизнь проста - Маккфаден.fb2")</f>
        <v>Жизнь проста - Маккфаден.fb2</v>
      </c>
      <c r="O1910" s="3" t="s">
        <v>7598</v>
      </c>
    </row>
    <row r="1911" spans="1:15" ht="207" x14ac:dyDescent="0.3">
      <c r="A1911" s="4">
        <v>1910</v>
      </c>
      <c r="B1911" s="5" t="s">
        <v>7599</v>
      </c>
      <c r="C1911" s="5" t="s">
        <v>7600</v>
      </c>
      <c r="D1911" s="5" t="s">
        <v>2849</v>
      </c>
      <c r="E1911" s="5" t="s">
        <v>7601</v>
      </c>
      <c r="F1911" s="5" t="s">
        <v>7569</v>
      </c>
      <c r="G1911" s="5" t="s">
        <v>6986</v>
      </c>
      <c r="H1911" s="5" t="s">
        <v>7570</v>
      </c>
      <c r="I1911" s="5" t="s">
        <v>280</v>
      </c>
      <c r="J1911" s="5">
        <v>0.94</v>
      </c>
      <c r="K1911" s="5" t="s">
        <v>21</v>
      </c>
      <c r="L1911" s="5" t="s">
        <v>7602</v>
      </c>
      <c r="M1911" s="5" t="s">
        <v>7572</v>
      </c>
      <c r="N1911" s="7" t="str">
        <f>HYPERLINK("C:\Users\alexa\YandexDisk\Книги\Нон-фикшн\Философия\Хакерская этика.epub","Хакерская этика.epub")</f>
        <v>Хакерская этика.epub</v>
      </c>
      <c r="O1911" s="5" t="s">
        <v>7603</v>
      </c>
    </row>
    <row r="1912" spans="1:15" ht="165.6" x14ac:dyDescent="0.3">
      <c r="A1912" s="2">
        <v>1911</v>
      </c>
      <c r="B1912" s="3" t="s">
        <v>7604</v>
      </c>
      <c r="C1912" s="3" t="s">
        <v>7605</v>
      </c>
      <c r="D1912" s="3" t="s">
        <v>1022</v>
      </c>
      <c r="E1912" s="3" t="s">
        <v>18</v>
      </c>
      <c r="F1912" s="3" t="s">
        <v>7606</v>
      </c>
      <c r="G1912" s="3" t="s">
        <v>6986</v>
      </c>
      <c r="H1912" s="3" t="s">
        <v>7607</v>
      </c>
      <c r="I1912" s="3" t="s">
        <v>20</v>
      </c>
      <c r="J1912" s="3">
        <v>7.3</v>
      </c>
      <c r="K1912" s="3" t="s">
        <v>21</v>
      </c>
      <c r="L1912" s="3" t="s">
        <v>7608</v>
      </c>
      <c r="M1912" s="3" t="s">
        <v>7609</v>
      </c>
      <c r="N1912" s="6" t="str">
        <f>HYPERLINK("C:\Users\alexa\YandexDisk\Книги\Нон-фикшн\Фотография\Brikman_D._Fotografiya_Uvidet_uvidennoe.pdf","Brikman_D._Fotografiya_Uvidet_uvidennoe.pdf")</f>
        <v>Brikman_D._Fotografiya_Uvidet_uvidennoe.pdf</v>
      </c>
      <c r="O1912" s="3" t="s">
        <v>7610</v>
      </c>
    </row>
    <row r="1913" spans="1:15" ht="220.8" x14ac:dyDescent="0.3">
      <c r="A1913" s="4">
        <v>1912</v>
      </c>
      <c r="B1913" s="5" t="s">
        <v>7611</v>
      </c>
      <c r="C1913" s="5" t="s">
        <v>7612</v>
      </c>
      <c r="D1913" s="5" t="s">
        <v>837</v>
      </c>
      <c r="E1913" s="5" t="s">
        <v>18</v>
      </c>
      <c r="F1913" s="5" t="s">
        <v>7606</v>
      </c>
      <c r="G1913" s="5" t="s">
        <v>6986</v>
      </c>
      <c r="H1913" s="5" t="s">
        <v>7607</v>
      </c>
      <c r="I1913" s="5" t="s">
        <v>20</v>
      </c>
      <c r="J1913" s="5">
        <v>25.29</v>
      </c>
      <c r="K1913" s="5" t="s">
        <v>21</v>
      </c>
      <c r="L1913" s="5" t="s">
        <v>7613</v>
      </c>
      <c r="M1913" s="5" t="s">
        <v>7609</v>
      </c>
      <c r="N1913" s="7" t="str">
        <f>HYPERLINK("C:\Users\alexa\YandexDisk\Книги\Нон-фикшн\Фотография\Efremov_A._Fotomaster_Vzglyad_cherez_obektiv.pdf","Efremov_A._Fotomaster_Vzglyad_cherez_obektiv.pdf")</f>
        <v>Efremov_A._Fotomaster_Vzglyad_cherez_obektiv.pdf</v>
      </c>
      <c r="O1913" s="5" t="s">
        <v>7614</v>
      </c>
    </row>
    <row r="1914" spans="1:15" ht="165.6" x14ac:dyDescent="0.3">
      <c r="A1914" s="2">
        <v>1913</v>
      </c>
      <c r="B1914" s="3" t="s">
        <v>7615</v>
      </c>
      <c r="C1914" s="3" t="s">
        <v>7616</v>
      </c>
      <c r="D1914" s="3" t="s">
        <v>114</v>
      </c>
      <c r="E1914" s="3" t="s">
        <v>528</v>
      </c>
      <c r="F1914" s="3" t="s">
        <v>7606</v>
      </c>
      <c r="G1914" s="3" t="s">
        <v>6986</v>
      </c>
      <c r="H1914" s="3" t="s">
        <v>7607</v>
      </c>
      <c r="I1914" s="3" t="s">
        <v>20</v>
      </c>
      <c r="J1914" s="3">
        <v>43.79</v>
      </c>
      <c r="K1914" s="3" t="s">
        <v>21</v>
      </c>
      <c r="L1914" s="3" t="s">
        <v>7617</v>
      </c>
      <c r="M1914" s="3" t="s">
        <v>7609</v>
      </c>
      <c r="N1914" s="6" t="str">
        <f>HYPERLINK("C:\Users\alexa\YandexDisk\Книги\Нон-фикшн\Фотография\Garret_D._Fotografiya_Vse_sekrety_masterstva.pdf","Garret_D._Fotografiya_Vse_sekrety_masterstva.pdf")</f>
        <v>Garret_D._Fotografiya_Vse_sekrety_masterstva.pdf</v>
      </c>
      <c r="O1914" s="3" t="s">
        <v>7618</v>
      </c>
    </row>
    <row r="1915" spans="1:15" ht="165.6" x14ac:dyDescent="0.3">
      <c r="A1915" s="4">
        <v>1914</v>
      </c>
      <c r="B1915" s="5" t="s">
        <v>7619</v>
      </c>
      <c r="C1915" s="5" t="s">
        <v>7620</v>
      </c>
      <c r="D1915" s="5" t="s">
        <v>3158</v>
      </c>
      <c r="E1915" s="5" t="s">
        <v>7621</v>
      </c>
      <c r="F1915" s="5" t="s">
        <v>7606</v>
      </c>
      <c r="G1915" s="5" t="s">
        <v>6986</v>
      </c>
      <c r="H1915" s="5" t="s">
        <v>7607</v>
      </c>
      <c r="I1915" s="5" t="s">
        <v>20</v>
      </c>
      <c r="J1915" s="5">
        <v>0.84</v>
      </c>
      <c r="K1915" s="5" t="s">
        <v>21</v>
      </c>
      <c r="L1915" s="5" t="s">
        <v>7622</v>
      </c>
      <c r="M1915" s="5" t="s">
        <v>7609</v>
      </c>
      <c r="N1915" s="7" t="str">
        <f>HYPERLINK("C:\Users\alexa\YandexDisk\Книги\Нон-фикшн\Фотография\Karte_bresson_A._Voobrajaemaya_Realnost_Sbornik.a4.pdf","Karte_bresson_A._Voobrajaemaya_Realnost_Sbornik.a4.pdf")</f>
        <v>Karte_bresson_A._Voobrajaemaya_Realnost_Sbornik.a4.pdf</v>
      </c>
      <c r="O1915" s="5" t="s">
        <v>7623</v>
      </c>
    </row>
    <row r="1916" spans="1:15" ht="193.2" x14ac:dyDescent="0.3">
      <c r="A1916" s="2">
        <v>1915</v>
      </c>
      <c r="B1916" s="3" t="s">
        <v>7624</v>
      </c>
      <c r="C1916" s="3" t="s">
        <v>7625</v>
      </c>
      <c r="D1916" s="3"/>
      <c r="E1916" s="3"/>
      <c r="F1916" s="3" t="s">
        <v>7606</v>
      </c>
      <c r="G1916" s="3" t="s">
        <v>6986</v>
      </c>
      <c r="H1916" s="3" t="s">
        <v>7607</v>
      </c>
      <c r="I1916" s="3" t="s">
        <v>20</v>
      </c>
      <c r="J1916" s="3">
        <v>2.96</v>
      </c>
      <c r="K1916" s="3" t="s">
        <v>21</v>
      </c>
      <c r="L1916" s="3" t="s">
        <v>7626</v>
      </c>
      <c r="M1916" s="3" t="s">
        <v>7609</v>
      </c>
      <c r="N1916" s="6" t="str">
        <f>HYPERLINK("C:\Users\alexa\YandexDisk\Книги\Нон-фикшн\Фотография\Kelby.pdf","Kelby.pdf")</f>
        <v>Kelby.pdf</v>
      </c>
      <c r="O1916" s="3" t="s">
        <v>7627</v>
      </c>
    </row>
    <row r="1917" spans="1:15" ht="179.4" x14ac:dyDescent="0.3">
      <c r="A1917" s="4">
        <v>1916</v>
      </c>
      <c r="B1917" s="5" t="s">
        <v>7628</v>
      </c>
      <c r="C1917" s="5" t="s">
        <v>7629</v>
      </c>
      <c r="D1917" s="5" t="s">
        <v>65</v>
      </c>
      <c r="E1917" s="5"/>
      <c r="F1917" s="5" t="s">
        <v>7606</v>
      </c>
      <c r="G1917" s="5" t="s">
        <v>6986</v>
      </c>
      <c r="H1917" s="5" t="s">
        <v>7607</v>
      </c>
      <c r="I1917" s="5" t="s">
        <v>20</v>
      </c>
      <c r="J1917" s="5">
        <v>1.54</v>
      </c>
      <c r="K1917" s="5" t="s">
        <v>21</v>
      </c>
      <c r="L1917" s="5" t="s">
        <v>7630</v>
      </c>
      <c r="M1917" s="5" t="s">
        <v>7609</v>
      </c>
      <c r="N1917" s="7" t="str">
        <f>HYPERLINK("C:\Users\alexa\YandexDisk\Книги\Нон-фикшн\Фотография\light-as-material.pdf","light-as-material.pdf")</f>
        <v>light-as-material.pdf</v>
      </c>
      <c r="O1917" s="5" t="s">
        <v>7631</v>
      </c>
    </row>
    <row r="1918" spans="1:15" ht="165.6" x14ac:dyDescent="0.3">
      <c r="A1918" s="2">
        <v>1917</v>
      </c>
      <c r="B1918" s="3" t="s">
        <v>7632</v>
      </c>
      <c r="C1918" s="3" t="s">
        <v>7633</v>
      </c>
      <c r="D1918" s="3"/>
      <c r="E1918" s="3"/>
      <c r="F1918" s="3" t="s">
        <v>7606</v>
      </c>
      <c r="G1918" s="3" t="s">
        <v>6986</v>
      </c>
      <c r="H1918" s="3" t="s">
        <v>7607</v>
      </c>
      <c r="I1918" s="3" t="s">
        <v>20</v>
      </c>
      <c r="J1918" s="3">
        <v>28.59</v>
      </c>
      <c r="K1918" s="3" t="s">
        <v>21</v>
      </c>
      <c r="L1918" s="3" t="s">
        <v>7634</v>
      </c>
      <c r="M1918" s="3" t="s">
        <v>7609</v>
      </c>
      <c r="N1918" s="6" t="str">
        <f>HYPERLINK("C:\Users\alexa\YandexDisk\Книги\Нон-фикшн\Фотография\Nochnyie_portretyi.pdf","Nochnyie_portretyi.pdf")</f>
        <v>Nochnyie_portretyi.pdf</v>
      </c>
      <c r="O1918" s="3" t="s">
        <v>7635</v>
      </c>
    </row>
    <row r="1919" spans="1:15" ht="41.4" x14ac:dyDescent="0.3">
      <c r="A1919" s="4">
        <v>1918</v>
      </c>
      <c r="B1919" s="5" t="s">
        <v>7636</v>
      </c>
      <c r="C1919" s="5"/>
      <c r="D1919" s="5"/>
      <c r="E1919" s="5"/>
      <c r="F1919" s="5" t="s">
        <v>7606</v>
      </c>
      <c r="G1919" s="5" t="s">
        <v>6986</v>
      </c>
      <c r="H1919" s="5" t="s">
        <v>7607</v>
      </c>
      <c r="I1919" s="5" t="s">
        <v>519</v>
      </c>
      <c r="J1919" s="5">
        <v>306.43</v>
      </c>
      <c r="K1919" s="5" t="s">
        <v>21</v>
      </c>
      <c r="L1919" s="5" t="s">
        <v>7636</v>
      </c>
      <c r="M1919" s="5" t="s">
        <v>7609</v>
      </c>
      <c r="N1919" s="7" t="str">
        <f>HYPERLINK("C:\Users\alexa\YandexDisk\Книги\Нон-фикшн\Фотография\photocasa.zip","photocasa.zip")</f>
        <v>photocasa.zip</v>
      </c>
      <c r="O1919" s="5" t="s">
        <v>930</v>
      </c>
    </row>
    <row r="1920" spans="1:15" ht="193.2" x14ac:dyDescent="0.3">
      <c r="A1920" s="2">
        <v>1919</v>
      </c>
      <c r="B1920" s="3" t="s">
        <v>7637</v>
      </c>
      <c r="C1920" s="3" t="s">
        <v>7638</v>
      </c>
      <c r="D1920" s="3" t="s">
        <v>17</v>
      </c>
      <c r="E1920" s="3"/>
      <c r="F1920" s="3" t="s">
        <v>7606</v>
      </c>
      <c r="G1920" s="3" t="s">
        <v>6986</v>
      </c>
      <c r="H1920" s="3" t="s">
        <v>7607</v>
      </c>
      <c r="I1920" s="3" t="s">
        <v>20</v>
      </c>
      <c r="J1920" s="3">
        <v>14.47</v>
      </c>
      <c r="K1920" s="3" t="s">
        <v>21</v>
      </c>
      <c r="L1920" s="3" t="s">
        <v>7639</v>
      </c>
      <c r="M1920" s="3" t="s">
        <v>7609</v>
      </c>
      <c r="N1920" s="6" t="str">
        <f>HYPERLINK("C:\Users\alexa\YandexDisk\Книги\Нон-фикшн\Фотография\photocasa_64.pdf","photocasa_64.pdf")</f>
        <v>photocasa_64.pdf</v>
      </c>
      <c r="O1920" s="3" t="s">
        <v>7640</v>
      </c>
    </row>
    <row r="1921" spans="1:15" ht="151.80000000000001" x14ac:dyDescent="0.3">
      <c r="A1921" s="4">
        <v>1920</v>
      </c>
      <c r="B1921" s="5" t="s">
        <v>7641</v>
      </c>
      <c r="C1921" s="5" t="s">
        <v>7642</v>
      </c>
      <c r="D1921" s="5"/>
      <c r="E1921" s="5"/>
      <c r="F1921" s="5" t="s">
        <v>7606</v>
      </c>
      <c r="G1921" s="5" t="s">
        <v>6986</v>
      </c>
      <c r="H1921" s="5" t="s">
        <v>7607</v>
      </c>
      <c r="I1921" s="5" t="s">
        <v>20</v>
      </c>
      <c r="J1921" s="5">
        <v>2.17</v>
      </c>
      <c r="K1921" s="5" t="s">
        <v>21</v>
      </c>
      <c r="L1921" s="5" t="s">
        <v>7643</v>
      </c>
      <c r="M1921" s="5" t="s">
        <v>7609</v>
      </c>
      <c r="N1921" s="7" t="str">
        <f>HYPERLINK("C:\Users\alexa\YandexDisk\Книги\Нон-фикшн\Фотография\Street-Photography-How-to-Start.pdf","Street-Photography-How-to-Start.pdf")</f>
        <v>Street-Photography-How-to-Start.pdf</v>
      </c>
      <c r="O1921" s="5" t="s">
        <v>7644</v>
      </c>
    </row>
    <row r="1922" spans="1:15" ht="41.4" x14ac:dyDescent="0.3">
      <c r="A1922" s="2">
        <v>1921</v>
      </c>
      <c r="B1922" s="3" t="s">
        <v>7645</v>
      </c>
      <c r="C1922" s="3"/>
      <c r="D1922" s="3" t="s">
        <v>186</v>
      </c>
      <c r="E1922" s="3"/>
      <c r="F1922" s="3" t="s">
        <v>7606</v>
      </c>
      <c r="G1922" s="3" t="s">
        <v>6986</v>
      </c>
      <c r="H1922" s="3" t="s">
        <v>7607</v>
      </c>
      <c r="I1922" s="3" t="s">
        <v>20</v>
      </c>
      <c r="J1922" s="3">
        <v>18.829999999999998</v>
      </c>
      <c r="K1922" s="3" t="s">
        <v>21</v>
      </c>
      <c r="L1922" s="3" t="s">
        <v>7646</v>
      </c>
      <c r="M1922" s="3" t="s">
        <v>7609</v>
      </c>
      <c r="N1922" s="6" t="str">
        <f>HYPERLINK("C:\Users\alexa\YandexDisk\Книги\Нон-фикшн\Фотография\The Nikon Guide to Landscape Photography. 2014.pdf","The Nikon Guide to Landscape Photography. 2014.pdf")</f>
        <v>The Nikon Guide to Landscape Photography. 2014.pdf</v>
      </c>
      <c r="O1922" s="3" t="s">
        <v>930</v>
      </c>
    </row>
    <row r="1923" spans="1:15" ht="207" x14ac:dyDescent="0.3">
      <c r="A1923" s="4">
        <v>1922</v>
      </c>
      <c r="B1923" s="5" t="s">
        <v>7647</v>
      </c>
      <c r="C1923" s="5" t="s">
        <v>7648</v>
      </c>
      <c r="D1923" s="5"/>
      <c r="E1923" s="5"/>
      <c r="F1923" s="5" t="s">
        <v>7606</v>
      </c>
      <c r="G1923" s="5" t="s">
        <v>6986</v>
      </c>
      <c r="H1923" s="5" t="s">
        <v>7607</v>
      </c>
      <c r="I1923" s="5" t="s">
        <v>20</v>
      </c>
      <c r="J1923" s="5">
        <v>5.05</v>
      </c>
      <c r="K1923" s="5" t="s">
        <v>21</v>
      </c>
      <c r="L1923" s="5" t="s">
        <v>7649</v>
      </c>
      <c r="M1923" s="5" t="s">
        <v>7609</v>
      </c>
      <c r="N1923" s="7" t="str">
        <f>HYPERLINK("C:\Users\alexa\YandexDisk\Книги\Нон-фикшн\Фотография\Zeyigarnik_A._Mifologiya_Kompozicii_V_F.a4.pdf","Zeyigarnik_A._Mifologiya_Kompozicii_V_F.a4.pdf")</f>
        <v>Zeyigarnik_A._Mifologiya_Kompozicii_V_F.a4.pdf</v>
      </c>
      <c r="O1923" s="5" t="s">
        <v>7650</v>
      </c>
    </row>
    <row r="1924" spans="1:15" ht="179.4" x14ac:dyDescent="0.3">
      <c r="A1924" s="2">
        <v>1923</v>
      </c>
      <c r="B1924" s="3" t="s">
        <v>7651</v>
      </c>
      <c r="C1924" s="3" t="s">
        <v>7652</v>
      </c>
      <c r="D1924" s="3" t="s">
        <v>65</v>
      </c>
      <c r="E1924" s="3" t="s">
        <v>1023</v>
      </c>
      <c r="F1924" s="3" t="s">
        <v>7606</v>
      </c>
      <c r="G1924" s="3" t="s">
        <v>6986</v>
      </c>
      <c r="H1924" s="3" t="s">
        <v>7607</v>
      </c>
      <c r="I1924" s="3" t="s">
        <v>20</v>
      </c>
      <c r="J1924" s="3">
        <v>60.95</v>
      </c>
      <c r="K1924" s="3" t="s">
        <v>21</v>
      </c>
      <c r="L1924" s="3" t="s">
        <v>7653</v>
      </c>
      <c r="M1924" s="3" t="s">
        <v>7609</v>
      </c>
      <c r="N1924" s="6" t="str">
        <f>HYPERLINK("C:\Users\alexa\YandexDisk\Книги\Нон-фикшн\Фотография\Zholudev_N._Kompoziciya_v_fotografii.pdf","Zholudev_N._Kompoziciya_v_fotografii.pdf")</f>
        <v>Zholudev_N._Kompoziciya_v_fotografii.pdf</v>
      </c>
      <c r="O1924" s="3" t="s">
        <v>7654</v>
      </c>
    </row>
    <row r="1925" spans="1:15" ht="179.4" x14ac:dyDescent="0.3">
      <c r="A1925" s="4">
        <v>1924</v>
      </c>
      <c r="B1925" s="5" t="s">
        <v>7655</v>
      </c>
      <c r="C1925" s="5" t="s">
        <v>7656</v>
      </c>
      <c r="D1925" s="5" t="s">
        <v>1565</v>
      </c>
      <c r="E1925" s="5"/>
      <c r="F1925" s="5" t="s">
        <v>7606</v>
      </c>
      <c r="G1925" s="5" t="s">
        <v>6986</v>
      </c>
      <c r="H1925" s="5" t="s">
        <v>7607</v>
      </c>
      <c r="I1925" s="5" t="s">
        <v>20</v>
      </c>
      <c r="J1925" s="5">
        <v>6.73</v>
      </c>
      <c r="K1925" s="5" t="s">
        <v>21</v>
      </c>
      <c r="L1925" s="5" t="s">
        <v>7657</v>
      </c>
      <c r="M1925" s="5" t="s">
        <v>7609</v>
      </c>
      <c r="N1925" s="7" t="str">
        <f>HYPERLINK("C:\Users\alexa\YandexDisk\Книги\Нон-фикшн\Фотография\А. И. Лапин. Плоскость и пространство или Жизнь квадратом (психология). 2005.pdf","А. И. Лапин. Плоскость и пространство или Жизнь квадратом (психология). 2005.pdf")</f>
        <v>А. И. Лапин. Плоскость и пространство или Жизнь квадратом (психология). 2005.pdf</v>
      </c>
      <c r="O1925" s="5" t="s">
        <v>7658</v>
      </c>
    </row>
    <row r="1926" spans="1:15" ht="179.4" x14ac:dyDescent="0.3">
      <c r="A1926" s="2">
        <v>1925</v>
      </c>
      <c r="B1926" s="3" t="s">
        <v>7659</v>
      </c>
      <c r="C1926" s="3" t="s">
        <v>7660</v>
      </c>
      <c r="D1926" s="3" t="s">
        <v>837</v>
      </c>
      <c r="E1926" s="3" t="s">
        <v>7661</v>
      </c>
      <c r="F1926" s="3" t="s">
        <v>7606</v>
      </c>
      <c r="G1926" s="3" t="s">
        <v>6986</v>
      </c>
      <c r="H1926" s="3" t="s">
        <v>7607</v>
      </c>
      <c r="I1926" s="3" t="s">
        <v>20</v>
      </c>
      <c r="J1926" s="3">
        <v>8.61</v>
      </c>
      <c r="K1926" s="3" t="s">
        <v>21</v>
      </c>
      <c r="L1926" s="3" t="s">
        <v>7662</v>
      </c>
      <c r="M1926" s="3" t="s">
        <v>7609</v>
      </c>
      <c r="N1926" s="6" t="str">
        <f>HYPERLINK("C:\Users\alexa\YandexDisk\Книги\Нон-фикшн\Фотография\Антон Вершовский. Стрит-фотография открытие полоскости. 2011.pdf","Антон Вершовский. Стрит-фотография открытие полоскости. 2011.pdf")</f>
        <v>Антон Вершовский. Стрит-фотография открытие полоскости. 2011.pdf</v>
      </c>
      <c r="O1926" s="3" t="s">
        <v>7663</v>
      </c>
    </row>
    <row r="1927" spans="1:15" ht="220.8" x14ac:dyDescent="0.3">
      <c r="A1927" s="4">
        <v>1926</v>
      </c>
      <c r="B1927" s="5" t="s">
        <v>7664</v>
      </c>
      <c r="C1927" s="5" t="s">
        <v>7665</v>
      </c>
      <c r="D1927" s="5" t="s">
        <v>7666</v>
      </c>
      <c r="E1927" s="5"/>
      <c r="F1927" s="5" t="s">
        <v>7606</v>
      </c>
      <c r="G1927" s="5" t="s">
        <v>6986</v>
      </c>
      <c r="H1927" s="5" t="s">
        <v>7607</v>
      </c>
      <c r="I1927" s="5" t="s">
        <v>20</v>
      </c>
      <c r="J1927" s="5">
        <v>13.37</v>
      </c>
      <c r="K1927" s="5" t="s">
        <v>21</v>
      </c>
      <c r="L1927" s="5" t="s">
        <v>7667</v>
      </c>
      <c r="M1927" s="5" t="s">
        <v>7609</v>
      </c>
      <c r="N1927" s="7" t="str">
        <f>HYPERLINK("C:\Users\alexa\YandexDisk\Книги\Нон-фикшн\Фотография\Б. В. Раушенбах. Общая теория перспективы. 1986.pdf","Б. В. Раушенбах. Общая теория перспективы. 1986.pdf")</f>
        <v>Б. В. Раушенбах. Общая теория перспективы. 1986.pdf</v>
      </c>
      <c r="O1927" s="5" t="s">
        <v>7668</v>
      </c>
    </row>
    <row r="1928" spans="1:15" ht="151.80000000000001" x14ac:dyDescent="0.3">
      <c r="A1928" s="2">
        <v>1927</v>
      </c>
      <c r="B1928" s="3" t="s">
        <v>7669</v>
      </c>
      <c r="C1928" s="3" t="s">
        <v>7670</v>
      </c>
      <c r="D1928" s="3" t="s">
        <v>172</v>
      </c>
      <c r="E1928" s="3"/>
      <c r="F1928" s="3" t="s">
        <v>7606</v>
      </c>
      <c r="G1928" s="3" t="s">
        <v>6986</v>
      </c>
      <c r="H1928" s="3" t="s">
        <v>7607</v>
      </c>
      <c r="I1928" s="3" t="s">
        <v>20</v>
      </c>
      <c r="J1928" s="3">
        <v>48.99</v>
      </c>
      <c r="K1928" s="3" t="s">
        <v>21</v>
      </c>
      <c r="L1928" s="3" t="s">
        <v>7671</v>
      </c>
      <c r="M1928" s="3" t="s">
        <v>7609</v>
      </c>
      <c r="N1928" s="6" t="str">
        <f>HYPERLINK("C:\Users\alexa\YandexDisk\Книги\Нон-фикшн\Фотография\Джон Фримэн. Фотография. Новое полное руководство по фотосъемке. 2006.pdf","Джон Фримэн. Фотография. Новое полное руководство по фотосъемке. 2006.pdf")</f>
        <v>Джон Фримэн. Фотография. Новое полное руководство по фотосъемке. 2006.pdf</v>
      </c>
      <c r="O1928" s="3" t="s">
        <v>7672</v>
      </c>
    </row>
    <row r="1929" spans="1:15" ht="165.6" x14ac:dyDescent="0.3">
      <c r="A1929" s="4">
        <v>1928</v>
      </c>
      <c r="B1929" s="5" t="s">
        <v>7673</v>
      </c>
      <c r="C1929" s="5" t="s">
        <v>7674</v>
      </c>
      <c r="D1929" s="5" t="s">
        <v>1560</v>
      </c>
      <c r="E1929" s="5"/>
      <c r="F1929" s="5" t="s">
        <v>7606</v>
      </c>
      <c r="G1929" s="5" t="s">
        <v>6986</v>
      </c>
      <c r="H1929" s="5" t="s">
        <v>7607</v>
      </c>
      <c r="I1929" s="5" t="s">
        <v>20</v>
      </c>
      <c r="J1929" s="5">
        <v>15.69</v>
      </c>
      <c r="K1929" s="5" t="s">
        <v>21</v>
      </c>
      <c r="L1929" s="5" t="s">
        <v>7675</v>
      </c>
      <c r="M1929" s="5" t="s">
        <v>7609</v>
      </c>
      <c r="N1929" s="7" t="str">
        <f>HYPERLINK("C:\Users\alexa\YandexDisk\Книги\Нон-фикшн\Фотография\Дон Марр. Секреты фотосьемки в простых примерах. 2007.pdf","Дон Марр. Секреты фотосьемки в простых примерах. 2007.pdf")</f>
        <v>Дон Марр. Секреты фотосьемки в простых примерах. 2007.pdf</v>
      </c>
      <c r="O1929" s="5" t="s">
        <v>7676</v>
      </c>
    </row>
    <row r="1930" spans="1:15" ht="165.6" x14ac:dyDescent="0.3">
      <c r="A1930" s="2">
        <v>1929</v>
      </c>
      <c r="B1930" s="3" t="s">
        <v>7677</v>
      </c>
      <c r="C1930" s="3" t="s">
        <v>7678</v>
      </c>
      <c r="D1930" s="3"/>
      <c r="E1930" s="3"/>
      <c r="F1930" s="3" t="s">
        <v>7606</v>
      </c>
      <c r="G1930" s="3" t="s">
        <v>6986</v>
      </c>
      <c r="H1930" s="3" t="s">
        <v>7607</v>
      </c>
      <c r="I1930" s="3" t="s">
        <v>20</v>
      </c>
      <c r="J1930" s="3">
        <v>17.48</v>
      </c>
      <c r="K1930" s="3" t="s">
        <v>21</v>
      </c>
      <c r="L1930" s="3" t="s">
        <v>7679</v>
      </c>
      <c r="M1930" s="3" t="s">
        <v>7609</v>
      </c>
      <c r="N1930" s="6" t="str">
        <f>HYPERLINK("C:\Users\alexa\YandexDisk\Книги\Нон-фикшн\Фотография\Дэн Маргулис. Photoshop для профессионалов. Классическое руководство по цветокоррекции. 5-е издание.pdf","Дэн Маргулис. Photoshop для профессионалов. Классическое руководство по цветокоррекции. 5-е издание.pdf")</f>
        <v>Дэн Маргулис. Photoshop для профессионалов. Классическое руководство по цветокоррекции. 5-е издание.pdf</v>
      </c>
      <c r="O1930" s="3" t="s">
        <v>7680</v>
      </c>
    </row>
    <row r="1931" spans="1:15" ht="234.6" x14ac:dyDescent="0.3">
      <c r="A1931" s="4">
        <v>1930</v>
      </c>
      <c r="B1931" s="5" t="s">
        <v>7681</v>
      </c>
      <c r="C1931" s="5" t="s">
        <v>7620</v>
      </c>
      <c r="D1931" s="5"/>
      <c r="E1931" s="5"/>
      <c r="F1931" s="5" t="s">
        <v>7606</v>
      </c>
      <c r="G1931" s="5" t="s">
        <v>6986</v>
      </c>
      <c r="H1931" s="5" t="s">
        <v>7607</v>
      </c>
      <c r="I1931" s="5" t="s">
        <v>20</v>
      </c>
      <c r="J1931" s="5">
        <v>0.41</v>
      </c>
      <c r="K1931" s="5" t="s">
        <v>21</v>
      </c>
      <c r="L1931" s="5" t="s">
        <v>7682</v>
      </c>
      <c r="M1931" s="5" t="s">
        <v>7609</v>
      </c>
      <c r="N1931" s="7" t="str">
        <f>HYPERLINK("C:\Users\alexa\YandexDisk\Книги\Нон-фикшн\Фотография\Картье-Брессон Анри . Решающий момент.pdf","Картье-Брессон Анри . Решающий момент.pdf")</f>
        <v>Картье-Брессон Анри . Решающий момент.pdf</v>
      </c>
      <c r="O1931" s="5" t="s">
        <v>7683</v>
      </c>
    </row>
    <row r="1932" spans="1:15" ht="151.80000000000001" x14ac:dyDescent="0.3">
      <c r="A1932" s="2">
        <v>1931</v>
      </c>
      <c r="B1932" s="3" t="s">
        <v>7684</v>
      </c>
      <c r="C1932" s="3" t="s">
        <v>7685</v>
      </c>
      <c r="D1932" s="3" t="s">
        <v>7686</v>
      </c>
      <c r="E1932" s="3"/>
      <c r="F1932" s="3" t="s">
        <v>7606</v>
      </c>
      <c r="G1932" s="3" t="s">
        <v>6986</v>
      </c>
      <c r="H1932" s="3" t="s">
        <v>7607</v>
      </c>
      <c r="I1932" s="3" t="s">
        <v>20</v>
      </c>
      <c r="J1932" s="3">
        <v>22.23</v>
      </c>
      <c r="K1932" s="3" t="s">
        <v>21</v>
      </c>
      <c r="L1932" s="3" t="s">
        <v>7687</v>
      </c>
      <c r="M1932" s="3" t="s">
        <v>7609</v>
      </c>
      <c r="N1932" s="6" t="str">
        <f>HYPERLINK("C:\Users\alexa\YandexDisk\Книги\Нон-фикшн\Фотография\Л.П. Дыко, А.Д. Головня. Фотокомпозиция. 1962.pdf","Л.П. Дыко, А.Д. Головня. Фотокомпозиция. 1962.pdf")</f>
        <v>Л.П. Дыко, А.Д. Головня. Фотокомпозиция. 1962.pdf</v>
      </c>
      <c r="O1932" s="3" t="s">
        <v>7688</v>
      </c>
    </row>
    <row r="1933" spans="1:15" ht="193.2" x14ac:dyDescent="0.3">
      <c r="A1933" s="4">
        <v>1932</v>
      </c>
      <c r="B1933" s="5" t="s">
        <v>7689</v>
      </c>
      <c r="C1933" s="5" t="s">
        <v>7690</v>
      </c>
      <c r="D1933" s="5" t="s">
        <v>7691</v>
      </c>
      <c r="E1933" s="5" t="s">
        <v>7692</v>
      </c>
      <c r="F1933" s="5" t="s">
        <v>7606</v>
      </c>
      <c r="G1933" s="5" t="s">
        <v>6986</v>
      </c>
      <c r="H1933" s="5" t="s">
        <v>7607</v>
      </c>
      <c r="I1933" s="5" t="s">
        <v>20</v>
      </c>
      <c r="J1933" s="5">
        <v>5.28</v>
      </c>
      <c r="K1933" s="5" t="s">
        <v>21</v>
      </c>
      <c r="L1933" s="5" t="s">
        <v>7693</v>
      </c>
      <c r="M1933" s="5" t="s">
        <v>7609</v>
      </c>
      <c r="N1933" s="7" t="str">
        <f>HYPERLINK("C:\Users\alexa\YandexDisk\Книги\Нон-фикшн\Фотография\Л.П. Дыко. Беседы о фотомастерстве. 2-е издание. 1977.pdf","Л.П. Дыко. Беседы о фотомастерстве. 2-е издание. 1977.pdf")</f>
        <v>Л.П. Дыко. Беседы о фотомастерстве. 2-е издание. 1977.pdf</v>
      </c>
      <c r="O1933" s="5" t="s">
        <v>7694</v>
      </c>
    </row>
    <row r="1934" spans="1:15" ht="151.80000000000001" x14ac:dyDescent="0.3">
      <c r="A1934" s="2">
        <v>1933</v>
      </c>
      <c r="B1934" s="3" t="s">
        <v>7695</v>
      </c>
      <c r="C1934" s="3" t="s">
        <v>7690</v>
      </c>
      <c r="D1934" s="3" t="s">
        <v>7696</v>
      </c>
      <c r="E1934" s="3"/>
      <c r="F1934" s="3" t="s">
        <v>7606</v>
      </c>
      <c r="G1934" s="3" t="s">
        <v>6986</v>
      </c>
      <c r="H1934" s="3" t="s">
        <v>7607</v>
      </c>
      <c r="I1934" s="3" t="s">
        <v>20</v>
      </c>
      <c r="J1934" s="3">
        <v>3.33</v>
      </c>
      <c r="K1934" s="3" t="s">
        <v>21</v>
      </c>
      <c r="L1934" s="3" t="s">
        <v>7697</v>
      </c>
      <c r="M1934" s="3" t="s">
        <v>7609</v>
      </c>
      <c r="N1934" s="6" t="str">
        <f>HYPERLINK("C:\Users\alexa\YandexDisk\Книги\Нон-фикшн\Фотография\Л.П. Дыко. Основы композиции в фотографии. 2-е издание. 1989.pdf","Л.П. Дыко. Основы композиции в фотографии. 2-е издание. 1989.pdf")</f>
        <v>Л.П. Дыко. Основы композиции в фотографии. 2-е издание. 1989.pdf</v>
      </c>
      <c r="O1934" s="3" t="s">
        <v>7698</v>
      </c>
    </row>
    <row r="1935" spans="1:15" ht="193.2" x14ac:dyDescent="0.3">
      <c r="A1935" s="4">
        <v>1934</v>
      </c>
      <c r="B1935" s="5" t="s">
        <v>7699</v>
      </c>
      <c r="C1935" s="5" t="s">
        <v>7700</v>
      </c>
      <c r="D1935" s="5" t="s">
        <v>1560</v>
      </c>
      <c r="E1935" s="5" t="s">
        <v>7701</v>
      </c>
      <c r="F1935" s="5" t="s">
        <v>7606</v>
      </c>
      <c r="G1935" s="5" t="s">
        <v>6986</v>
      </c>
      <c r="H1935" s="5" t="s">
        <v>7607</v>
      </c>
      <c r="I1935" s="5" t="s">
        <v>20</v>
      </c>
      <c r="J1935" s="5">
        <v>9.9700000000000006</v>
      </c>
      <c r="K1935" s="5" t="s">
        <v>21</v>
      </c>
      <c r="L1935" s="5" t="s">
        <v>7702</v>
      </c>
      <c r="M1935" s="5" t="s">
        <v>7609</v>
      </c>
      <c r="N1935" s="7" t="str">
        <f>HYPERLINK("C:\Users\alexa\YandexDisk\Книги\Нон-фикшн\Фотография\Ли Фрост. Ночная и вечерняя фотосъемка. 2007.pdf","Ли Фрост. Ночная и вечерняя фотосъемка. 2007.pdf")</f>
        <v>Ли Фрост. Ночная и вечерняя фотосъемка. 2007.pdf</v>
      </c>
      <c r="O1935" s="5" t="s">
        <v>7703</v>
      </c>
    </row>
    <row r="1936" spans="1:15" ht="193.2" x14ac:dyDescent="0.3">
      <c r="A1936" s="2">
        <v>1935</v>
      </c>
      <c r="B1936" s="3" t="s">
        <v>7704</v>
      </c>
      <c r="C1936" s="3" t="s">
        <v>7700</v>
      </c>
      <c r="D1936" s="3" t="s">
        <v>2881</v>
      </c>
      <c r="E1936" s="3" t="s">
        <v>7701</v>
      </c>
      <c r="F1936" s="3" t="s">
        <v>7606</v>
      </c>
      <c r="G1936" s="3" t="s">
        <v>6986</v>
      </c>
      <c r="H1936" s="3" t="s">
        <v>7607</v>
      </c>
      <c r="I1936" s="3" t="s">
        <v>20</v>
      </c>
      <c r="J1936" s="3">
        <v>11.47</v>
      </c>
      <c r="K1936" s="3" t="s">
        <v>21</v>
      </c>
      <c r="L1936" s="3" t="s">
        <v>7705</v>
      </c>
      <c r="M1936" s="3" t="s">
        <v>7609</v>
      </c>
      <c r="N1936" s="6" t="str">
        <f>HYPERLINK("C:\Users\alexa\YandexDisk\Книги\Нон-фикшн\Фотография\Ли Фрост. Творческая фотография. 2003.pdf","Ли Фрост. Творческая фотография. 2003.pdf")</f>
        <v>Ли Фрост. Творческая фотография. 2003.pdf</v>
      </c>
      <c r="O1936" s="3" t="s">
        <v>7706</v>
      </c>
    </row>
    <row r="1937" spans="1:15" ht="179.4" x14ac:dyDescent="0.3">
      <c r="A1937" s="4">
        <v>1936</v>
      </c>
      <c r="B1937" s="5" t="s">
        <v>7707</v>
      </c>
      <c r="C1937" s="5" t="s">
        <v>7700</v>
      </c>
      <c r="D1937" s="5" t="s">
        <v>161</v>
      </c>
      <c r="E1937" s="5"/>
      <c r="F1937" s="5" t="s">
        <v>7606</v>
      </c>
      <c r="G1937" s="5" t="s">
        <v>6986</v>
      </c>
      <c r="H1937" s="5" t="s">
        <v>7607</v>
      </c>
      <c r="I1937" s="5" t="s">
        <v>20</v>
      </c>
      <c r="J1937" s="5">
        <v>19.45</v>
      </c>
      <c r="K1937" s="5" t="s">
        <v>21</v>
      </c>
      <c r="L1937" s="5" t="s">
        <v>7708</v>
      </c>
      <c r="M1937" s="5" t="s">
        <v>7609</v>
      </c>
      <c r="N1937" s="7" t="str">
        <f>HYPERLINK("C:\Users\alexa\YandexDisk\Книги\Нон-фикшн\Фотография\Ли Фрост. Фото на продажу. Пособие для фотографов-фрилансеров. Практическое руководство. 2004.pdf","Ли Фрост. Фото на продажу. Пособие для фотографов-фрилансеров. Практическое руководство. 2004.pdf")</f>
        <v>Ли Фрост. Фото на продажу. Пособие для фотографов-фрилансеров. Практическое руководство. 2004.pdf</v>
      </c>
      <c r="O1937" s="5" t="s">
        <v>7709</v>
      </c>
    </row>
    <row r="1938" spans="1:15" ht="165.6" x14ac:dyDescent="0.3">
      <c r="A1938" s="2">
        <v>1937</v>
      </c>
      <c r="B1938" s="3" t="s">
        <v>7710</v>
      </c>
      <c r="C1938" s="3" t="s">
        <v>7700</v>
      </c>
      <c r="D1938" s="3" t="s">
        <v>161</v>
      </c>
      <c r="E1938" s="3" t="s">
        <v>7701</v>
      </c>
      <c r="F1938" s="3" t="s">
        <v>7606</v>
      </c>
      <c r="G1938" s="3" t="s">
        <v>6986</v>
      </c>
      <c r="H1938" s="3" t="s">
        <v>7607</v>
      </c>
      <c r="I1938" s="3" t="s">
        <v>20</v>
      </c>
      <c r="J1938" s="3">
        <v>19.690000000000001</v>
      </c>
      <c r="K1938" s="3" t="s">
        <v>21</v>
      </c>
      <c r="L1938" s="3" t="s">
        <v>7711</v>
      </c>
      <c r="M1938" s="3" t="s">
        <v>7609</v>
      </c>
      <c r="N1938" s="6" t="str">
        <f>HYPERLINK("C:\Users\alexa\YandexDisk\Книги\Нон-фикшн\Фотография\Ли Фрост. Черно-белая фотография. Простые способы получения художественных снимков. 2004.pdf","Ли Фрост. Черно-белая фотография. Простые способы получения художественных снимков. 2004.pdf")</f>
        <v>Ли Фрост. Черно-белая фотография. Простые способы получения художественных снимков. 2004.pdf</v>
      </c>
      <c r="O1938" s="3" t="s">
        <v>7712</v>
      </c>
    </row>
    <row r="1939" spans="1:15" ht="138" x14ac:dyDescent="0.3">
      <c r="A1939" s="4">
        <v>1938</v>
      </c>
      <c r="B1939" s="5" t="s">
        <v>7713</v>
      </c>
      <c r="C1939" s="5" t="s">
        <v>7714</v>
      </c>
      <c r="D1939" s="5" t="s">
        <v>1022</v>
      </c>
      <c r="E1939" s="5"/>
      <c r="F1939" s="5" t="s">
        <v>7606</v>
      </c>
      <c r="G1939" s="5" t="s">
        <v>6986</v>
      </c>
      <c r="H1939" s="5" t="s">
        <v>7607</v>
      </c>
      <c r="I1939" s="5" t="s">
        <v>20</v>
      </c>
      <c r="J1939" s="5">
        <v>1.5</v>
      </c>
      <c r="K1939" s="5" t="s">
        <v>21</v>
      </c>
      <c r="L1939" s="5" t="s">
        <v>7715</v>
      </c>
      <c r="M1939" s="5" t="s">
        <v>7609</v>
      </c>
      <c r="N1939" s="7" t="str">
        <f>HYPERLINK("C:\Users\alexa\YandexDisk\Книги\Нон-фикшн\Фотография\Понятие фотокомпозиции-статья_фотокто.pdf","Понятие фотокомпозиции-статья_фотокто.pdf")</f>
        <v>Понятие фотокомпозиции-статья_фотокто.pdf</v>
      </c>
      <c r="O1939" s="5" t="s">
        <v>7716</v>
      </c>
    </row>
    <row r="1940" spans="1:15" ht="193.2" x14ac:dyDescent="0.3">
      <c r="A1940" s="2">
        <v>1939</v>
      </c>
      <c r="B1940" s="3" t="s">
        <v>7717</v>
      </c>
      <c r="C1940" s="3" t="s">
        <v>7718</v>
      </c>
      <c r="D1940" s="3" t="s">
        <v>837</v>
      </c>
      <c r="E1940" s="3"/>
      <c r="F1940" s="3" t="s">
        <v>7606</v>
      </c>
      <c r="G1940" s="3" t="s">
        <v>6986</v>
      </c>
      <c r="H1940" s="3" t="s">
        <v>7607</v>
      </c>
      <c r="I1940" s="3" t="s">
        <v>20</v>
      </c>
      <c r="J1940" s="3">
        <v>60.93</v>
      </c>
      <c r="K1940" s="3" t="s">
        <v>21</v>
      </c>
      <c r="L1940" s="3" t="s">
        <v>7719</v>
      </c>
      <c r="M1940" s="3" t="s">
        <v>7609</v>
      </c>
      <c r="N1940" s="6" t="str">
        <f>HYPERLINK("C:\Users\alexa\YandexDisk\Книги\Нон-фикшн\Фотография\Скотт Келби. Цифровая фотография. Том 1. 2011.pdf","Скотт Келби. Цифровая фотография. Том 1. 2011.pdf")</f>
        <v>Скотт Келби. Цифровая фотография. Том 1. 2011.pdf</v>
      </c>
      <c r="O1940" s="3" t="s">
        <v>7720</v>
      </c>
    </row>
    <row r="1941" spans="1:15" ht="207" x14ac:dyDescent="0.3">
      <c r="A1941" s="4">
        <v>1940</v>
      </c>
      <c r="B1941" s="5" t="s">
        <v>7721</v>
      </c>
      <c r="C1941" s="5" t="s">
        <v>7718</v>
      </c>
      <c r="D1941" s="5" t="s">
        <v>837</v>
      </c>
      <c r="E1941" s="5"/>
      <c r="F1941" s="5" t="s">
        <v>7606</v>
      </c>
      <c r="G1941" s="5" t="s">
        <v>6986</v>
      </c>
      <c r="H1941" s="5" t="s">
        <v>7607</v>
      </c>
      <c r="I1941" s="5" t="s">
        <v>20</v>
      </c>
      <c r="J1941" s="5">
        <v>57.56</v>
      </c>
      <c r="K1941" s="5" t="s">
        <v>21</v>
      </c>
      <c r="L1941" s="5" t="s">
        <v>7722</v>
      </c>
      <c r="M1941" s="5" t="s">
        <v>7609</v>
      </c>
      <c r="N1941" s="7" t="str">
        <f>HYPERLINK("C:\Users\alexa\YandexDisk\Книги\Нон-фикшн\Фотография\Скотт Келби. Цифровая фотография. Том 2. 2011.pdf","Скотт Келби. Цифровая фотография. Том 2. 2011.pdf")</f>
        <v>Скотт Келби. Цифровая фотография. Том 2. 2011.pdf</v>
      </c>
      <c r="O1941" s="5" t="s">
        <v>7723</v>
      </c>
    </row>
    <row r="1942" spans="1:15" ht="151.80000000000001" x14ac:dyDescent="0.3">
      <c r="A1942" s="2">
        <v>1941</v>
      </c>
      <c r="B1942" s="3" t="s">
        <v>7724</v>
      </c>
      <c r="C1942" s="3" t="s">
        <v>7718</v>
      </c>
      <c r="D1942" s="3" t="s">
        <v>837</v>
      </c>
      <c r="E1942" s="3"/>
      <c r="F1942" s="3" t="s">
        <v>7606</v>
      </c>
      <c r="G1942" s="3" t="s">
        <v>6986</v>
      </c>
      <c r="H1942" s="3" t="s">
        <v>7607</v>
      </c>
      <c r="I1942" s="3" t="s">
        <v>20</v>
      </c>
      <c r="J1942" s="3">
        <v>16.3</v>
      </c>
      <c r="K1942" s="3" t="s">
        <v>21</v>
      </c>
      <c r="L1942" s="3" t="s">
        <v>7725</v>
      </c>
      <c r="M1942" s="3" t="s">
        <v>7609</v>
      </c>
      <c r="N1942" s="6" t="str">
        <f>HYPERLINK("C:\Users\alexa\YandexDisk\Книги\Нон-фикшн\Фотография\Скотт Келби. Цифровая фотография. Том 3. 2011.pdf","Скотт Келби. Цифровая фотография. Том 3. 2011.pdf")</f>
        <v>Скотт Келби. Цифровая фотография. Том 3. 2011.pdf</v>
      </c>
      <c r="O1942" s="3" t="s">
        <v>7726</v>
      </c>
    </row>
    <row r="1943" spans="1:15" ht="179.4" x14ac:dyDescent="0.3">
      <c r="A1943" s="4">
        <v>1942</v>
      </c>
      <c r="B1943" s="5" t="s">
        <v>7727</v>
      </c>
      <c r="C1943" s="5" t="s">
        <v>7728</v>
      </c>
      <c r="D1943" s="5" t="s">
        <v>4484</v>
      </c>
      <c r="E1943" s="5" t="s">
        <v>7729</v>
      </c>
      <c r="F1943" s="5" t="s">
        <v>7606</v>
      </c>
      <c r="G1943" s="5" t="s">
        <v>6986</v>
      </c>
      <c r="H1943" s="5" t="s">
        <v>7607</v>
      </c>
      <c r="I1943" s="5" t="s">
        <v>20</v>
      </c>
      <c r="J1943" s="5">
        <v>8.2200000000000006</v>
      </c>
      <c r="K1943" s="5" t="s">
        <v>21</v>
      </c>
      <c r="L1943" s="5" t="s">
        <v>7730</v>
      </c>
      <c r="M1943" s="5" t="s">
        <v>7609</v>
      </c>
      <c r="N1943" s="7" t="str">
        <f>HYPERLINK("C:\Users\alexa\YandexDisk\Книги\Нон-фикшн\Фотография\Фельдман_Курский.pdf","Фельдман_Курский.pdf")</f>
        <v>Фельдман_Курский.pdf</v>
      </c>
      <c r="O1943" s="5" t="s">
        <v>7731</v>
      </c>
    </row>
    <row r="1944" spans="1:15" ht="165.6" x14ac:dyDescent="0.3">
      <c r="A1944" s="2">
        <v>1943</v>
      </c>
      <c r="B1944" s="3" t="s">
        <v>7732</v>
      </c>
      <c r="C1944" s="3" t="s">
        <v>7733</v>
      </c>
      <c r="D1944" s="3" t="s">
        <v>186</v>
      </c>
      <c r="E1944" s="3"/>
      <c r="F1944" s="3" t="s">
        <v>7606</v>
      </c>
      <c r="G1944" s="3" t="s">
        <v>6986</v>
      </c>
      <c r="H1944" s="3" t="s">
        <v>7607</v>
      </c>
      <c r="I1944" s="3" t="s">
        <v>20</v>
      </c>
      <c r="J1944" s="3">
        <v>33.67</v>
      </c>
      <c r="K1944" s="3" t="s">
        <v>21</v>
      </c>
      <c r="L1944" s="3" t="s">
        <v>7734</v>
      </c>
      <c r="M1944" s="3" t="s">
        <v>7609</v>
      </c>
      <c r="N1944" s="6" t="str">
        <f>HYPERLINK("C:\Users\alexa\YandexDisk\Книги\Нон-фикшн\Фотография\Фил Хантер, Стивен Бивер, Пол Фукуа. Освещение в фотографии. Библия света. 4-е издание. 2014.pdf","Фил Хантер, Стивен Бивер, Пол Фукуа. Освещение в фотографии. Библия света. 4-е издание. 2014.pdf")</f>
        <v>Фил Хантер, Стивен Бивер, Пол Фукуа. Освещение в фотографии. Библия света. 4-е издание. 2014.pdf</v>
      </c>
      <c r="O1944" s="3" t="s">
        <v>7735</v>
      </c>
    </row>
    <row r="1945" spans="1:15" ht="220.8" x14ac:dyDescent="0.3">
      <c r="A1945" s="4">
        <v>1944</v>
      </c>
      <c r="B1945" s="5" t="s">
        <v>7736</v>
      </c>
      <c r="C1945" s="5" t="s">
        <v>7737</v>
      </c>
      <c r="D1945" s="5"/>
      <c r="E1945" s="5" t="s">
        <v>7738</v>
      </c>
      <c r="F1945" s="5" t="s">
        <v>7739</v>
      </c>
      <c r="G1945" s="5" t="s">
        <v>6986</v>
      </c>
      <c r="H1945" s="5" t="s">
        <v>7740</v>
      </c>
      <c r="I1945" s="5" t="s">
        <v>20</v>
      </c>
      <c r="J1945" s="5">
        <v>8.11</v>
      </c>
      <c r="K1945" s="5" t="s">
        <v>21</v>
      </c>
      <c r="L1945" s="5" t="s">
        <v>7741</v>
      </c>
      <c r="M1945" s="5" t="s">
        <v>7742</v>
      </c>
      <c r="N1945" s="7" t="str">
        <f>HYPERLINK("C:\Users\alexa\YandexDisk\Книги\Нон-фикшн\Футурология\Science &amp; Technology Trends-2020-2040.pdf","Science &amp; Technology Trends-2020-2040.pdf")</f>
        <v>Science &amp; Technology Trends-2020-2040.pdf</v>
      </c>
      <c r="O1945" s="5" t="s">
        <v>7743</v>
      </c>
    </row>
    <row r="1946" spans="1:15" ht="193.2" x14ac:dyDescent="0.3">
      <c r="A1946" s="2">
        <v>1945</v>
      </c>
      <c r="B1946" s="3" t="s">
        <v>7744</v>
      </c>
      <c r="C1946" s="3" t="s">
        <v>7745</v>
      </c>
      <c r="D1946" s="3" t="s">
        <v>50</v>
      </c>
      <c r="E1946" s="3" t="s">
        <v>303</v>
      </c>
      <c r="F1946" s="3" t="s">
        <v>7739</v>
      </c>
      <c r="G1946" s="3" t="s">
        <v>6986</v>
      </c>
      <c r="H1946" s="3" t="s">
        <v>7740</v>
      </c>
      <c r="I1946" s="3" t="s">
        <v>20</v>
      </c>
      <c r="J1946" s="3">
        <v>3.33</v>
      </c>
      <c r="K1946" s="3" t="s">
        <v>21</v>
      </c>
      <c r="L1946" s="3" t="s">
        <v>7746</v>
      </c>
      <c r="M1946" s="3" t="s">
        <v>7742</v>
      </c>
      <c r="N1946" s="6" t="str">
        <f>HYPERLINK("C:\Users\alexa\YandexDisk\Книги\Нон-фикшн\Футурология\Келли-Неизбежно-12-технологических трендов.pdf","Келли-Неизбежно-12-технологических трендов.pdf")</f>
        <v>Келли-Неизбежно-12-технологических трендов.pdf</v>
      </c>
      <c r="O1946" s="3" t="s">
        <v>7747</v>
      </c>
    </row>
    <row r="1947" spans="1:15" ht="193.2" x14ac:dyDescent="0.3">
      <c r="A1947" s="4">
        <v>1946</v>
      </c>
      <c r="B1947" s="5" t="s">
        <v>7748</v>
      </c>
      <c r="C1947" s="5" t="s">
        <v>7749</v>
      </c>
      <c r="D1947" s="5" t="s">
        <v>71</v>
      </c>
      <c r="E1947" s="5" t="s">
        <v>536</v>
      </c>
      <c r="F1947" s="5" t="s">
        <v>7750</v>
      </c>
      <c r="G1947" s="5" t="s">
        <v>7751</v>
      </c>
      <c r="H1947" s="5" t="s">
        <v>7752</v>
      </c>
      <c r="I1947" s="5" t="s">
        <v>20</v>
      </c>
      <c r="J1947" s="5">
        <v>22.21</v>
      </c>
      <c r="K1947" s="5" t="s">
        <v>21</v>
      </c>
      <c r="L1947" s="5" t="s">
        <v>7753</v>
      </c>
      <c r="M1947" s="5" t="s">
        <v>7754</v>
      </c>
      <c r="N1947" s="7" t="str">
        <f>HYPERLINK("C:\Users\alexa\YandexDisk\Книги\Облачные технологии\AWS\Amazon Web Services in Action 3rd Ed MEAP3.pdf","Amazon Web Services in Action 3rd Ed MEAP3.pdf")</f>
        <v>Amazon Web Services in Action 3rd Ed MEAP3.pdf</v>
      </c>
      <c r="O1947" s="5" t="s">
        <v>7755</v>
      </c>
    </row>
    <row r="1948" spans="1:15" ht="193.2" x14ac:dyDescent="0.3">
      <c r="A1948" s="2">
        <v>1947</v>
      </c>
      <c r="B1948" s="3" t="s">
        <v>7756</v>
      </c>
      <c r="C1948" s="3" t="s">
        <v>7757</v>
      </c>
      <c r="D1948" s="3"/>
      <c r="E1948" s="3" t="s">
        <v>557</v>
      </c>
      <c r="F1948" s="3" t="s">
        <v>7750</v>
      </c>
      <c r="G1948" s="3" t="s">
        <v>7751</v>
      </c>
      <c r="H1948" s="3" t="s">
        <v>7752</v>
      </c>
      <c r="I1948" s="3" t="s">
        <v>20</v>
      </c>
      <c r="J1948" s="3">
        <v>9.91</v>
      </c>
      <c r="K1948" s="3" t="s">
        <v>21</v>
      </c>
      <c r="L1948" s="3" t="s">
        <v>7758</v>
      </c>
      <c r="M1948" s="3" t="s">
        <v>7754</v>
      </c>
      <c r="N1948" s="6" t="str">
        <f>HYPERLINK("C:\Users\alexa\YandexDisk\Книги\Облачные технологии\AWS\AWS.pdf","AWS.pdf")</f>
        <v>AWS.pdf</v>
      </c>
      <c r="O1948" s="3" t="s">
        <v>7759</v>
      </c>
    </row>
    <row r="1949" spans="1:15" ht="207" x14ac:dyDescent="0.3">
      <c r="A1949" s="4">
        <v>1948</v>
      </c>
      <c r="B1949" s="5" t="s">
        <v>7760</v>
      </c>
      <c r="C1949" s="5" t="s">
        <v>7761</v>
      </c>
      <c r="D1949" s="5" t="s">
        <v>17</v>
      </c>
      <c r="E1949" s="5"/>
      <c r="F1949" s="5" t="s">
        <v>7750</v>
      </c>
      <c r="G1949" s="5" t="s">
        <v>7751</v>
      </c>
      <c r="H1949" s="5" t="s">
        <v>7752</v>
      </c>
      <c r="I1949" s="5" t="s">
        <v>280</v>
      </c>
      <c r="J1949" s="5">
        <v>17.39</v>
      </c>
      <c r="K1949" s="5" t="s">
        <v>21</v>
      </c>
      <c r="L1949" s="5" t="s">
        <v>7762</v>
      </c>
      <c r="M1949" s="5" t="s">
        <v>7754</v>
      </c>
      <c r="N1949" s="7" t="str">
        <f>HYPERLINK("C:\Users\alexa\YandexDisk\Книги\Облачные технологии\AWS\Spring_Boot_Microservices_on_AWS_Elastic_Kubernetes_Services_EKS.epub","Spring_Boot_Microservices_on_AWS_Elastic_Kubernetes_Services_EKS.epub")</f>
        <v>Spring_Boot_Microservices_on_AWS_Elastic_Kubernetes_Services_EKS.epub</v>
      </c>
      <c r="O1949" s="5" t="s">
        <v>7763</v>
      </c>
    </row>
    <row r="1950" spans="1:15" ht="165.6" x14ac:dyDescent="0.3">
      <c r="A1950" s="2">
        <v>1949</v>
      </c>
      <c r="B1950" s="3" t="s">
        <v>7764</v>
      </c>
      <c r="C1950" s="3"/>
      <c r="D1950" s="3" t="s">
        <v>59</v>
      </c>
      <c r="E1950" s="3"/>
      <c r="F1950" s="3" t="s">
        <v>7750</v>
      </c>
      <c r="G1950" s="3" t="s">
        <v>7751</v>
      </c>
      <c r="H1950" s="3" t="s">
        <v>7752</v>
      </c>
      <c r="I1950" s="3" t="s">
        <v>20</v>
      </c>
      <c r="J1950" s="3">
        <v>22.7</v>
      </c>
      <c r="K1950" s="3" t="s">
        <v>21</v>
      </c>
      <c r="L1950" s="3" t="s">
        <v>7765</v>
      </c>
      <c r="M1950" s="3" t="s">
        <v>7754</v>
      </c>
      <c r="N1950" s="6" t="str">
        <f>HYPERLINK("C:\Users\alexa\YandexDisk\Книги\Облачные технологии\AWS\Бессерверные приложения на JavaScript 2020.pdf","Бессерверные приложения на JavaScript 2020.pdf")</f>
        <v>Бессерверные приложения на JavaScript 2020.pdf</v>
      </c>
      <c r="O1950" s="3" t="s">
        <v>7766</v>
      </c>
    </row>
    <row r="1951" spans="1:15" ht="220.8" x14ac:dyDescent="0.3">
      <c r="A1951" s="4">
        <v>1950</v>
      </c>
      <c r="B1951" s="5" t="s">
        <v>7767</v>
      </c>
      <c r="C1951" s="5" t="s">
        <v>7768</v>
      </c>
      <c r="D1951" s="5" t="s">
        <v>71</v>
      </c>
      <c r="E1951" s="5" t="s">
        <v>205</v>
      </c>
      <c r="F1951" s="5" t="s">
        <v>7769</v>
      </c>
      <c r="G1951" s="5" t="s">
        <v>7751</v>
      </c>
      <c r="H1951" s="5" t="s">
        <v>7770</v>
      </c>
      <c r="I1951" s="5" t="s">
        <v>20</v>
      </c>
      <c r="J1951" s="5">
        <v>48.99</v>
      </c>
      <c r="K1951" s="5" t="s">
        <v>21</v>
      </c>
      <c r="L1951" s="5" t="s">
        <v>7771</v>
      </c>
      <c r="M1951" s="5" t="s">
        <v>7772</v>
      </c>
      <c r="N1951" s="7" t="str">
        <f>HYPERLINK("C:\Users\alexa\YandexDisk\Книги\Облачные технологии\Azure\Azure.for.Developers.2nd.Edition.pdf","Azure.for.Developers.2nd.Edition.pdf")</f>
        <v>Azure.for.Developers.2nd.Edition.pdf</v>
      </c>
      <c r="O1951" s="5" t="s">
        <v>7773</v>
      </c>
    </row>
    <row r="1952" spans="1:15" ht="151.80000000000001" x14ac:dyDescent="0.3">
      <c r="A1952" s="2">
        <v>1951</v>
      </c>
      <c r="B1952" s="3" t="s">
        <v>7774</v>
      </c>
      <c r="C1952" s="3" t="s">
        <v>7775</v>
      </c>
      <c r="D1952" s="3" t="s">
        <v>71</v>
      </c>
      <c r="E1952" s="3" t="s">
        <v>260</v>
      </c>
      <c r="F1952" s="3" t="s">
        <v>7776</v>
      </c>
      <c r="G1952" s="3" t="s">
        <v>7751</v>
      </c>
      <c r="H1952" s="3" t="s">
        <v>7777</v>
      </c>
      <c r="I1952" s="3" t="s">
        <v>20</v>
      </c>
      <c r="J1952" s="3">
        <v>6.49</v>
      </c>
      <c r="K1952" s="3" t="s">
        <v>21</v>
      </c>
      <c r="L1952" s="3" t="s">
        <v>7778</v>
      </c>
      <c r="M1952" s="3" t="s">
        <v>7779</v>
      </c>
      <c r="N1952" s="6" t="str">
        <f>HYPERLINK("C:\Users\alexa\YandexDisk\Книги\Облачные технологии\GCP\Mastering_Apache_Pulsar_Cloud_Native_Event_Streaming_at_Scale.pdf","Mastering_Apache_Pulsar_Cloud_Native_Event_Streaming_at_Scale.pdf")</f>
        <v>Mastering_Apache_Pulsar_Cloud_Native_Event_Streaming_at_Scale.pdf</v>
      </c>
      <c r="O1952" s="3" t="s">
        <v>7780</v>
      </c>
    </row>
    <row r="1953" spans="1:15" ht="138" x14ac:dyDescent="0.3">
      <c r="A1953" s="4">
        <v>1952</v>
      </c>
      <c r="B1953" s="5" t="s">
        <v>7781</v>
      </c>
      <c r="C1953" s="5" t="s">
        <v>7782</v>
      </c>
      <c r="D1953" s="5"/>
      <c r="E1953" s="5"/>
      <c r="F1953" s="5" t="s">
        <v>7776</v>
      </c>
      <c r="G1953" s="5" t="s">
        <v>7751</v>
      </c>
      <c r="H1953" s="5" t="s">
        <v>7777</v>
      </c>
      <c r="I1953" s="5" t="s">
        <v>20</v>
      </c>
      <c r="J1953" s="5">
        <v>47.78</v>
      </c>
      <c r="K1953" s="5" t="s">
        <v>21</v>
      </c>
      <c r="L1953" s="5" t="s">
        <v>7783</v>
      </c>
      <c r="M1953" s="5" t="s">
        <v>7779</v>
      </c>
      <c r="N1953" s="7" t="str">
        <f>HYPERLINK("C:\Users\alexa\YandexDisk\Книги\Облачные технологии\GCP\Visualizing_Google_Cloud_101_Illustrated_References_for_Cloud_Engineers.pdf","Visualizing_Google_Cloud_101_Illustrated_References_for_Cloud_Engineers.pdf")</f>
        <v>Visualizing_Google_Cloud_101_Illustrated_References_for_Cloud_Engineers.pdf</v>
      </c>
      <c r="O1953" s="5" t="s">
        <v>7784</v>
      </c>
    </row>
    <row r="1954" spans="1:15" ht="234.6" x14ac:dyDescent="0.3">
      <c r="A1954" s="2">
        <v>1953</v>
      </c>
      <c r="B1954" s="3" t="s">
        <v>7785</v>
      </c>
      <c r="C1954" s="3" t="s">
        <v>7786</v>
      </c>
      <c r="D1954" s="3"/>
      <c r="E1954" s="3" t="s">
        <v>442</v>
      </c>
      <c r="F1954" s="3" t="s">
        <v>7787</v>
      </c>
      <c r="G1954" s="3" t="s">
        <v>7751</v>
      </c>
      <c r="H1954" s="3" t="s">
        <v>199</v>
      </c>
      <c r="I1954" s="3" t="s">
        <v>20</v>
      </c>
      <c r="J1954" s="3">
        <v>7.84</v>
      </c>
      <c r="K1954" s="3" t="s">
        <v>21</v>
      </c>
      <c r="L1954" s="3" t="s">
        <v>7788</v>
      </c>
      <c r="M1954" s="3" t="s">
        <v>7789</v>
      </c>
      <c r="N1954" s="6" t="str">
        <f>HYPERLINK("C:\Users\alexa\YandexDisk\Книги\Облачные технологии\Общие вопросы\Architecting Data and ML Platforms_True.pdf","Architecting Data and ML Platforms_True.pdf")</f>
        <v>Architecting Data and ML Platforms_True.pdf</v>
      </c>
      <c r="O1954" s="3" t="s">
        <v>7790</v>
      </c>
    </row>
    <row r="1955" spans="1:15" ht="193.2" x14ac:dyDescent="0.3">
      <c r="A1955" s="4">
        <v>1954</v>
      </c>
      <c r="B1955" s="5" t="s">
        <v>7791</v>
      </c>
      <c r="C1955" s="5" t="s">
        <v>5099</v>
      </c>
      <c r="D1955" s="5" t="s">
        <v>109</v>
      </c>
      <c r="E1955" s="5" t="s">
        <v>102</v>
      </c>
      <c r="F1955" s="5" t="s">
        <v>7787</v>
      </c>
      <c r="G1955" s="5" t="s">
        <v>7751</v>
      </c>
      <c r="H1955" s="5" t="s">
        <v>199</v>
      </c>
      <c r="I1955" s="5" t="s">
        <v>20</v>
      </c>
      <c r="J1955" s="5">
        <v>2.13</v>
      </c>
      <c r="K1955" s="5" t="s">
        <v>21</v>
      </c>
      <c r="L1955" s="5" t="s">
        <v>7792</v>
      </c>
      <c r="M1955" s="5" t="s">
        <v>7789</v>
      </c>
      <c r="N1955" s="7" t="str">
        <f>HYPERLINK("C:\Users\alexa\YandexDisk\Книги\Облачные технологии\Общие вопросы\Облачные микросервисы.pdf","Облачные микросервисы.pdf")</f>
        <v>Облачные микросервисы.pdf</v>
      </c>
      <c r="O1955" s="5" t="s">
        <v>7793</v>
      </c>
    </row>
    <row r="1956" spans="1:15" ht="179.4" x14ac:dyDescent="0.3">
      <c r="A1956" s="2">
        <v>1955</v>
      </c>
      <c r="B1956" s="3" t="s">
        <v>7794</v>
      </c>
      <c r="C1956" s="3" t="s">
        <v>7795</v>
      </c>
      <c r="D1956" s="3"/>
      <c r="E1956" s="3"/>
      <c r="F1956" s="3" t="s">
        <v>7787</v>
      </c>
      <c r="G1956" s="3" t="s">
        <v>7751</v>
      </c>
      <c r="H1956" s="3" t="s">
        <v>199</v>
      </c>
      <c r="I1956" s="3" t="s">
        <v>20</v>
      </c>
      <c r="J1956" s="3">
        <v>2.08</v>
      </c>
      <c r="K1956" s="3" t="s">
        <v>21</v>
      </c>
      <c r="L1956" s="3" t="s">
        <v>7796</v>
      </c>
      <c r="M1956" s="3" t="s">
        <v>7789</v>
      </c>
      <c r="N1956" s="6" t="str">
        <f>HYPERLINK("C:\Users\alexa\YandexDisk\Книги\Облачные технологии\Общие вопросы\Облачные технологии.pdf","Облачные технологии.pdf")</f>
        <v>Облачные технологии.pdf</v>
      </c>
      <c r="O1956" s="3" t="s">
        <v>7797</v>
      </c>
    </row>
    <row r="1957" spans="1:15" ht="220.8" x14ac:dyDescent="0.3">
      <c r="A1957" s="4">
        <v>1956</v>
      </c>
      <c r="B1957" s="5" t="s">
        <v>7798</v>
      </c>
      <c r="C1957" s="5" t="s">
        <v>7799</v>
      </c>
      <c r="D1957" s="5" t="s">
        <v>71</v>
      </c>
      <c r="E1957" s="5" t="s">
        <v>18</v>
      </c>
      <c r="F1957" s="5" t="s">
        <v>7787</v>
      </c>
      <c r="G1957" s="5" t="s">
        <v>7751</v>
      </c>
      <c r="H1957" s="5" t="s">
        <v>199</v>
      </c>
      <c r="I1957" s="5" t="s">
        <v>20</v>
      </c>
      <c r="J1957" s="5">
        <v>13.8</v>
      </c>
      <c r="K1957" s="5" t="s">
        <v>21</v>
      </c>
      <c r="L1957" s="5" t="s">
        <v>7800</v>
      </c>
      <c r="M1957" s="5" t="s">
        <v>7789</v>
      </c>
      <c r="N1957" s="7" t="str">
        <f>HYPERLINK("C:\Users\alexa\YandexDisk\Книги\Облачные технологии\Общие вопросы\Облачные_архитектуры_разработка_устойчивых_и_экономичных_облачных.pdf","Облачные_архитектуры_разработка_устойчивых_и_экономичных_облачных.pdf")</f>
        <v>Облачные_архитектуры_разработка_устойчивых_и_экономичных_облачных.pdf</v>
      </c>
      <c r="O1957" s="5" t="s">
        <v>7801</v>
      </c>
    </row>
    <row r="1958" spans="1:15" ht="220.8" x14ac:dyDescent="0.3">
      <c r="A1958" s="2">
        <v>1957</v>
      </c>
      <c r="B1958" s="3" t="s">
        <v>7802</v>
      </c>
      <c r="C1958" s="3" t="s">
        <v>7803</v>
      </c>
      <c r="D1958" s="3"/>
      <c r="E1958" s="3"/>
      <c r="F1958" s="3" t="s">
        <v>7787</v>
      </c>
      <c r="G1958" s="3" t="s">
        <v>7751</v>
      </c>
      <c r="H1958" s="3" t="s">
        <v>199</v>
      </c>
      <c r="I1958" s="3" t="s">
        <v>20</v>
      </c>
      <c r="J1958" s="3">
        <v>1.78</v>
      </c>
      <c r="K1958" s="3" t="s">
        <v>21</v>
      </c>
      <c r="L1958" s="3" t="s">
        <v>7804</v>
      </c>
      <c r="M1958" s="3" t="s">
        <v>7789</v>
      </c>
      <c r="N1958" s="6" t="str">
        <f>HYPERLINK("C:\Users\alexa\YandexDisk\Книги\Облачные технологии\Общие вопросы\СберКлауд Переход в облако.pdf","СберКлауд Переход в облако.pdf")</f>
        <v>СберКлауд Переход в облако.pdf</v>
      </c>
      <c r="O1958" s="3" t="s">
        <v>7805</v>
      </c>
    </row>
    <row r="1959" spans="1:15" ht="207" x14ac:dyDescent="0.3">
      <c r="A1959" s="4">
        <v>1958</v>
      </c>
      <c r="B1959" s="5" t="s">
        <v>7806</v>
      </c>
      <c r="C1959" s="5" t="s">
        <v>7807</v>
      </c>
      <c r="D1959" s="5"/>
      <c r="E1959" s="5" t="s">
        <v>7808</v>
      </c>
      <c r="F1959" s="5" t="s">
        <v>7809</v>
      </c>
      <c r="G1959" s="5" t="s">
        <v>7810</v>
      </c>
      <c r="H1959" s="5" t="s">
        <v>7811</v>
      </c>
      <c r="I1959" s="5" t="s">
        <v>20</v>
      </c>
      <c r="J1959" s="5">
        <v>18.59</v>
      </c>
      <c r="K1959" s="5" t="s">
        <v>21</v>
      </c>
      <c r="L1959" s="5" t="s">
        <v>7812</v>
      </c>
      <c r="M1959" s="5" t="s">
        <v>7813</v>
      </c>
      <c r="N1959" s="7" t="str">
        <f>HYPERLINK("C:\Users\alexa\YandexDisk\Книги\Образование\Физика\Electric and Electronic Circuit Simulation using TINA-TI.pdf","Electric and Electronic Circuit Simulation using TINA-TI.pdf")</f>
        <v>Electric and Electronic Circuit Simulation using TINA-TI.pdf</v>
      </c>
      <c r="O1959" s="5" t="s">
        <v>7814</v>
      </c>
    </row>
    <row r="1960" spans="1:15" ht="179.4" x14ac:dyDescent="0.3">
      <c r="A1960" s="2">
        <v>1959</v>
      </c>
      <c r="B1960" s="3" t="s">
        <v>7815</v>
      </c>
      <c r="C1960" s="3" t="s">
        <v>7816</v>
      </c>
      <c r="D1960" s="3" t="s">
        <v>114</v>
      </c>
      <c r="E1960" s="3" t="s">
        <v>18</v>
      </c>
      <c r="F1960" s="3" t="s">
        <v>7809</v>
      </c>
      <c r="G1960" s="3" t="s">
        <v>7810</v>
      </c>
      <c r="H1960" s="3" t="s">
        <v>7811</v>
      </c>
      <c r="I1960" s="3" t="s">
        <v>20</v>
      </c>
      <c r="J1960" s="3">
        <v>5.72</v>
      </c>
      <c r="K1960" s="3" t="s">
        <v>21</v>
      </c>
      <c r="L1960" s="3" t="s">
        <v>7817</v>
      </c>
      <c r="M1960" s="3" t="s">
        <v>7813</v>
      </c>
      <c r="N1960" s="6" t="str">
        <f>HYPERLINK("C:\Users\alexa\YandexDisk\Книги\Образование\Физика\Fayer_M_-_Absolyutny_minimum_Kak_kvantovaya_teoria_obyasnyaet_nash_mir_New_Science_-_2016_pdf.pdf","Fayer_M_-_Absolyutny_minimum_Kak_kvantovaya_teoria_obyasnyaet_nash_mir_New_Science_-_2016_pdf.pdf")</f>
        <v>Fayer_M_-_Absolyutny_minimum_Kak_kvantovaya_teoria_obyasnyaet_nash_mir_New_Science_-_2016_pdf.pdf</v>
      </c>
      <c r="O1960" s="3" t="s">
        <v>7818</v>
      </c>
    </row>
    <row r="1961" spans="1:15" ht="248.4" x14ac:dyDescent="0.3">
      <c r="A1961" s="4">
        <v>1960</v>
      </c>
      <c r="B1961" s="5" t="s">
        <v>7819</v>
      </c>
      <c r="C1961" s="5" t="s">
        <v>7820</v>
      </c>
      <c r="D1961" s="5" t="s">
        <v>27</v>
      </c>
      <c r="E1961" s="5" t="s">
        <v>3280</v>
      </c>
      <c r="F1961" s="5" t="s">
        <v>7809</v>
      </c>
      <c r="G1961" s="5" t="s">
        <v>7810</v>
      </c>
      <c r="H1961" s="5" t="s">
        <v>7811</v>
      </c>
      <c r="I1961" s="5" t="s">
        <v>20</v>
      </c>
      <c r="J1961" s="5">
        <v>20.54</v>
      </c>
      <c r="K1961" s="5" t="s">
        <v>21</v>
      </c>
      <c r="L1961" s="5" t="s">
        <v>7821</v>
      </c>
      <c r="M1961" s="5" t="s">
        <v>7813</v>
      </c>
      <c r="N1961" s="7" t="str">
        <f>HYPERLINK("C:\Users\alexa\YandexDisk\Книги\Образование\Физика\Quantum Mechanics And Bayesian Machines (2023).pdf","Quantum Mechanics And Bayesian Machines (2023).pdf")</f>
        <v>Quantum Mechanics And Bayesian Machines (2023).pdf</v>
      </c>
      <c r="O1961" s="5" t="s">
        <v>7822</v>
      </c>
    </row>
    <row r="1962" spans="1:15" ht="151.80000000000001" x14ac:dyDescent="0.3">
      <c r="A1962" s="2">
        <v>1961</v>
      </c>
      <c r="B1962" s="3" t="s">
        <v>7823</v>
      </c>
      <c r="C1962" s="3"/>
      <c r="D1962" s="3" t="s">
        <v>71</v>
      </c>
      <c r="E1962" s="3"/>
      <c r="F1962" s="3" t="s">
        <v>7809</v>
      </c>
      <c r="G1962" s="3" t="s">
        <v>7810</v>
      </c>
      <c r="H1962" s="3" t="s">
        <v>7811</v>
      </c>
      <c r="I1962" s="3" t="s">
        <v>20</v>
      </c>
      <c r="J1962" s="3">
        <v>48.56</v>
      </c>
      <c r="K1962" s="3" t="s">
        <v>21</v>
      </c>
      <c r="L1962" s="3" t="s">
        <v>7824</v>
      </c>
      <c r="M1962" s="3" t="s">
        <v>7813</v>
      </c>
      <c r="N1962" s="6" t="str">
        <f>HYPERLINK("C:\Users\alexa\YandexDisk\Книги\Образование\Физика\sb-kosmos.pdf","sb-kosmos.pdf")</f>
        <v>sb-kosmos.pdf</v>
      </c>
      <c r="O1962" s="3" t="s">
        <v>7825</v>
      </c>
    </row>
    <row r="1963" spans="1:15" ht="220.8" x14ac:dyDescent="0.3">
      <c r="A1963" s="4">
        <v>1962</v>
      </c>
      <c r="B1963" s="5" t="s">
        <v>7826</v>
      </c>
      <c r="C1963" s="5" t="s">
        <v>7827</v>
      </c>
      <c r="D1963" s="5" t="s">
        <v>71</v>
      </c>
      <c r="E1963" s="5" t="s">
        <v>18</v>
      </c>
      <c r="F1963" s="5" t="s">
        <v>7809</v>
      </c>
      <c r="G1963" s="5" t="s">
        <v>7810</v>
      </c>
      <c r="H1963" s="5" t="s">
        <v>7811</v>
      </c>
      <c r="I1963" s="5" t="s">
        <v>20</v>
      </c>
      <c r="J1963" s="5">
        <v>5.53</v>
      </c>
      <c r="K1963" s="5" t="s">
        <v>21</v>
      </c>
      <c r="L1963" s="5" t="s">
        <v>7828</v>
      </c>
      <c r="M1963" s="5" t="s">
        <v>7813</v>
      </c>
      <c r="N1963" s="7" t="str">
        <f>HYPERLINK("C:\Users\alexa\YandexDisk\Книги\Образование\Физика\Квантовые_миры_и_возникновение_пространства_времени_2022_Кэрролл.pdf","Квантовые_миры_и_возникновение_пространства_времени_2022_Кэрролл.pdf")</f>
        <v>Квантовые_миры_и_возникновение_пространства_времени_2022_Кэрролл.pdf</v>
      </c>
      <c r="O1963" s="5" t="s">
        <v>7829</v>
      </c>
    </row>
    <row r="1964" spans="1:15" ht="193.2" x14ac:dyDescent="0.3">
      <c r="A1964" s="2">
        <v>1963</v>
      </c>
      <c r="B1964" s="3" t="s">
        <v>7830</v>
      </c>
      <c r="C1964" s="3" t="s">
        <v>7831</v>
      </c>
      <c r="D1964" s="3" t="s">
        <v>77</v>
      </c>
      <c r="E1964" s="3" t="s">
        <v>7832</v>
      </c>
      <c r="F1964" s="3" t="s">
        <v>7809</v>
      </c>
      <c r="G1964" s="3" t="s">
        <v>7810</v>
      </c>
      <c r="H1964" s="3" t="s">
        <v>7811</v>
      </c>
      <c r="I1964" s="3" t="s">
        <v>20</v>
      </c>
      <c r="J1964" s="3">
        <v>26.76</v>
      </c>
      <c r="K1964" s="3" t="s">
        <v>21</v>
      </c>
      <c r="L1964" s="3" t="s">
        <v>7833</v>
      </c>
      <c r="M1964" s="3" t="s">
        <v>7813</v>
      </c>
      <c r="N1964" s="6" t="str">
        <f>HYPERLINK("C:\Users\alexa\YandexDisk\Книги\Образование\Физика\Львовский_А_Отличная_квантовая_механика_1_Альпина_2019.pdf","Львовский_А_Отличная_квантовая_механика_1_Альпина_2019.pdf")</f>
        <v>Львовский_А_Отличная_квантовая_механика_1_Альпина_2019.pdf</v>
      </c>
      <c r="O1964" s="3" t="s">
        <v>7834</v>
      </c>
    </row>
    <row r="1965" spans="1:15" ht="179.4" x14ac:dyDescent="0.3">
      <c r="A1965" s="4">
        <v>1964</v>
      </c>
      <c r="B1965" s="5" t="s">
        <v>7835</v>
      </c>
      <c r="C1965" s="5" t="s">
        <v>7836</v>
      </c>
      <c r="D1965" s="5" t="s">
        <v>17</v>
      </c>
      <c r="E1965" s="5" t="s">
        <v>102</v>
      </c>
      <c r="F1965" s="5" t="s">
        <v>7809</v>
      </c>
      <c r="G1965" s="5" t="s">
        <v>7810</v>
      </c>
      <c r="H1965" s="5" t="s">
        <v>7811</v>
      </c>
      <c r="I1965" s="5" t="s">
        <v>20</v>
      </c>
      <c r="J1965" s="5">
        <v>23.28</v>
      </c>
      <c r="K1965" s="5" t="s">
        <v>21</v>
      </c>
      <c r="L1965" s="5" t="s">
        <v>7837</v>
      </c>
      <c r="M1965" s="5" t="s">
        <v>7813</v>
      </c>
      <c r="N1965" s="7" t="str">
        <f>HYPERLINK("C:\Users\alexa\YandexDisk\Книги\Образование\Физика\Смартфоника_Научные_эксперименты_со_смартфоном.pdf","Смартфоника_Научные_эксперименты_со_смартфоном.pdf")</f>
        <v>Смартфоника_Научные_эксперименты_со_смартфоном.pdf</v>
      </c>
      <c r="O1965" s="5" t="s">
        <v>7838</v>
      </c>
    </row>
    <row r="1966" spans="1:15" ht="179.4" x14ac:dyDescent="0.3">
      <c r="A1966" s="2">
        <v>1965</v>
      </c>
      <c r="B1966" s="3" t="s">
        <v>7839</v>
      </c>
      <c r="C1966" s="3" t="s">
        <v>7840</v>
      </c>
      <c r="D1966" s="3" t="s">
        <v>71</v>
      </c>
      <c r="E1966" s="3" t="s">
        <v>227</v>
      </c>
      <c r="F1966" s="3" t="s">
        <v>7841</v>
      </c>
      <c r="G1966" s="3" t="s">
        <v>7842</v>
      </c>
      <c r="H1966" s="3" t="s">
        <v>7843</v>
      </c>
      <c r="I1966" s="3" t="s">
        <v>20</v>
      </c>
      <c r="J1966" s="3">
        <v>17.22</v>
      </c>
      <c r="K1966" s="3" t="s">
        <v>21</v>
      </c>
      <c r="L1966" s="3" t="s">
        <v>7844</v>
      </c>
      <c r="M1966" s="3" t="s">
        <v>7845</v>
      </c>
      <c r="N1966" s="6" t="str">
        <f>HYPERLINK("C:\Users\alexa\YandexDisk\Книги\Операционные системы\Linux\! Linux for Small Business Owners.pdf","! Linux for Small Business Owners.pdf")</f>
        <v>! Linux for Small Business Owners.pdf</v>
      </c>
      <c r="O1966" s="3" t="s">
        <v>7846</v>
      </c>
    </row>
    <row r="1967" spans="1:15" ht="179.4" x14ac:dyDescent="0.3">
      <c r="A1967" s="4">
        <v>1966</v>
      </c>
      <c r="B1967" s="5" t="s">
        <v>7847</v>
      </c>
      <c r="C1967" s="5" t="s">
        <v>3006</v>
      </c>
      <c r="D1967" s="5" t="s">
        <v>71</v>
      </c>
      <c r="E1967" s="5" t="s">
        <v>402</v>
      </c>
      <c r="F1967" s="5" t="s">
        <v>7841</v>
      </c>
      <c r="G1967" s="5" t="s">
        <v>7842</v>
      </c>
      <c r="H1967" s="5" t="s">
        <v>7843</v>
      </c>
      <c r="I1967" s="5" t="s">
        <v>20</v>
      </c>
      <c r="J1967" s="5">
        <v>91.97</v>
      </c>
      <c r="K1967" s="5" t="s">
        <v>21</v>
      </c>
      <c r="L1967" s="5" t="s">
        <v>7848</v>
      </c>
      <c r="M1967" s="5" t="s">
        <v>7845</v>
      </c>
      <c r="N1967" s="7" t="str">
        <f>HYPERLINK("C:\Users\alexa\YandexDisk\Книги\Операционные системы\Linux\! Linux. От новичка к профессионалу.pdf","! Linux. От новичка к профессионалу.pdf")</f>
        <v>! Linux. От новичка к профессионалу.pdf</v>
      </c>
      <c r="O1967" s="5" t="s">
        <v>7849</v>
      </c>
    </row>
    <row r="1968" spans="1:15" ht="179.4" x14ac:dyDescent="0.3">
      <c r="A1968" s="2">
        <v>1967</v>
      </c>
      <c r="B1968" s="3" t="s">
        <v>7850</v>
      </c>
      <c r="C1968" s="3" t="s">
        <v>3006</v>
      </c>
      <c r="D1968" s="3" t="s">
        <v>71</v>
      </c>
      <c r="E1968" s="3" t="s">
        <v>5174</v>
      </c>
      <c r="F1968" s="3" t="s">
        <v>7841</v>
      </c>
      <c r="G1968" s="3" t="s">
        <v>7842</v>
      </c>
      <c r="H1968" s="3" t="s">
        <v>7843</v>
      </c>
      <c r="I1968" s="3" t="s">
        <v>20</v>
      </c>
      <c r="J1968" s="3">
        <v>38.15</v>
      </c>
      <c r="K1968" s="3" t="s">
        <v>21</v>
      </c>
      <c r="L1968" s="3" t="s">
        <v>7851</v>
      </c>
      <c r="M1968" s="3" t="s">
        <v>7845</v>
      </c>
      <c r="N1968" s="6" t="str">
        <f>HYPERLINK("C:\Users\alexa\YandexDisk\Книги\Операционные системы\Linux\! Linux_на_примерах_Ubunta-AstraLinux 2022 Колиснеченко.pdf","! Linux_на_примерах_Ubunta-AstraLinux 2022 Колиснеченко.pdf")</f>
        <v>! Linux_на_примерах_Ubunta-AstraLinux 2022 Колиснеченко.pdf</v>
      </c>
      <c r="O1968" s="3" t="s">
        <v>7852</v>
      </c>
    </row>
    <row r="1969" spans="1:15" ht="165.6" x14ac:dyDescent="0.3">
      <c r="A1969" s="4">
        <v>1968</v>
      </c>
      <c r="B1969" s="5" t="s">
        <v>7853</v>
      </c>
      <c r="C1969" s="5" t="s">
        <v>7854</v>
      </c>
      <c r="D1969" s="5" t="s">
        <v>27</v>
      </c>
      <c r="E1969" s="5" t="s">
        <v>485</v>
      </c>
      <c r="F1969" s="5" t="s">
        <v>7841</v>
      </c>
      <c r="G1969" s="5" t="s">
        <v>7842</v>
      </c>
      <c r="H1969" s="5" t="s">
        <v>7843</v>
      </c>
      <c r="I1969" s="5" t="s">
        <v>20</v>
      </c>
      <c r="J1969" s="5">
        <v>48.12</v>
      </c>
      <c r="K1969" s="5" t="s">
        <v>21</v>
      </c>
      <c r="L1969" s="5" t="s">
        <v>7855</v>
      </c>
      <c r="M1969" s="5" t="s">
        <v>7845</v>
      </c>
      <c r="N1969" s="7" t="str">
        <f>HYPERLINK("C:\Users\alexa\YandexDisk\Книги\Операционные системы\Linux\!!!! Astra Linux.pdf","!!!! Astra Linux.pdf")</f>
        <v>!!!! Astra Linux.pdf</v>
      </c>
      <c r="O1969" s="5" t="s">
        <v>7856</v>
      </c>
    </row>
    <row r="1970" spans="1:15" ht="193.2" x14ac:dyDescent="0.3">
      <c r="A1970" s="2">
        <v>1969</v>
      </c>
      <c r="B1970" s="3" t="s">
        <v>7857</v>
      </c>
      <c r="C1970" s="3" t="s">
        <v>7858</v>
      </c>
      <c r="D1970" s="3" t="s">
        <v>59</v>
      </c>
      <c r="E1970" s="3" t="s">
        <v>18</v>
      </c>
      <c r="F1970" s="3" t="s">
        <v>7841</v>
      </c>
      <c r="G1970" s="3" t="s">
        <v>7842</v>
      </c>
      <c r="H1970" s="3" t="s">
        <v>7843</v>
      </c>
      <c r="I1970" s="3" t="s">
        <v>20</v>
      </c>
      <c r="J1970" s="3">
        <v>5.2</v>
      </c>
      <c r="K1970" s="3" t="s">
        <v>21</v>
      </c>
      <c r="L1970" s="3" t="s">
        <v>7859</v>
      </c>
      <c r="M1970" s="3" t="s">
        <v>7845</v>
      </c>
      <c r="N1970" s="6" t="str">
        <f>HYPERLINK("C:\Users\alexa\YandexDisk\Книги\Операционные системы\Linux\!!!_Командная_строка_linux,_2_е_издание,_2020.pdf","!!!_Командная_строка_linux,_2_е_издание,_2020.pdf")</f>
        <v>!!!_Командная_строка_linux,_2_е_издание,_2020.pdf</v>
      </c>
      <c r="O1970" s="3" t="s">
        <v>7860</v>
      </c>
    </row>
    <row r="1971" spans="1:15" ht="193.2" x14ac:dyDescent="0.3">
      <c r="A1971" s="4">
        <v>1970</v>
      </c>
      <c r="B1971" s="5" t="s">
        <v>7861</v>
      </c>
      <c r="C1971" s="5" t="s">
        <v>7854</v>
      </c>
      <c r="D1971" s="5" t="s">
        <v>109</v>
      </c>
      <c r="E1971" s="5" t="s">
        <v>5174</v>
      </c>
      <c r="F1971" s="5" t="s">
        <v>7841</v>
      </c>
      <c r="G1971" s="5" t="s">
        <v>7842</v>
      </c>
      <c r="H1971" s="5" t="s">
        <v>7843</v>
      </c>
      <c r="I1971" s="5" t="s">
        <v>20</v>
      </c>
      <c r="J1971" s="5">
        <v>54.66</v>
      </c>
      <c r="K1971" s="5" t="s">
        <v>21</v>
      </c>
      <c r="L1971" s="5" t="s">
        <v>7862</v>
      </c>
      <c r="M1971" s="5" t="s">
        <v>7845</v>
      </c>
      <c r="N1971" s="7" t="str">
        <f>HYPERLINK("C:\Users\alexa\YandexDisk\Книги\Операционные системы\Linux\!Весь Linux. Для тех, кто хочет стать профессионалом.pdf","!Весь Linux. Для тех, кто хочет стать профессионалом.pdf")</f>
        <v>!Весь Linux. Для тех, кто хочет стать профессионалом.pdf</v>
      </c>
      <c r="O1971" s="5" t="s">
        <v>7863</v>
      </c>
    </row>
    <row r="1972" spans="1:15" ht="165.6" x14ac:dyDescent="0.3">
      <c r="A1972" s="2">
        <v>1971</v>
      </c>
      <c r="B1972" s="3" t="s">
        <v>7864</v>
      </c>
      <c r="C1972" s="3"/>
      <c r="D1972" s="3"/>
      <c r="E1972" s="3"/>
      <c r="F1972" s="3" t="s">
        <v>7841</v>
      </c>
      <c r="G1972" s="3" t="s">
        <v>7842</v>
      </c>
      <c r="H1972" s="3" t="s">
        <v>7843</v>
      </c>
      <c r="I1972" s="3" t="s">
        <v>721</v>
      </c>
      <c r="J1972" s="3">
        <v>0.83</v>
      </c>
      <c r="K1972" s="3" t="s">
        <v>21</v>
      </c>
      <c r="L1972" s="3" t="s">
        <v>7865</v>
      </c>
      <c r="M1972" s="3" t="s">
        <v>7845</v>
      </c>
      <c r="N1972" s="6" t="str">
        <f>HYPERLINK("C:\Users\alexa\YandexDisk\Книги\Операционные системы\Linux\Bash_Карманный_справочник_системного.djvu","Bash_Карманный_справочник_системного.djvu")</f>
        <v>Bash_Карманный_справочник_системного.djvu</v>
      </c>
      <c r="O1972" s="3" t="s">
        <v>7866</v>
      </c>
    </row>
    <row r="1973" spans="1:15" ht="165.6" x14ac:dyDescent="0.3">
      <c r="A1973" s="4">
        <v>1972</v>
      </c>
      <c r="B1973" s="5" t="s">
        <v>7867</v>
      </c>
      <c r="C1973" s="5" t="s">
        <v>7868</v>
      </c>
      <c r="D1973" s="5" t="s">
        <v>17</v>
      </c>
      <c r="E1973" s="5" t="s">
        <v>18</v>
      </c>
      <c r="F1973" s="5" t="s">
        <v>7841</v>
      </c>
      <c r="G1973" s="5" t="s">
        <v>7842</v>
      </c>
      <c r="H1973" s="5" t="s">
        <v>7843</v>
      </c>
      <c r="I1973" s="5" t="s">
        <v>20</v>
      </c>
      <c r="J1973" s="5">
        <v>4.0199999999999996</v>
      </c>
      <c r="K1973" s="5" t="s">
        <v>21</v>
      </c>
      <c r="L1973" s="5" t="s">
        <v>7869</v>
      </c>
      <c r="M1973" s="5" t="s">
        <v>7845</v>
      </c>
      <c r="N1973" s="7" t="str">
        <f>HYPERLINK("C:\Users\alexa\YandexDisk\Книги\Операционные системы\Linux\BPF для мониторинга Linux.pdf","BPF для мониторинга Linux.pdf")</f>
        <v>BPF для мониторинга Linux.pdf</v>
      </c>
      <c r="O1973" s="5" t="s">
        <v>7870</v>
      </c>
    </row>
    <row r="1974" spans="1:15" ht="151.80000000000001" x14ac:dyDescent="0.3">
      <c r="A1974" s="2">
        <v>1973</v>
      </c>
      <c r="B1974" s="3" t="s">
        <v>7871</v>
      </c>
      <c r="C1974" s="3" t="s">
        <v>7872</v>
      </c>
      <c r="D1974" s="3" t="s">
        <v>109</v>
      </c>
      <c r="E1974" s="3" t="s">
        <v>18</v>
      </c>
      <c r="F1974" s="3" t="s">
        <v>7841</v>
      </c>
      <c r="G1974" s="3" t="s">
        <v>7842</v>
      </c>
      <c r="H1974" s="3" t="s">
        <v>7843</v>
      </c>
      <c r="I1974" s="3" t="s">
        <v>20</v>
      </c>
      <c r="J1974" s="3">
        <v>12.54</v>
      </c>
      <c r="K1974" s="3" t="s">
        <v>21</v>
      </c>
      <c r="L1974" s="3" t="s">
        <v>7873</v>
      </c>
      <c r="M1974" s="3" t="s">
        <v>7845</v>
      </c>
      <c r="N1974" s="6" t="str">
        <f>HYPERLINK("C:\Users\alexa\YandexDisk\Книги\Операционные системы\Linux\BPF. Профессиональная оценка производительности.pdf","BPF. Профессиональная оценка производительности.pdf")</f>
        <v>BPF. Профессиональная оценка производительности.pdf</v>
      </c>
      <c r="O1974" s="3" t="s">
        <v>7874</v>
      </c>
    </row>
    <row r="1975" spans="1:15" ht="179.4" x14ac:dyDescent="0.3">
      <c r="A1975" s="4">
        <v>1974</v>
      </c>
      <c r="B1975" s="5" t="s">
        <v>7875</v>
      </c>
      <c r="C1975" s="5" t="s">
        <v>7876</v>
      </c>
      <c r="D1975" s="5" t="s">
        <v>50</v>
      </c>
      <c r="E1975" s="5" t="s">
        <v>18</v>
      </c>
      <c r="F1975" s="5" t="s">
        <v>7841</v>
      </c>
      <c r="G1975" s="5" t="s">
        <v>7842</v>
      </c>
      <c r="H1975" s="5" t="s">
        <v>7843</v>
      </c>
      <c r="I1975" s="5" t="s">
        <v>20</v>
      </c>
      <c r="J1975" s="5">
        <v>24.08</v>
      </c>
      <c r="K1975" s="5" t="s">
        <v>21</v>
      </c>
      <c r="L1975" s="5" t="s">
        <v>7877</v>
      </c>
      <c r="M1975" s="5" t="s">
        <v>7845</v>
      </c>
      <c r="N1975" s="7" t="str">
        <f>HYPERLINK("C:\Users\alexa\YandexDisk\Книги\Операционные системы\Linux\Bresnakhen_K__Blum_R_-_Linux_na_praktike_-_2017.pdf","Bresnakhen_K__Blum_R_-_Linux_na_praktike_-_2017.pdf")</f>
        <v>Bresnakhen_K__Blum_R_-_Linux_na_praktike_-_2017.pdf</v>
      </c>
      <c r="O1975" s="5" t="s">
        <v>7878</v>
      </c>
    </row>
    <row r="1976" spans="1:15" ht="165.6" x14ac:dyDescent="0.3">
      <c r="A1976" s="2">
        <v>1975</v>
      </c>
      <c r="B1976" s="3" t="s">
        <v>7879</v>
      </c>
      <c r="C1976" s="3" t="s">
        <v>7880</v>
      </c>
      <c r="D1976" s="3"/>
      <c r="E1976" s="3"/>
      <c r="F1976" s="3" t="s">
        <v>7841</v>
      </c>
      <c r="G1976" s="3" t="s">
        <v>7842</v>
      </c>
      <c r="H1976" s="3" t="s">
        <v>7843</v>
      </c>
      <c r="I1976" s="3" t="s">
        <v>280</v>
      </c>
      <c r="J1976" s="3">
        <v>1.76</v>
      </c>
      <c r="K1976" s="3" t="s">
        <v>21</v>
      </c>
      <c r="L1976" s="3" t="s">
        <v>7881</v>
      </c>
      <c r="M1976" s="3" t="s">
        <v>7845</v>
      </c>
      <c r="N1976" s="6" t="str">
        <f>HYPERLINK("C:\Users\alexa\YandexDisk\Книги\Операционные системы\Linux\Brian_Ward_How_Linux_Works,_3rd_Edition_What_Every_Superuser_Should.epub","Brian_Ward_How_Linux_Works,_3rd_Edition_What_Every_Superuser_Should.epub")</f>
        <v>Brian_Ward_How_Linux_Works,_3rd_Edition_What_Every_Superuser_Should.epub</v>
      </c>
      <c r="O1976" s="3" t="s">
        <v>7882</v>
      </c>
    </row>
    <row r="1977" spans="1:15" ht="165.6" x14ac:dyDescent="0.3">
      <c r="A1977" s="4">
        <v>1976</v>
      </c>
      <c r="B1977" s="5" t="s">
        <v>7883</v>
      </c>
      <c r="C1977" s="5" t="s">
        <v>7884</v>
      </c>
      <c r="D1977" s="5" t="s">
        <v>59</v>
      </c>
      <c r="E1977" s="5" t="s">
        <v>205</v>
      </c>
      <c r="F1977" s="5" t="s">
        <v>7841</v>
      </c>
      <c r="G1977" s="5" t="s">
        <v>7842</v>
      </c>
      <c r="H1977" s="5" t="s">
        <v>7843</v>
      </c>
      <c r="I1977" s="5" t="s">
        <v>20</v>
      </c>
      <c r="J1977" s="5">
        <v>15.84</v>
      </c>
      <c r="K1977" s="5" t="s">
        <v>21</v>
      </c>
      <c r="L1977" s="5" t="s">
        <v>7885</v>
      </c>
      <c r="M1977" s="5" t="s">
        <v>7845</v>
      </c>
      <c r="N1977" s="7" t="str">
        <f>HYPERLINK("C:\Users\alexa\YandexDisk\Книги\Операционные системы\Linux\Learn Linux Quickly.pdf","Learn Linux Quickly.pdf")</f>
        <v>Learn Linux Quickly.pdf</v>
      </c>
      <c r="O1977" s="5" t="s">
        <v>7886</v>
      </c>
    </row>
    <row r="1978" spans="1:15" ht="179.4" x14ac:dyDescent="0.3">
      <c r="A1978" s="2">
        <v>1977</v>
      </c>
      <c r="B1978" s="3" t="s">
        <v>7887</v>
      </c>
      <c r="C1978" s="3" t="s">
        <v>7888</v>
      </c>
      <c r="D1978" s="3" t="s">
        <v>77</v>
      </c>
      <c r="E1978" s="3" t="s">
        <v>18</v>
      </c>
      <c r="F1978" s="3" t="s">
        <v>7841</v>
      </c>
      <c r="G1978" s="3" t="s">
        <v>7842</v>
      </c>
      <c r="H1978" s="3" t="s">
        <v>7843</v>
      </c>
      <c r="I1978" s="3" t="s">
        <v>20</v>
      </c>
      <c r="J1978" s="3">
        <v>16.66</v>
      </c>
      <c r="K1978" s="3" t="s">
        <v>21</v>
      </c>
      <c r="L1978" s="3" t="s">
        <v>7889</v>
      </c>
      <c r="M1978" s="3" t="s">
        <v>7845</v>
      </c>
      <c r="N1978" s="6" t="str">
        <f>HYPERLINK("C:\Users\alexa\YandexDisk\Книги\Операционные системы\Linux\Linux API. Исчерпывающее руководство 2019.pdf","Linux API. Исчерпывающее руководство 2019.pdf")</f>
        <v>Linux API. Исчерпывающее руководство 2019.pdf</v>
      </c>
      <c r="O1978" s="3" t="s">
        <v>7890</v>
      </c>
    </row>
    <row r="1979" spans="1:15" ht="151.80000000000001" x14ac:dyDescent="0.3">
      <c r="A1979" s="4">
        <v>1978</v>
      </c>
      <c r="B1979" s="5" t="s">
        <v>7891</v>
      </c>
      <c r="C1979" s="5" t="s">
        <v>7892</v>
      </c>
      <c r="D1979" s="5" t="s">
        <v>71</v>
      </c>
      <c r="E1979" s="5" t="s">
        <v>205</v>
      </c>
      <c r="F1979" s="5" t="s">
        <v>7841</v>
      </c>
      <c r="G1979" s="5" t="s">
        <v>7842</v>
      </c>
      <c r="H1979" s="5" t="s">
        <v>7843</v>
      </c>
      <c r="I1979" s="5" t="s">
        <v>20</v>
      </c>
      <c r="J1979" s="5">
        <v>37.19</v>
      </c>
      <c r="K1979" s="5" t="s">
        <v>21</v>
      </c>
      <c r="L1979" s="5" t="s">
        <v>7893</v>
      </c>
      <c r="M1979" s="5" t="s">
        <v>7845</v>
      </c>
      <c r="N1979" s="7" t="str">
        <f>HYPERLINK("C:\Users\alexa\YandexDisk\Книги\Операционные системы\Linux\Linux Command Line and Shell Scripting Techniques 2022.pdf","Linux Command Line and Shell Scripting Techniques 2022.pdf")</f>
        <v>Linux Command Line and Shell Scripting Techniques 2022.pdf</v>
      </c>
      <c r="O1979" s="5" t="s">
        <v>7894</v>
      </c>
    </row>
    <row r="1980" spans="1:15" ht="179.4" x14ac:dyDescent="0.3">
      <c r="A1980" s="2">
        <v>1979</v>
      </c>
      <c r="B1980" s="3" t="s">
        <v>7895</v>
      </c>
      <c r="C1980" s="3" t="s">
        <v>7896</v>
      </c>
      <c r="D1980" s="3" t="s">
        <v>476</v>
      </c>
      <c r="E1980" s="3" t="s">
        <v>442</v>
      </c>
      <c r="F1980" s="3" t="s">
        <v>7841</v>
      </c>
      <c r="G1980" s="3" t="s">
        <v>7842</v>
      </c>
      <c r="H1980" s="3" t="s">
        <v>7843</v>
      </c>
      <c r="I1980" s="3" t="s">
        <v>20</v>
      </c>
      <c r="J1980" s="3">
        <v>7.05</v>
      </c>
      <c r="K1980" s="3" t="s">
        <v>21</v>
      </c>
      <c r="L1980" s="3" t="s">
        <v>7897</v>
      </c>
      <c r="M1980" s="3" t="s">
        <v>7845</v>
      </c>
      <c r="N1980" s="6" t="str">
        <f>HYPERLINK("C:\Users\alexa\YandexDisk\Книги\Операционные системы\Linux\Linux system program... by Robert Love.pdf","Linux system program... by Robert Love.pdf")</f>
        <v>Linux system program... by Robert Love.pdf</v>
      </c>
      <c r="O1980" s="3" t="s">
        <v>7898</v>
      </c>
    </row>
    <row r="1981" spans="1:15" ht="165.6" x14ac:dyDescent="0.3">
      <c r="A1981" s="4">
        <v>1980</v>
      </c>
      <c r="B1981" s="5" t="s">
        <v>7899</v>
      </c>
      <c r="C1981" s="5" t="s">
        <v>7900</v>
      </c>
      <c r="D1981" s="5" t="s">
        <v>77</v>
      </c>
      <c r="E1981" s="5" t="s">
        <v>18</v>
      </c>
      <c r="F1981" s="5" t="s">
        <v>7841</v>
      </c>
      <c r="G1981" s="5" t="s">
        <v>7842</v>
      </c>
      <c r="H1981" s="5" t="s">
        <v>7843</v>
      </c>
      <c r="I1981" s="5" t="s">
        <v>20</v>
      </c>
      <c r="J1981" s="5">
        <v>27</v>
      </c>
      <c r="K1981" s="5" t="s">
        <v>21</v>
      </c>
      <c r="L1981" s="5" t="s">
        <v>7901</v>
      </c>
      <c r="M1981" s="5" t="s">
        <v>7845</v>
      </c>
      <c r="N1981" s="7" t="str">
        <f>HYPERLINK("C:\Users\alexa\YandexDisk\Книги\Операционные системы\Linux\Linux в действии.pdf","Linux в действии.pdf")</f>
        <v>Linux в действии.pdf</v>
      </c>
      <c r="O1981" s="5" t="s">
        <v>7902</v>
      </c>
    </row>
    <row r="1982" spans="1:15" ht="262.2" x14ac:dyDescent="0.3">
      <c r="A1982" s="2">
        <v>1981</v>
      </c>
      <c r="B1982" s="3" t="s">
        <v>7903</v>
      </c>
      <c r="C1982" s="3" t="s">
        <v>2354</v>
      </c>
      <c r="D1982" s="3" t="s">
        <v>17</v>
      </c>
      <c r="E1982" s="3" t="s">
        <v>402</v>
      </c>
      <c r="F1982" s="3" t="s">
        <v>7841</v>
      </c>
      <c r="G1982" s="3" t="s">
        <v>7842</v>
      </c>
      <c r="H1982" s="3" t="s">
        <v>7843</v>
      </c>
      <c r="I1982" s="3" t="s">
        <v>20</v>
      </c>
      <c r="J1982" s="3">
        <v>3.95</v>
      </c>
      <c r="K1982" s="3" t="s">
        <v>21</v>
      </c>
      <c r="L1982" s="3" t="s">
        <v>7904</v>
      </c>
      <c r="M1982" s="3" t="s">
        <v>7845</v>
      </c>
      <c r="N1982" s="6" t="str">
        <f>HYPERLINK("C:\Users\alexa\YandexDisk\Книги\Операционные системы\Linux\Linux глазами хакера 6-е изд.pdf","Linux глазами хакера 6-е изд.pdf")</f>
        <v>Linux глазами хакера 6-е изд.pdf</v>
      </c>
      <c r="O1982" s="3" t="s">
        <v>7905</v>
      </c>
    </row>
    <row r="1983" spans="1:15" ht="165.6" x14ac:dyDescent="0.3">
      <c r="A1983" s="4">
        <v>1982</v>
      </c>
      <c r="B1983" s="5" t="s">
        <v>7906</v>
      </c>
      <c r="C1983" s="5" t="s">
        <v>7907</v>
      </c>
      <c r="D1983" s="5" t="s">
        <v>335</v>
      </c>
      <c r="E1983" s="5" t="s">
        <v>336</v>
      </c>
      <c r="F1983" s="5" t="s">
        <v>7841</v>
      </c>
      <c r="G1983" s="5" t="s">
        <v>7842</v>
      </c>
      <c r="H1983" s="5" t="s">
        <v>7843</v>
      </c>
      <c r="I1983" s="5" t="s">
        <v>20</v>
      </c>
      <c r="J1983" s="5">
        <v>7.27</v>
      </c>
      <c r="K1983" s="5" t="s">
        <v>21</v>
      </c>
      <c r="L1983" s="5" t="s">
        <v>7908</v>
      </c>
      <c r="M1983" s="5" t="s">
        <v>7845</v>
      </c>
      <c r="N1983" s="7" t="str">
        <f>HYPERLINK("C:\Users\alexa\YandexDisk\Книги\Операционные системы\Linux\Linux для разработчиков.pdf","Linux для разработчиков.pdf")</f>
        <v>Linux для разработчиков.pdf</v>
      </c>
      <c r="O1983" s="5" t="s">
        <v>7909</v>
      </c>
    </row>
    <row r="1984" spans="1:15" ht="179.4" x14ac:dyDescent="0.3">
      <c r="A1984" s="2">
        <v>1983</v>
      </c>
      <c r="B1984" s="3" t="s">
        <v>7910</v>
      </c>
      <c r="C1984" s="3" t="s">
        <v>7911</v>
      </c>
      <c r="D1984" s="3" t="s">
        <v>109</v>
      </c>
      <c r="E1984" s="3" t="s">
        <v>18</v>
      </c>
      <c r="F1984" s="3" t="s">
        <v>7841</v>
      </c>
      <c r="G1984" s="3" t="s">
        <v>7842</v>
      </c>
      <c r="H1984" s="3" t="s">
        <v>7843</v>
      </c>
      <c r="I1984" s="3" t="s">
        <v>20</v>
      </c>
      <c r="J1984" s="3">
        <v>11.88</v>
      </c>
      <c r="K1984" s="3" t="s">
        <v>21</v>
      </c>
      <c r="L1984" s="3" t="s">
        <v>7912</v>
      </c>
      <c r="M1984" s="3" t="s">
        <v>7845</v>
      </c>
      <c r="N1984" s="6" t="str">
        <f>HYPERLINK("C:\Users\alexa\YandexDisk\Книги\Операционные системы\Linux\Linux для сетевых инженеров.pdf","Linux для сетевых инженеров.pdf")</f>
        <v>Linux для сетевых инженеров.pdf</v>
      </c>
      <c r="O1984" s="3" t="s">
        <v>7913</v>
      </c>
    </row>
    <row r="1985" spans="1:15" ht="165.6" x14ac:dyDescent="0.3">
      <c r="A1985" s="4">
        <v>1984</v>
      </c>
      <c r="B1985" s="5" t="s">
        <v>7914</v>
      </c>
      <c r="C1985" s="5"/>
      <c r="D1985" s="5"/>
      <c r="E1985" s="5"/>
      <c r="F1985" s="5" t="s">
        <v>7841</v>
      </c>
      <c r="G1985" s="5" t="s">
        <v>7842</v>
      </c>
      <c r="H1985" s="5" t="s">
        <v>7843</v>
      </c>
      <c r="I1985" s="5" t="s">
        <v>20</v>
      </c>
      <c r="J1985" s="5">
        <v>134.6</v>
      </c>
      <c r="K1985" s="5" t="s">
        <v>21</v>
      </c>
      <c r="L1985" s="5" t="s">
        <v>7915</v>
      </c>
      <c r="M1985" s="5" t="s">
        <v>7845</v>
      </c>
      <c r="N1985" s="7" t="str">
        <f>HYPERLINK("C:\Users\alexa\YandexDisk\Книги\Операционные системы\Linux\Linux на примерах.pdf","Linux на примерах.pdf")</f>
        <v>Linux на примерах.pdf</v>
      </c>
      <c r="O1985" s="5" t="s">
        <v>7916</v>
      </c>
    </row>
    <row r="1986" spans="1:15" ht="193.2" x14ac:dyDescent="0.3">
      <c r="A1986" s="2">
        <v>1985</v>
      </c>
      <c r="B1986" s="3" t="s">
        <v>7917</v>
      </c>
      <c r="C1986" s="3" t="s">
        <v>3006</v>
      </c>
      <c r="D1986" s="3" t="s">
        <v>17</v>
      </c>
      <c r="E1986" s="3" t="s">
        <v>485</v>
      </c>
      <c r="F1986" s="3" t="s">
        <v>7841</v>
      </c>
      <c r="G1986" s="3" t="s">
        <v>7842</v>
      </c>
      <c r="H1986" s="3" t="s">
        <v>7843</v>
      </c>
      <c r="I1986" s="3" t="s">
        <v>20</v>
      </c>
      <c r="J1986" s="3">
        <v>61.9</v>
      </c>
      <c r="K1986" s="3" t="s">
        <v>21</v>
      </c>
      <c r="L1986" s="3" t="s">
        <v>7918</v>
      </c>
      <c r="M1986" s="3" t="s">
        <v>7845</v>
      </c>
      <c r="N1986" s="6" t="str">
        <f>HYPERLINK("C:\Users\alexa\YandexDisk\Книги\Операционные системы\Linux\LINUX Полное  руководство 2021.pdf","LINUX Полное  руководство 2021.pdf")</f>
        <v>LINUX Полное  руководство 2021.pdf</v>
      </c>
      <c r="O1986" s="3" t="s">
        <v>7919</v>
      </c>
    </row>
    <row r="1987" spans="1:15" ht="165.6" x14ac:dyDescent="0.3">
      <c r="A1987" s="4">
        <v>1986</v>
      </c>
      <c r="B1987" s="5" t="s">
        <v>7920</v>
      </c>
      <c r="C1987" s="5" t="s">
        <v>7921</v>
      </c>
      <c r="D1987" s="5" t="s">
        <v>114</v>
      </c>
      <c r="E1987" s="5" t="s">
        <v>734</v>
      </c>
      <c r="F1987" s="5" t="s">
        <v>7841</v>
      </c>
      <c r="G1987" s="5" t="s">
        <v>7842</v>
      </c>
      <c r="H1987" s="5" t="s">
        <v>7843</v>
      </c>
      <c r="I1987" s="5" t="s">
        <v>20</v>
      </c>
      <c r="J1987" s="5">
        <v>23.02</v>
      </c>
      <c r="K1987" s="5" t="s">
        <v>21</v>
      </c>
      <c r="L1987" s="5" t="s">
        <v>7922</v>
      </c>
      <c r="M1987" s="5" t="s">
        <v>7845</v>
      </c>
      <c r="N1987" s="7" t="str">
        <f>HYPERLINK("C:\Users\alexa\YandexDisk\Книги\Операционные системы\Linux\Linux. Карманный справочник.pdf","Linux. Карманный справочник.pdf")</f>
        <v>Linux. Карманный справочник.pdf</v>
      </c>
      <c r="O1987" s="5" t="s">
        <v>7923</v>
      </c>
    </row>
    <row r="1988" spans="1:15" ht="165.6" x14ac:dyDescent="0.3">
      <c r="A1988" s="2">
        <v>1987</v>
      </c>
      <c r="B1988" s="3" t="s">
        <v>7924</v>
      </c>
      <c r="C1988" s="3" t="s">
        <v>7925</v>
      </c>
      <c r="D1988" s="3" t="s">
        <v>71</v>
      </c>
      <c r="E1988" s="3" t="s">
        <v>18</v>
      </c>
      <c r="F1988" s="3" t="s">
        <v>7841</v>
      </c>
      <c r="G1988" s="3" t="s">
        <v>7842</v>
      </c>
      <c r="H1988" s="3" t="s">
        <v>7843</v>
      </c>
      <c r="I1988" s="3" t="s">
        <v>20</v>
      </c>
      <c r="J1988" s="3">
        <v>9.91</v>
      </c>
      <c r="K1988" s="3" t="s">
        <v>21</v>
      </c>
      <c r="L1988" s="3" t="s">
        <v>7926</v>
      </c>
      <c r="M1988" s="3" t="s">
        <v>7845</v>
      </c>
      <c r="N1988" s="6" t="str">
        <f>HYPERLINK("C:\Users\alexa\YandexDisk\Книги\Операционные системы\Linux\Linux. Книга рецептов 2022.pdf","Linux. Книга рецептов 2022.pdf")</f>
        <v>Linux. Книга рецептов 2022.pdf</v>
      </c>
      <c r="O1988" s="3" t="s">
        <v>7927</v>
      </c>
    </row>
    <row r="1989" spans="1:15" ht="179.4" x14ac:dyDescent="0.3">
      <c r="A1989" s="4">
        <v>1988</v>
      </c>
      <c r="B1989" s="5" t="s">
        <v>7847</v>
      </c>
      <c r="C1989" s="5" t="s">
        <v>3006</v>
      </c>
      <c r="D1989" s="5" t="s">
        <v>59</v>
      </c>
      <c r="E1989" s="5" t="s">
        <v>402</v>
      </c>
      <c r="F1989" s="5" t="s">
        <v>7841</v>
      </c>
      <c r="G1989" s="5" t="s">
        <v>7842</v>
      </c>
      <c r="H1989" s="5" t="s">
        <v>7843</v>
      </c>
      <c r="I1989" s="5" t="s">
        <v>20</v>
      </c>
      <c r="J1989" s="5">
        <v>67.95</v>
      </c>
      <c r="K1989" s="5" t="s">
        <v>21</v>
      </c>
      <c r="L1989" s="5" t="s">
        <v>7928</v>
      </c>
      <c r="M1989" s="5" t="s">
        <v>7845</v>
      </c>
      <c r="N1989" s="7" t="str">
        <f>HYPERLINK("C:\Users\alexa\YandexDisk\Книги\Операционные системы\Linux\Linux. От новичка к профессионалу.pdf","Linux. От новичка к профессионалу.pdf")</f>
        <v>Linux. От новичка к профессионалу.pdf</v>
      </c>
      <c r="O1989" s="5" t="s">
        <v>7929</v>
      </c>
    </row>
    <row r="1990" spans="1:15" ht="165.6" x14ac:dyDescent="0.3">
      <c r="A1990" s="2">
        <v>1989</v>
      </c>
      <c r="B1990" s="3" t="s">
        <v>7930</v>
      </c>
      <c r="C1990" s="3" t="s">
        <v>7931</v>
      </c>
      <c r="D1990" s="3" t="s">
        <v>27</v>
      </c>
      <c r="E1990" s="3" t="s">
        <v>308</v>
      </c>
      <c r="F1990" s="3" t="s">
        <v>7841</v>
      </c>
      <c r="G1990" s="3" t="s">
        <v>7842</v>
      </c>
      <c r="H1990" s="3" t="s">
        <v>7843</v>
      </c>
      <c r="I1990" s="3" t="s">
        <v>20</v>
      </c>
      <c r="J1990" s="3">
        <v>12.59</v>
      </c>
      <c r="K1990" s="3" t="s">
        <v>21</v>
      </c>
      <c r="L1990" s="3" t="s">
        <v>7932</v>
      </c>
      <c r="M1990" s="3" t="s">
        <v>7845</v>
      </c>
      <c r="N1990" s="6" t="str">
        <f>HYPERLINK("C:\Users\alexa\YandexDisk\Книги\Операционные системы\Linux\Linux_All-In-One_For_Dummies_7Ed.pdf","Linux_All-In-One_For_Dummies_7Ed.pdf")</f>
        <v>Linux_All-In-One_For_Dummies_7Ed.pdf</v>
      </c>
      <c r="O1990" s="3" t="s">
        <v>7933</v>
      </c>
    </row>
    <row r="1991" spans="1:15" ht="151.80000000000001" x14ac:dyDescent="0.3">
      <c r="A1991" s="4">
        <v>1990</v>
      </c>
      <c r="B1991" s="5" t="s">
        <v>7934</v>
      </c>
      <c r="C1991" s="5" t="s">
        <v>7935</v>
      </c>
      <c r="D1991" s="5" t="s">
        <v>17</v>
      </c>
      <c r="E1991" s="5" t="s">
        <v>205</v>
      </c>
      <c r="F1991" s="5" t="s">
        <v>7841</v>
      </c>
      <c r="G1991" s="5" t="s">
        <v>7842</v>
      </c>
      <c r="H1991" s="5" t="s">
        <v>7843</v>
      </c>
      <c r="I1991" s="5" t="s">
        <v>20</v>
      </c>
      <c r="J1991" s="5">
        <v>3.6</v>
      </c>
      <c r="K1991" s="5" t="s">
        <v>21</v>
      </c>
      <c r="L1991" s="5" t="s">
        <v>7936</v>
      </c>
      <c r="M1991" s="5" t="s">
        <v>7845</v>
      </c>
      <c r="N1991" s="7" t="str">
        <f>HYPERLINK("C:\Users\alexa\YandexDisk\Книги\Операционные системы\Linux\Linux_System_Programming_Techniques_Become_a_proficient_Linux_system.pdf","Linux_System_Programming_Techniques_Become_a_proficient_Linux_system.pdf")</f>
        <v>Linux_System_Programming_Techniques_Become_a_proficient_Linux_system.pdf</v>
      </c>
      <c r="O1991" s="5" t="s">
        <v>7937</v>
      </c>
    </row>
    <row r="1992" spans="1:15" ht="179.4" x14ac:dyDescent="0.3">
      <c r="A1992" s="2">
        <v>1991</v>
      </c>
      <c r="B1992" s="3" t="s">
        <v>7938</v>
      </c>
      <c r="C1992" s="3" t="s">
        <v>7939</v>
      </c>
      <c r="D1992" s="3"/>
      <c r="E1992" s="3"/>
      <c r="F1992" s="3" t="s">
        <v>7841</v>
      </c>
      <c r="G1992" s="3" t="s">
        <v>7842</v>
      </c>
      <c r="H1992" s="3" t="s">
        <v>7843</v>
      </c>
      <c r="I1992" s="3" t="s">
        <v>20</v>
      </c>
      <c r="J1992" s="3">
        <v>2.13</v>
      </c>
      <c r="K1992" s="3" t="s">
        <v>21</v>
      </c>
      <c r="L1992" s="3" t="s">
        <v>7940</v>
      </c>
      <c r="M1992" s="3" t="s">
        <v>7845</v>
      </c>
      <c r="N1992" s="6" t="str">
        <f>HYPERLINK("C:\Users\alexa\YandexDisk\Книги\Операционные системы\Linux\Linux_The_Greatest_Guide_for_Beginners_to_the_Linux_Commands_and.pdf","Linux_The_Greatest_Guide_for_Beginners_to_the_Linux_Commands_and.pdf")</f>
        <v>Linux_The_Greatest_Guide_for_Beginners_to_the_Linux_Commands_and.pdf</v>
      </c>
      <c r="O1992" s="3" t="s">
        <v>7941</v>
      </c>
    </row>
    <row r="1993" spans="1:15" ht="193.2" x14ac:dyDescent="0.3">
      <c r="A1993" s="4">
        <v>1992</v>
      </c>
      <c r="B1993" s="5" t="s">
        <v>7942</v>
      </c>
      <c r="C1993" s="5" t="s">
        <v>7943</v>
      </c>
      <c r="D1993" s="5" t="s">
        <v>837</v>
      </c>
      <c r="E1993" s="5" t="s">
        <v>18</v>
      </c>
      <c r="F1993" s="5" t="s">
        <v>7841</v>
      </c>
      <c r="G1993" s="5" t="s">
        <v>7842</v>
      </c>
      <c r="H1993" s="5" t="s">
        <v>7843</v>
      </c>
      <c r="I1993" s="5" t="s">
        <v>20</v>
      </c>
      <c r="J1993" s="5">
        <v>6.12</v>
      </c>
      <c r="K1993" s="5" t="s">
        <v>21</v>
      </c>
      <c r="L1993" s="5" t="s">
        <v>7944</v>
      </c>
      <c r="M1993" s="5" t="s">
        <v>7845</v>
      </c>
      <c r="N1993" s="7" t="str">
        <f>HYPERLINK("C:\Users\alexa\YandexDisk\Книги\Операционные системы\Linux\Linux_Администрирование_и_системное_прграммирование 2010.pdf","Linux_Администрирование_и_системное_прграммирование 2010.pdf")</f>
        <v>Linux_Администрирование_и_системное_прграммирование 2010.pdf</v>
      </c>
      <c r="O1993" s="5" t="s">
        <v>7945</v>
      </c>
    </row>
    <row r="1994" spans="1:15" ht="207" x14ac:dyDescent="0.3">
      <c r="A1994" s="2">
        <v>1993</v>
      </c>
      <c r="B1994" s="3" t="s">
        <v>7946</v>
      </c>
      <c r="C1994" s="3" t="s">
        <v>7925</v>
      </c>
      <c r="D1994" s="3" t="s">
        <v>71</v>
      </c>
      <c r="E1994" s="3" t="s">
        <v>18</v>
      </c>
      <c r="F1994" s="3" t="s">
        <v>7841</v>
      </c>
      <c r="G1994" s="3" t="s">
        <v>7842</v>
      </c>
      <c r="H1994" s="3" t="s">
        <v>7843</v>
      </c>
      <c r="I1994" s="3" t="s">
        <v>20</v>
      </c>
      <c r="J1994" s="3">
        <v>9.82</v>
      </c>
      <c r="K1994" s="3" t="s">
        <v>21</v>
      </c>
      <c r="L1994" s="3" t="s">
        <v>7947</v>
      </c>
      <c r="M1994" s="3" t="s">
        <v>7845</v>
      </c>
      <c r="N1994" s="6" t="str">
        <f>HYPERLINK("C:\Users\alexa\YandexDisk\Книги\Операционные системы\Linux\Linux_Книга_рецептов_2_е_изд_2022_Шрёдер_Карла.pdf","Linux_Книга_рецептов_2_е_изд_2022_Шрёдер_Карла.pdf")</f>
        <v>Linux_Книга_рецептов_2_е_изд_2022_Шрёдер_Карла.pdf</v>
      </c>
      <c r="O1994" s="3" t="s">
        <v>7948</v>
      </c>
    </row>
    <row r="1995" spans="1:15" ht="220.8" x14ac:dyDescent="0.3">
      <c r="A1995" s="4">
        <v>1994</v>
      </c>
      <c r="B1995" s="5" t="s">
        <v>7847</v>
      </c>
      <c r="C1995" s="5" t="s">
        <v>7949</v>
      </c>
      <c r="D1995" s="5" t="s">
        <v>32</v>
      </c>
      <c r="E1995" s="5" t="s">
        <v>402</v>
      </c>
      <c r="F1995" s="5" t="s">
        <v>7841</v>
      </c>
      <c r="G1995" s="5" t="s">
        <v>7842</v>
      </c>
      <c r="H1995" s="5" t="s">
        <v>7843</v>
      </c>
      <c r="I1995" s="5" t="s">
        <v>20</v>
      </c>
      <c r="J1995" s="5">
        <v>63.9</v>
      </c>
      <c r="K1995" s="5" t="s">
        <v>21</v>
      </c>
      <c r="L1995" s="5" t="s">
        <v>7950</v>
      </c>
      <c r="M1995" s="5" t="s">
        <v>7845</v>
      </c>
      <c r="N1995" s="7" t="str">
        <f>HYPERLINK("C:\Users\alexa\YandexDisk\Книги\Операционные системы\Linux\Linux_От_новичка_к_профессионалу.pdf","Linux_От_новичка_к_профессионалу.pdf")</f>
        <v>Linux_От_новичка_к_профессионалу.pdf</v>
      </c>
      <c r="O1995" s="5" t="s">
        <v>7951</v>
      </c>
    </row>
    <row r="1996" spans="1:15" ht="165.6" x14ac:dyDescent="0.3">
      <c r="A1996" s="2">
        <v>1995</v>
      </c>
      <c r="B1996" s="3" t="s">
        <v>7952</v>
      </c>
      <c r="C1996" s="3" t="s">
        <v>7953</v>
      </c>
      <c r="D1996" s="3"/>
      <c r="E1996" s="3" t="s">
        <v>72</v>
      </c>
      <c r="F1996" s="3" t="s">
        <v>7841</v>
      </c>
      <c r="G1996" s="3" t="s">
        <v>7842</v>
      </c>
      <c r="H1996" s="3" t="s">
        <v>7843</v>
      </c>
      <c r="I1996" s="3" t="s">
        <v>20</v>
      </c>
      <c r="J1996" s="3">
        <v>4.99</v>
      </c>
      <c r="K1996" s="3" t="s">
        <v>21</v>
      </c>
      <c r="L1996" s="3" t="s">
        <v>7954</v>
      </c>
      <c r="M1996" s="3" t="s">
        <v>7845</v>
      </c>
      <c r="N1996" s="6" t="str">
        <f>HYPERLINK("C:\Users\alexa\YandexDisk\Книги\Операционные системы\Linux\Lucas,_Michael_Warren_Absolute_FreeBSD_the_complete_guide_to_FreeBSD.pdf","Lucas,_Michael_Warren_Absolute_FreeBSD_the_complete_guide_to_FreeBSD.pdf")</f>
        <v>Lucas,_Michael_Warren_Absolute_FreeBSD_the_complete_guide_to_FreeBSD.pdf</v>
      </c>
      <c r="O1996" s="3" t="s">
        <v>7955</v>
      </c>
    </row>
    <row r="1997" spans="1:15" ht="110.4" x14ac:dyDescent="0.3">
      <c r="A1997" s="4">
        <v>1996</v>
      </c>
      <c r="B1997" s="5" t="s">
        <v>7883</v>
      </c>
      <c r="C1997" s="5" t="s">
        <v>7884</v>
      </c>
      <c r="D1997" s="5" t="s">
        <v>59</v>
      </c>
      <c r="E1997" s="5" t="s">
        <v>205</v>
      </c>
      <c r="F1997" s="5" t="s">
        <v>7841</v>
      </c>
      <c r="G1997" s="5" t="s">
        <v>7842</v>
      </c>
      <c r="H1997" s="5" t="s">
        <v>7843</v>
      </c>
      <c r="I1997" s="5" t="s">
        <v>20</v>
      </c>
      <c r="J1997" s="5">
        <v>15.84</v>
      </c>
      <c r="K1997" s="5" t="s">
        <v>21</v>
      </c>
      <c r="L1997" s="5" t="s">
        <v>7956</v>
      </c>
      <c r="M1997" s="5" t="s">
        <v>7845</v>
      </c>
      <c r="N1997" s="7" t="str">
        <f>HYPERLINK("C:\Users\alexa\YandexDisk\Книги\Операционные системы\Linux\Packt.Learn.Linux.Quickly.pdf","Packt.Learn.Linux.Quickly.pdf")</f>
        <v>Packt.Learn.Linux.Quickly.pdf</v>
      </c>
      <c r="O1997" s="5" t="s">
        <v>7957</v>
      </c>
    </row>
    <row r="1998" spans="1:15" ht="138" x14ac:dyDescent="0.3">
      <c r="A1998" s="2">
        <v>1997</v>
      </c>
      <c r="B1998" s="3" t="s">
        <v>7958</v>
      </c>
      <c r="C1998" s="3" t="s">
        <v>7959</v>
      </c>
      <c r="D1998" s="3" t="s">
        <v>77</v>
      </c>
      <c r="E1998" s="3" t="s">
        <v>7960</v>
      </c>
      <c r="F1998" s="3" t="s">
        <v>7841</v>
      </c>
      <c r="G1998" s="3" t="s">
        <v>7842</v>
      </c>
      <c r="H1998" s="3" t="s">
        <v>7843</v>
      </c>
      <c r="I1998" s="3" t="s">
        <v>20</v>
      </c>
      <c r="J1998" s="3">
        <v>23.16</v>
      </c>
      <c r="K1998" s="3" t="s">
        <v>21</v>
      </c>
      <c r="L1998" s="3" t="s">
        <v>7961</v>
      </c>
      <c r="M1998" s="3" t="s">
        <v>7845</v>
      </c>
      <c r="N1998" s="6" t="str">
        <f>HYPERLINK("C:\Users\alexa\YandexDisk\Книги\Операционные системы\Linux\Red_Hat_Enterprise_Linux_8_0_RH124_Red_Hat_System_Administration.pdf","Red_Hat_Enterprise_Linux_8_0_RH124_Red_Hat_System_Administration.pdf")</f>
        <v>Red_Hat_Enterprise_Linux_8_0_RH124_Red_Hat_System_Administration.pdf</v>
      </c>
      <c r="O1998" s="3" t="s">
        <v>7962</v>
      </c>
    </row>
    <row r="1999" spans="1:15" ht="193.2" x14ac:dyDescent="0.3">
      <c r="A1999" s="4">
        <v>1998</v>
      </c>
      <c r="B1999" s="5" t="s">
        <v>7963</v>
      </c>
      <c r="C1999" s="5" t="s">
        <v>7964</v>
      </c>
      <c r="D1999" s="5" t="s">
        <v>17</v>
      </c>
      <c r="E1999" s="5" t="s">
        <v>402</v>
      </c>
      <c r="F1999" s="5" t="s">
        <v>7841</v>
      </c>
      <c r="G1999" s="5" t="s">
        <v>7842</v>
      </c>
      <c r="H1999" s="5" t="s">
        <v>7843</v>
      </c>
      <c r="I1999" s="5" t="s">
        <v>20</v>
      </c>
      <c r="J1999" s="5">
        <v>42.89</v>
      </c>
      <c r="K1999" s="5" t="s">
        <v>21</v>
      </c>
      <c r="L1999" s="5" t="s">
        <v>7965</v>
      </c>
      <c r="M1999" s="5" t="s">
        <v>7845</v>
      </c>
      <c r="N1999" s="7" t="str">
        <f>HYPERLINK("C:\Users\alexa\YandexDisk\Книги\Операционные системы\Linux\Ubuntu Linux с нуля 2021.pdf","Ubuntu Linux с нуля 2021.pdf")</f>
        <v>Ubuntu Linux с нуля 2021.pdf</v>
      </c>
      <c r="O1999" s="5" t="s">
        <v>7966</v>
      </c>
    </row>
    <row r="2000" spans="1:15" ht="193.2" x14ac:dyDescent="0.3">
      <c r="A2000" s="2">
        <v>1999</v>
      </c>
      <c r="B2000" s="3" t="s">
        <v>7967</v>
      </c>
      <c r="C2000" s="3" t="s">
        <v>7968</v>
      </c>
      <c r="D2000" s="3" t="s">
        <v>186</v>
      </c>
      <c r="E2000" s="3" t="s">
        <v>4075</v>
      </c>
      <c r="F2000" s="3" t="s">
        <v>7841</v>
      </c>
      <c r="G2000" s="3" t="s">
        <v>7842</v>
      </c>
      <c r="H2000" s="3" t="s">
        <v>7843</v>
      </c>
      <c r="I2000" s="3" t="s">
        <v>20</v>
      </c>
      <c r="J2000" s="3">
        <v>8.5500000000000007</v>
      </c>
      <c r="K2000" s="3" t="s">
        <v>21</v>
      </c>
      <c r="L2000" s="3" t="s">
        <v>7969</v>
      </c>
      <c r="M2000" s="3" t="s">
        <v>7845</v>
      </c>
      <c r="N2000" s="6" t="str">
        <f>HYPERLINK("C:\Users\alexa\YandexDisk\Книги\Операционные системы\Linux\Ubuntu_и_Debian_Linux_для_продвинутых_2014.pdf","Ubuntu_и_Debian_Linux_для_продвинутых_2014.pdf")</f>
        <v>Ubuntu_и_Debian_Linux_для_продвинутых_2014.pdf</v>
      </c>
      <c r="O2000" s="3" t="s">
        <v>7970</v>
      </c>
    </row>
    <row r="2001" spans="1:15" ht="220.8" x14ac:dyDescent="0.3">
      <c r="A2001" s="4">
        <v>2000</v>
      </c>
      <c r="B2001" s="5" t="s">
        <v>7971</v>
      </c>
      <c r="C2001" s="5" t="s">
        <v>7972</v>
      </c>
      <c r="D2001" s="5" t="s">
        <v>59</v>
      </c>
      <c r="E2001" s="5" t="s">
        <v>2124</v>
      </c>
      <c r="F2001" s="5" t="s">
        <v>7841</v>
      </c>
      <c r="G2001" s="5" t="s">
        <v>7842</v>
      </c>
      <c r="H2001" s="5" t="s">
        <v>7843</v>
      </c>
      <c r="I2001" s="5" t="s">
        <v>20</v>
      </c>
      <c r="J2001" s="5">
        <v>33.119999999999997</v>
      </c>
      <c r="K2001" s="5" t="s">
        <v>21</v>
      </c>
      <c r="L2001" s="5" t="s">
        <v>7973</v>
      </c>
      <c r="M2001" s="5" t="s">
        <v>7845</v>
      </c>
      <c r="N2001" s="7" t="str">
        <f>HYPERLINK("C:\Users\alexa\YandexDisk\Книги\Операционные системы\Linux\Unix и Linux -руководство сис админа.pdf","Unix и Linux -руководство сис админа.pdf")</f>
        <v>Unix и Linux -руководство сис админа.pdf</v>
      </c>
      <c r="O2001" s="5" t="s">
        <v>7974</v>
      </c>
    </row>
    <row r="2002" spans="1:15" ht="138" x14ac:dyDescent="0.3">
      <c r="A2002" s="2">
        <v>2001</v>
      </c>
      <c r="B2002" s="3" t="s">
        <v>7975</v>
      </c>
      <c r="C2002" s="3" t="s">
        <v>7976</v>
      </c>
      <c r="D2002" s="3" t="s">
        <v>32</v>
      </c>
      <c r="E2002" s="3" t="s">
        <v>18</v>
      </c>
      <c r="F2002" s="3" t="s">
        <v>7841</v>
      </c>
      <c r="G2002" s="3" t="s">
        <v>7842</v>
      </c>
      <c r="H2002" s="3" t="s">
        <v>7843</v>
      </c>
      <c r="I2002" s="3" t="s">
        <v>20</v>
      </c>
      <c r="J2002" s="3">
        <v>9.94</v>
      </c>
      <c r="K2002" s="3" t="s">
        <v>21</v>
      </c>
      <c r="L2002" s="3" t="s">
        <v>7977</v>
      </c>
      <c r="M2002" s="3" t="s">
        <v>7845</v>
      </c>
      <c r="N2002" s="6" t="str">
        <f>HYPERLINK("C:\Users\alexa\YandexDisk\Книги\Операционные системы\Linux\UNIX_Профессиональное_программирование.pdf","UNIX_Профессиональное_программирование.pdf")</f>
        <v>UNIX_Профессиональное_программирование.pdf</v>
      </c>
      <c r="O2002" s="3" t="s">
        <v>7978</v>
      </c>
    </row>
    <row r="2003" spans="1:15" ht="124.2" x14ac:dyDescent="0.3">
      <c r="A2003" s="4">
        <v>2002</v>
      </c>
      <c r="B2003" s="5" t="s">
        <v>7979</v>
      </c>
      <c r="C2003" s="5" t="s">
        <v>7980</v>
      </c>
      <c r="D2003" s="5" t="s">
        <v>59</v>
      </c>
      <c r="E2003" s="5" t="s">
        <v>227</v>
      </c>
      <c r="F2003" s="5" t="s">
        <v>7841</v>
      </c>
      <c r="G2003" s="5" t="s">
        <v>7842</v>
      </c>
      <c r="H2003" s="5" t="s">
        <v>7843</v>
      </c>
      <c r="I2003" s="5" t="s">
        <v>20</v>
      </c>
      <c r="J2003" s="5">
        <v>7.91</v>
      </c>
      <c r="K2003" s="5" t="s">
        <v>21</v>
      </c>
      <c r="L2003" s="5" t="s">
        <v>7981</v>
      </c>
      <c r="M2003" s="5" t="s">
        <v>7845</v>
      </c>
      <c r="N2003" s="7" t="str">
        <f>HYPERLINK("C:\Users\alexa\YandexDisk\Книги\Операционные системы\Linux\Using and Administer Linux - vol3.pdf","Using and Administer Linux - vol3.pdf")</f>
        <v>Using and Administer Linux - vol3.pdf</v>
      </c>
      <c r="O2003" s="5" t="s">
        <v>7982</v>
      </c>
    </row>
    <row r="2004" spans="1:15" ht="165.6" x14ac:dyDescent="0.3">
      <c r="A2004" s="2">
        <v>2003</v>
      </c>
      <c r="B2004" s="3" t="s">
        <v>7983</v>
      </c>
      <c r="C2004" s="3" t="s">
        <v>7984</v>
      </c>
      <c r="D2004" s="3"/>
      <c r="E2004" s="3" t="s">
        <v>72</v>
      </c>
      <c r="F2004" s="3" t="s">
        <v>7841</v>
      </c>
      <c r="G2004" s="3" t="s">
        <v>7842</v>
      </c>
      <c r="H2004" s="3" t="s">
        <v>7843</v>
      </c>
      <c r="I2004" s="3" t="s">
        <v>20</v>
      </c>
      <c r="J2004" s="3">
        <v>9.0500000000000007</v>
      </c>
      <c r="K2004" s="3" t="s">
        <v>21</v>
      </c>
      <c r="L2004" s="3" t="s">
        <v>7985</v>
      </c>
      <c r="M2004" s="3" t="s">
        <v>7845</v>
      </c>
      <c r="N2004" s="6" t="str">
        <f>HYPERLINK("C:\Users\alexa\YandexDisk\Книги\Операционные системы\Linux\Wicked_Cool_Shell_Scripts_101_Scripts_for_Linux,_OS_X,_and_UNIX.pdf","Wicked_Cool_Shell_Scripts_101_Scripts_for_Linux,_OS_X,_and_UNIX.pdf")</f>
        <v>Wicked_Cool_Shell_Scripts_101_Scripts_for_Linux,_OS_X,_and_UNIX.pdf</v>
      </c>
      <c r="O2004" s="3" t="s">
        <v>7986</v>
      </c>
    </row>
    <row r="2005" spans="1:15" ht="151.80000000000001" x14ac:dyDescent="0.3">
      <c r="A2005" s="4">
        <v>2004</v>
      </c>
      <c r="B2005" s="5" t="s">
        <v>7987</v>
      </c>
      <c r="C2005" s="5" t="s">
        <v>7988</v>
      </c>
      <c r="D2005" s="5" t="s">
        <v>109</v>
      </c>
      <c r="E2005" s="5" t="s">
        <v>402</v>
      </c>
      <c r="F2005" s="5" t="s">
        <v>7841</v>
      </c>
      <c r="G2005" s="5" t="s">
        <v>7842</v>
      </c>
      <c r="H2005" s="5" t="s">
        <v>7843</v>
      </c>
      <c r="I2005" s="5" t="s">
        <v>20</v>
      </c>
      <c r="J2005" s="5">
        <v>26.36</v>
      </c>
      <c r="K2005" s="5" t="s">
        <v>21</v>
      </c>
      <c r="L2005" s="5" t="s">
        <v>7989</v>
      </c>
      <c r="M2005" s="5" t="s">
        <v>7845</v>
      </c>
      <c r="N2005" s="7" t="str">
        <f>HYPERLINK("C:\Users\alexa\YandexDisk\Книги\Операционные системы\Linux\Администрирование Astra Linux.pdf","Администрирование Astra Linux.pdf")</f>
        <v>Администрирование Astra Linux.pdf</v>
      </c>
      <c r="O2005" s="5" t="s">
        <v>7990</v>
      </c>
    </row>
    <row r="2006" spans="1:15" ht="193.2" x14ac:dyDescent="0.3">
      <c r="A2006" s="2">
        <v>2005</v>
      </c>
      <c r="B2006" s="3" t="s">
        <v>7991</v>
      </c>
      <c r="C2006" s="3" t="s">
        <v>7992</v>
      </c>
      <c r="D2006" s="3" t="s">
        <v>77</v>
      </c>
      <c r="E2006" s="3" t="s">
        <v>7993</v>
      </c>
      <c r="F2006" s="3" t="s">
        <v>7841</v>
      </c>
      <c r="G2006" s="3" t="s">
        <v>7842</v>
      </c>
      <c r="H2006" s="3" t="s">
        <v>7843</v>
      </c>
      <c r="I2006" s="3" t="s">
        <v>20</v>
      </c>
      <c r="J2006" s="3">
        <v>9.14</v>
      </c>
      <c r="K2006" s="3" t="s">
        <v>21</v>
      </c>
      <c r="L2006" s="3" t="s">
        <v>7994</v>
      </c>
      <c r="M2006" s="3" t="s">
        <v>7845</v>
      </c>
      <c r="N2006" s="6" t="str">
        <f>HYPERLINK("C:\Users\alexa\YandexDisk\Книги\Операционные системы\Linux\Безопасность_ASTRA_LINUX SE.pdf","Безопасность_ASTRA_LINUX SE.pdf")</f>
        <v>Безопасность_ASTRA_LINUX SE.pdf</v>
      </c>
      <c r="O2006" s="3" t="s">
        <v>7995</v>
      </c>
    </row>
    <row r="2007" spans="1:15" ht="138" x14ac:dyDescent="0.3">
      <c r="A2007" s="4">
        <v>2006</v>
      </c>
      <c r="B2007" s="5" t="s">
        <v>7991</v>
      </c>
      <c r="C2007" s="5" t="s">
        <v>7992</v>
      </c>
      <c r="D2007" s="5" t="s">
        <v>77</v>
      </c>
      <c r="E2007" s="5" t="s">
        <v>7993</v>
      </c>
      <c r="F2007" s="5" t="s">
        <v>7841</v>
      </c>
      <c r="G2007" s="5" t="s">
        <v>7842</v>
      </c>
      <c r="H2007" s="5" t="s">
        <v>7843</v>
      </c>
      <c r="I2007" s="5" t="s">
        <v>20</v>
      </c>
      <c r="J2007" s="5">
        <v>9.14</v>
      </c>
      <c r="K2007" s="5" t="s">
        <v>21</v>
      </c>
      <c r="L2007" s="5" t="s">
        <v>7996</v>
      </c>
      <c r="M2007" s="5" t="s">
        <v>7845</v>
      </c>
      <c r="N2007" s="7" t="str">
        <f>HYPERLINK("C:\Users\alexa\YandexDisk\Книги\Операционные системы\Linux\БЕЗОПАСНОСТЬ_операционной_системы_специального_назначения_Astra.pdf","БЕЗОПАСНОСТЬ_операционной_системы_специального_назначения_Astra.pdf")</f>
        <v>БЕЗОПАСНОСТЬ_операционной_системы_специального_назначения_Astra.pdf</v>
      </c>
      <c r="O2007" s="5" t="s">
        <v>7997</v>
      </c>
    </row>
    <row r="2008" spans="1:15" ht="151.80000000000001" x14ac:dyDescent="0.3">
      <c r="A2008" s="2">
        <v>2007</v>
      </c>
      <c r="B2008" s="3" t="s">
        <v>7998</v>
      </c>
      <c r="C2008" s="3" t="s">
        <v>7999</v>
      </c>
      <c r="D2008" s="3" t="s">
        <v>71</v>
      </c>
      <c r="E2008" s="3" t="s">
        <v>18</v>
      </c>
      <c r="F2008" s="3" t="s">
        <v>7841</v>
      </c>
      <c r="G2008" s="3" t="s">
        <v>7842</v>
      </c>
      <c r="H2008" s="3" t="s">
        <v>7843</v>
      </c>
      <c r="I2008" s="3" t="s">
        <v>20</v>
      </c>
      <c r="J2008" s="3">
        <v>11.18</v>
      </c>
      <c r="K2008" s="3" t="s">
        <v>21</v>
      </c>
      <c r="L2008" s="3" t="s">
        <v>8000</v>
      </c>
      <c r="M2008" s="3" t="s">
        <v>7845</v>
      </c>
      <c r="N2008" s="6" t="str">
        <f>HYPERLINK("C:\Users\alexa\YandexDisk\Книги\Операционные системы\Linux\Библия Linux.pdf","Библия Linux.pdf")</f>
        <v>Библия Linux.pdf</v>
      </c>
      <c r="O2008" s="3" t="s">
        <v>8001</v>
      </c>
    </row>
    <row r="2009" spans="1:15" ht="179.4" x14ac:dyDescent="0.3">
      <c r="A2009" s="4">
        <v>2008</v>
      </c>
      <c r="B2009" s="5" t="s">
        <v>8002</v>
      </c>
      <c r="C2009" s="5" t="s">
        <v>8003</v>
      </c>
      <c r="D2009" s="5" t="s">
        <v>17</v>
      </c>
      <c r="E2009" s="5" t="s">
        <v>18</v>
      </c>
      <c r="F2009" s="5" t="s">
        <v>7841</v>
      </c>
      <c r="G2009" s="5" t="s">
        <v>7842</v>
      </c>
      <c r="H2009" s="5" t="s">
        <v>7843</v>
      </c>
      <c r="I2009" s="5" t="s">
        <v>20</v>
      </c>
      <c r="J2009" s="5">
        <v>5.28</v>
      </c>
      <c r="K2009" s="5" t="s">
        <v>21</v>
      </c>
      <c r="L2009" s="5" t="s">
        <v>8004</v>
      </c>
      <c r="M2009" s="5" t="s">
        <v>7845</v>
      </c>
      <c r="N2009" s="7" t="str">
        <f>HYPERLINK("C:\Users\alexa\YandexDisk\Книги\Операционные системы\Linux\Брайан_Керниган_Время_UNIX.pdf","Брайан_Керниган_Время_UNIX.pdf")</f>
        <v>Брайан_Керниган_Время_UNIX.pdf</v>
      </c>
      <c r="O2009" s="5" t="s">
        <v>8005</v>
      </c>
    </row>
    <row r="2010" spans="1:15" ht="138" x14ac:dyDescent="0.3">
      <c r="A2010" s="2">
        <v>2009</v>
      </c>
      <c r="B2010" s="3" t="s">
        <v>8006</v>
      </c>
      <c r="C2010" s="3" t="s">
        <v>8007</v>
      </c>
      <c r="D2010" s="3" t="s">
        <v>17</v>
      </c>
      <c r="E2010" s="3" t="s">
        <v>402</v>
      </c>
      <c r="F2010" s="3" t="s">
        <v>7841</v>
      </c>
      <c r="G2010" s="3" t="s">
        <v>7842</v>
      </c>
      <c r="H2010" s="3" t="s">
        <v>7843</v>
      </c>
      <c r="I2010" s="3" t="s">
        <v>20</v>
      </c>
      <c r="J2010" s="3">
        <v>27.41</v>
      </c>
      <c r="K2010" s="3" t="s">
        <v>21</v>
      </c>
      <c r="L2010" s="3" t="s">
        <v>8008</v>
      </c>
      <c r="M2010" s="3" t="s">
        <v>7845</v>
      </c>
      <c r="N2010" s="6" t="str">
        <f>HYPERLINK("C:\Users\alexa\YandexDisk\Книги\Операционные системы\Linux\Внутренне устройство Linux 2021.pdf","Внутренне устройство Linux 2021.pdf")</f>
        <v>Внутренне устройство Linux 2021.pdf</v>
      </c>
      <c r="O2010" s="3" t="s">
        <v>8009</v>
      </c>
    </row>
    <row r="2011" spans="1:15" ht="179.4" x14ac:dyDescent="0.3">
      <c r="A2011" s="4">
        <v>2010</v>
      </c>
      <c r="B2011" s="5" t="s">
        <v>8006</v>
      </c>
      <c r="C2011" s="5" t="s">
        <v>8010</v>
      </c>
      <c r="D2011" s="5" t="s">
        <v>114</v>
      </c>
      <c r="E2011" s="5" t="s">
        <v>18</v>
      </c>
      <c r="F2011" s="5" t="s">
        <v>7841</v>
      </c>
      <c r="G2011" s="5" t="s">
        <v>7842</v>
      </c>
      <c r="H2011" s="5" t="s">
        <v>7843</v>
      </c>
      <c r="I2011" s="5" t="s">
        <v>20</v>
      </c>
      <c r="J2011" s="5">
        <v>8.9700000000000006</v>
      </c>
      <c r="K2011" s="5" t="s">
        <v>21</v>
      </c>
      <c r="L2011" s="5" t="s">
        <v>8011</v>
      </c>
      <c r="M2011" s="5" t="s">
        <v>7845</v>
      </c>
      <c r="N2011" s="7" t="str">
        <f>HYPERLINK("C:\Users\alexa\YandexDisk\Книги\Операционные системы\Linux\Внутреннее устройство Linux.pdf","Внутреннее устройство Linux.pdf")</f>
        <v>Внутреннее устройство Linux.pdf</v>
      </c>
      <c r="O2011" s="5" t="s">
        <v>8012</v>
      </c>
    </row>
    <row r="2012" spans="1:15" ht="165.6" x14ac:dyDescent="0.3">
      <c r="A2012" s="2">
        <v>2011</v>
      </c>
      <c r="B2012" s="3" t="s">
        <v>8013</v>
      </c>
      <c r="C2012" s="3" t="s">
        <v>8014</v>
      </c>
      <c r="D2012" s="3" t="s">
        <v>71</v>
      </c>
      <c r="E2012" s="3" t="s">
        <v>303</v>
      </c>
      <c r="F2012" s="3" t="s">
        <v>7841</v>
      </c>
      <c r="G2012" s="3" t="s">
        <v>7842</v>
      </c>
      <c r="H2012" s="3" t="s">
        <v>7843</v>
      </c>
      <c r="I2012" s="3" t="s">
        <v>20</v>
      </c>
      <c r="J2012" s="3">
        <v>23.23</v>
      </c>
      <c r="K2012" s="3" t="s">
        <v>21</v>
      </c>
      <c r="L2012" s="3" t="s">
        <v>8015</v>
      </c>
      <c r="M2012" s="3" t="s">
        <v>7845</v>
      </c>
      <c r="N2012" s="6" t="str">
        <f>HYPERLINK("C:\Users\alexa\YandexDisk\Книги\Операционные системы\Linux\Е Вовк - Astra Linux.pdf","Е Вовк - Astra Linux.pdf")</f>
        <v>Е Вовк - Astra Linux.pdf</v>
      </c>
      <c r="O2012" s="3" t="s">
        <v>8016</v>
      </c>
    </row>
    <row r="2013" spans="1:15" ht="124.2" x14ac:dyDescent="0.3">
      <c r="A2013" s="4">
        <v>2012</v>
      </c>
      <c r="B2013" s="5" t="s">
        <v>8017</v>
      </c>
      <c r="C2013" s="5"/>
      <c r="D2013" s="5"/>
      <c r="E2013" s="5"/>
      <c r="F2013" s="5" t="s">
        <v>7841</v>
      </c>
      <c r="G2013" s="5" t="s">
        <v>7842</v>
      </c>
      <c r="H2013" s="5" t="s">
        <v>7843</v>
      </c>
      <c r="I2013" s="5" t="s">
        <v>20</v>
      </c>
      <c r="J2013" s="5">
        <v>11.41</v>
      </c>
      <c r="K2013" s="5" t="s">
        <v>21</v>
      </c>
      <c r="L2013" s="5" t="s">
        <v>8018</v>
      </c>
      <c r="M2013" s="5" t="s">
        <v>7845</v>
      </c>
      <c r="N2013" s="7" t="str">
        <f>HYPERLINK("C:\Users\alexa\YandexDisk\Книги\Операционные системы\Linux\Защита в операционных системах.pdf","Защита в операционных системах.pdf")</f>
        <v>Защита в операционных системах.pdf</v>
      </c>
      <c r="O2013" s="5" t="s">
        <v>8019</v>
      </c>
    </row>
    <row r="2014" spans="1:15" ht="165.6" x14ac:dyDescent="0.3">
      <c r="A2014" s="2">
        <v>2013</v>
      </c>
      <c r="B2014" s="3" t="s">
        <v>8020</v>
      </c>
      <c r="C2014" s="3" t="s">
        <v>8021</v>
      </c>
      <c r="D2014" s="3" t="s">
        <v>27</v>
      </c>
      <c r="E2014" s="3" t="s">
        <v>18</v>
      </c>
      <c r="F2014" s="3" t="s">
        <v>7841</v>
      </c>
      <c r="G2014" s="3" t="s">
        <v>7842</v>
      </c>
      <c r="H2014" s="3" t="s">
        <v>7843</v>
      </c>
      <c r="I2014" s="3" t="s">
        <v>20</v>
      </c>
      <c r="J2014" s="3">
        <v>4.91</v>
      </c>
      <c r="K2014" s="3" t="s">
        <v>21</v>
      </c>
      <c r="L2014" s="3" t="s">
        <v>8022</v>
      </c>
      <c r="M2014" s="3" t="s">
        <v>7845</v>
      </c>
      <c r="N2014" s="6" t="str">
        <f>HYPERLINK("C:\Users\alexa\YandexDisk\Книги\Операционные системы\Linux\Идиомы bash.pdf","Идиомы bash.pdf")</f>
        <v>Идиомы bash.pdf</v>
      </c>
      <c r="O2014" s="3" t="s">
        <v>8023</v>
      </c>
    </row>
    <row r="2015" spans="1:15" ht="220.8" x14ac:dyDescent="0.3">
      <c r="A2015" s="4">
        <v>2014</v>
      </c>
      <c r="B2015" s="5" t="s">
        <v>8024</v>
      </c>
      <c r="C2015" s="5" t="s">
        <v>8025</v>
      </c>
      <c r="D2015" s="5" t="s">
        <v>27</v>
      </c>
      <c r="E2015" s="5" t="s">
        <v>18</v>
      </c>
      <c r="F2015" s="5" t="s">
        <v>7841</v>
      </c>
      <c r="G2015" s="5" t="s">
        <v>7842</v>
      </c>
      <c r="H2015" s="5" t="s">
        <v>7843</v>
      </c>
      <c r="I2015" s="5" t="s">
        <v>20</v>
      </c>
      <c r="J2015" s="5">
        <v>12.72</v>
      </c>
      <c r="K2015" s="5" t="s">
        <v>21</v>
      </c>
      <c r="L2015" s="5" t="s">
        <v>8026</v>
      </c>
      <c r="M2015" s="5" t="s">
        <v>7845</v>
      </c>
      <c r="N2015" s="7" t="str">
        <f>HYPERLINK("C:\Users\alexa\YandexDisk\Книги\Операционные системы\Linux\Изучаем vi и Vim.pdf","Изучаем vi и Vim.pdf")</f>
        <v>Изучаем vi и Vim.pdf</v>
      </c>
      <c r="O2015" s="5" t="s">
        <v>8027</v>
      </c>
    </row>
    <row r="2016" spans="1:15" ht="124.2" x14ac:dyDescent="0.3">
      <c r="A2016" s="2">
        <v>2015</v>
      </c>
      <c r="B2016" s="3" t="s">
        <v>8028</v>
      </c>
      <c r="C2016" s="3"/>
      <c r="D2016" s="3"/>
      <c r="E2016" s="3"/>
      <c r="F2016" s="3" t="s">
        <v>7841</v>
      </c>
      <c r="G2016" s="3" t="s">
        <v>7842</v>
      </c>
      <c r="H2016" s="3" t="s">
        <v>7843</v>
      </c>
      <c r="I2016" s="3" t="s">
        <v>20</v>
      </c>
      <c r="J2016" s="3">
        <v>45.17</v>
      </c>
      <c r="K2016" s="3" t="s">
        <v>21</v>
      </c>
      <c r="L2016" s="3" t="s">
        <v>8029</v>
      </c>
      <c r="M2016" s="3" t="s">
        <v>7845</v>
      </c>
      <c r="N2016" s="6" t="str">
        <f>HYPERLINK("C:\Users\alexa\YandexDisk\Книги\Операционные системы\Linux\Как освоить современный Linux.pdf","Как освоить современный Linux.pdf")</f>
        <v>Как освоить современный Linux.pdf</v>
      </c>
      <c r="O2016" s="3" t="s">
        <v>8030</v>
      </c>
    </row>
    <row r="2017" spans="1:15" ht="165.6" x14ac:dyDescent="0.3">
      <c r="A2017" s="4">
        <v>2016</v>
      </c>
      <c r="B2017" s="5" t="s">
        <v>8031</v>
      </c>
      <c r="C2017" s="5" t="s">
        <v>8032</v>
      </c>
      <c r="D2017" s="5" t="s">
        <v>114</v>
      </c>
      <c r="E2017" s="5"/>
      <c r="F2017" s="5" t="s">
        <v>7841</v>
      </c>
      <c r="G2017" s="5" t="s">
        <v>7842</v>
      </c>
      <c r="H2017" s="5" t="s">
        <v>7843</v>
      </c>
      <c r="I2017" s="5" t="s">
        <v>20</v>
      </c>
      <c r="J2017" s="5">
        <v>0.42</v>
      </c>
      <c r="K2017" s="5" t="s">
        <v>21</v>
      </c>
      <c r="L2017" s="5" t="s">
        <v>8033</v>
      </c>
      <c r="M2017" s="5" t="s">
        <v>7845</v>
      </c>
      <c r="N2017" s="7" t="str">
        <f>HYPERLINK("C:\Users\alexa\YandexDisk\Книги\Операционные системы\Linux\Книга по Debian 2016.pdf","Книга по Debian 2016.pdf")</f>
        <v>Книга по Debian 2016.pdf</v>
      </c>
      <c r="O2017" s="5" t="s">
        <v>8034</v>
      </c>
    </row>
    <row r="2018" spans="1:15" ht="165.6" x14ac:dyDescent="0.3">
      <c r="A2018" s="2">
        <v>2017</v>
      </c>
      <c r="B2018" s="3" t="s">
        <v>8035</v>
      </c>
      <c r="C2018" s="3" t="s">
        <v>3006</v>
      </c>
      <c r="D2018" s="3" t="s">
        <v>27</v>
      </c>
      <c r="E2018" s="3" t="s">
        <v>402</v>
      </c>
      <c r="F2018" s="3" t="s">
        <v>7841</v>
      </c>
      <c r="G2018" s="3" t="s">
        <v>7842</v>
      </c>
      <c r="H2018" s="3" t="s">
        <v>7843</v>
      </c>
      <c r="I2018" s="3" t="s">
        <v>20</v>
      </c>
      <c r="J2018" s="3">
        <v>16.45</v>
      </c>
      <c r="K2018" s="3" t="s">
        <v>21</v>
      </c>
      <c r="L2018" s="3" t="s">
        <v>8036</v>
      </c>
      <c r="M2018" s="3" t="s">
        <v>7845</v>
      </c>
      <c r="N2018" s="6" t="str">
        <f>HYPERLINK("C:\Users\alexa\YandexDisk\Книги\Операционные системы\Linux\Командная строка Linux.pdf","Командная строка Linux.pdf")</f>
        <v>Командная строка Linux.pdf</v>
      </c>
      <c r="O2018" s="3" t="s">
        <v>8037</v>
      </c>
    </row>
    <row r="2019" spans="1:15" ht="207" x14ac:dyDescent="0.3">
      <c r="A2019" s="4">
        <v>2018</v>
      </c>
      <c r="B2019" s="5" t="s">
        <v>8038</v>
      </c>
      <c r="C2019" s="5" t="s">
        <v>7858</v>
      </c>
      <c r="D2019" s="5" t="s">
        <v>59</v>
      </c>
      <c r="E2019" s="5" t="s">
        <v>18</v>
      </c>
      <c r="F2019" s="5" t="s">
        <v>7841</v>
      </c>
      <c r="G2019" s="5" t="s">
        <v>7842</v>
      </c>
      <c r="H2019" s="5" t="s">
        <v>7843</v>
      </c>
      <c r="I2019" s="5" t="s">
        <v>20</v>
      </c>
      <c r="J2019" s="5">
        <v>5.2</v>
      </c>
      <c r="K2019" s="5" t="s">
        <v>21</v>
      </c>
      <c r="L2019" s="5" t="s">
        <v>8039</v>
      </c>
      <c r="M2019" s="5" t="s">
        <v>7845</v>
      </c>
      <c r="N2019" s="7" t="str">
        <f>HYPERLINK("C:\Users\alexa\YandexDisk\Книги\Операционные системы\Linux\Командная_строка_linux,_2_е_издание,_2020.pdf","Командная_строка_linux,_2_е_издание,_2020.pdf")</f>
        <v>Командная_строка_linux,_2_е_издание,_2020.pdf</v>
      </c>
      <c r="O2019" s="5" t="s">
        <v>8040</v>
      </c>
    </row>
    <row r="2020" spans="1:15" ht="248.4" x14ac:dyDescent="0.3">
      <c r="A2020" s="2">
        <v>2019</v>
      </c>
      <c r="B2020" s="3" t="s">
        <v>8041</v>
      </c>
      <c r="C2020" s="3" t="s">
        <v>8042</v>
      </c>
      <c r="D2020" s="3" t="s">
        <v>65</v>
      </c>
      <c r="E2020" s="3" t="s">
        <v>8043</v>
      </c>
      <c r="F2020" s="3" t="s">
        <v>7841</v>
      </c>
      <c r="G2020" s="3" t="s">
        <v>7842</v>
      </c>
      <c r="H2020" s="3" t="s">
        <v>7843</v>
      </c>
      <c r="I2020" s="3" t="s">
        <v>20</v>
      </c>
      <c r="J2020" s="3">
        <v>12.53</v>
      </c>
      <c r="K2020" s="3" t="s">
        <v>21</v>
      </c>
      <c r="L2020" s="3" t="s">
        <v>8044</v>
      </c>
      <c r="M2020" s="3" t="s">
        <v>7845</v>
      </c>
      <c r="N2020" s="6" t="str">
        <f>HYPERLINK("C:\Users\alexa\YandexDisk\Книги\Операционные системы\Linux\Командная_строка_Linux_и_сценарии_оболочки_Библия_пользователя.pdf","Командная_строка_Linux_и_сценарии_оболочки_Библия_пользователя.pdf")</f>
        <v>Командная_строка_Linux_и_сценарии_оболочки_Библия_пользователя.pdf</v>
      </c>
      <c r="O2020" s="3" t="s">
        <v>8045</v>
      </c>
    </row>
    <row r="2021" spans="1:15" ht="151.80000000000001" x14ac:dyDescent="0.3">
      <c r="A2021" s="4">
        <v>2020</v>
      </c>
      <c r="B2021" s="5" t="s">
        <v>8046</v>
      </c>
      <c r="C2021" s="5" t="s">
        <v>8047</v>
      </c>
      <c r="D2021" s="5" t="s">
        <v>837</v>
      </c>
      <c r="E2021" s="5" t="s">
        <v>18</v>
      </c>
      <c r="F2021" s="5" t="s">
        <v>7841</v>
      </c>
      <c r="G2021" s="5" t="s">
        <v>7842</v>
      </c>
      <c r="H2021" s="5" t="s">
        <v>7843</v>
      </c>
      <c r="I2021" s="5" t="s">
        <v>20</v>
      </c>
      <c r="J2021" s="5">
        <v>7.67</v>
      </c>
      <c r="K2021" s="5" t="s">
        <v>21</v>
      </c>
      <c r="L2021" s="5" t="s">
        <v>8048</v>
      </c>
      <c r="M2021" s="5" t="s">
        <v>7845</v>
      </c>
      <c r="N2021" s="7" t="str">
        <f>HYPERLINK("C:\Users\alexa\YandexDisk\Книги\Операционные системы\Linux\Кофлер linux-polnoe-rukovodstvo 2011.pdf","Кофлер linux-polnoe-rukovodstvo 2011.pdf")</f>
        <v>Кофлер linux-polnoe-rukovodstvo 2011.pdf</v>
      </c>
      <c r="O2021" s="5" t="s">
        <v>8049</v>
      </c>
    </row>
    <row r="2022" spans="1:15" ht="193.2" x14ac:dyDescent="0.3">
      <c r="A2022" s="2">
        <v>2021</v>
      </c>
      <c r="B2022" s="3" t="s">
        <v>8050</v>
      </c>
      <c r="C2022" s="3" t="s">
        <v>8051</v>
      </c>
      <c r="D2022" s="3" t="s">
        <v>186</v>
      </c>
      <c r="E2022" s="3" t="s">
        <v>18</v>
      </c>
      <c r="F2022" s="3" t="s">
        <v>7841</v>
      </c>
      <c r="G2022" s="3" t="s">
        <v>7842</v>
      </c>
      <c r="H2022" s="3" t="s">
        <v>7843</v>
      </c>
      <c r="I2022" s="3" t="s">
        <v>20</v>
      </c>
      <c r="J2022" s="3">
        <v>13.78</v>
      </c>
      <c r="K2022" s="3" t="s">
        <v>21</v>
      </c>
      <c r="L2022" s="3" t="s">
        <v>8052</v>
      </c>
      <c r="M2022" s="3" t="s">
        <v>7845</v>
      </c>
      <c r="N2022" s="6" t="str">
        <f>HYPERLINK("C:\Users\alexa\YandexDisk\Книги\Операционные системы\Linux\Кофлер Linux_Ustanovka_nastroyka_administrirovanie 2013.pdf","Кофлер Linux_Ustanovka_nastroyka_administrirovanie 2013.pdf")</f>
        <v>Кофлер Linux_Ustanovka_nastroyka_administrirovanie 2013.pdf</v>
      </c>
      <c r="O2022" s="3" t="s">
        <v>8053</v>
      </c>
    </row>
    <row r="2023" spans="1:15" ht="207" x14ac:dyDescent="0.3">
      <c r="A2023" s="4">
        <v>2022</v>
      </c>
      <c r="B2023" s="5" t="s">
        <v>8054</v>
      </c>
      <c r="C2023" s="5" t="s">
        <v>8055</v>
      </c>
      <c r="D2023" s="5" t="s">
        <v>274</v>
      </c>
      <c r="E2023" s="5" t="s">
        <v>402</v>
      </c>
      <c r="F2023" s="5" t="s">
        <v>7841</v>
      </c>
      <c r="G2023" s="5" t="s">
        <v>7842</v>
      </c>
      <c r="H2023" s="5" t="s">
        <v>7843</v>
      </c>
      <c r="I2023" s="5" t="s">
        <v>20</v>
      </c>
      <c r="J2023" s="5">
        <v>5.92</v>
      </c>
      <c r="K2023" s="5" t="s">
        <v>21</v>
      </c>
      <c r="L2023" s="5" t="s">
        <v>8056</v>
      </c>
      <c r="M2023" s="5" t="s">
        <v>7845</v>
      </c>
      <c r="N2023" s="7" t="str">
        <f>HYPERLINK("C:\Users\alexa\YandexDisk\Книги\Операционные системы\Linux\Локальная_сеть_под_Linux 2010.pdf","Локальная_сеть_под_Linux 2010.pdf")</f>
        <v>Локальная_сеть_под_Linux 2010.pdf</v>
      </c>
      <c r="O2023" s="5" t="s">
        <v>8057</v>
      </c>
    </row>
    <row r="2024" spans="1:15" ht="165.6" x14ac:dyDescent="0.3">
      <c r="A2024" s="2">
        <v>2023</v>
      </c>
      <c r="B2024" s="3" t="s">
        <v>8058</v>
      </c>
      <c r="C2024" s="3"/>
      <c r="D2024" s="3" t="s">
        <v>109</v>
      </c>
      <c r="E2024" s="3"/>
      <c r="F2024" s="3" t="s">
        <v>7841</v>
      </c>
      <c r="G2024" s="3" t="s">
        <v>7842</v>
      </c>
      <c r="H2024" s="3" t="s">
        <v>7843</v>
      </c>
      <c r="I2024" s="3" t="s">
        <v>20</v>
      </c>
      <c r="J2024" s="3">
        <v>3.4</v>
      </c>
      <c r="K2024" s="3" t="s">
        <v>21</v>
      </c>
      <c r="L2024" s="3" t="s">
        <v>8059</v>
      </c>
      <c r="M2024" s="3" t="s">
        <v>7845</v>
      </c>
      <c r="N2024" s="6" t="str">
        <f>HYPERLINK("C:\Users\alexa\YandexDisk\Книги\Операционные системы\Linux\ОПЕРАЦИОННАЯ СИСТЕМА СПЕЦИАЛЬНОГО НАЗНАЧЕНИЯ.pdf","ОПЕРАЦИОННАЯ СИСТЕМА СПЕЦИАЛЬНОГО НАЗНАЧЕНИЯ.pdf")</f>
        <v>ОПЕРАЦИОННАЯ СИСТЕМА СПЕЦИАЛЬНОГО НАЗНАЧЕНИЯ.pdf</v>
      </c>
      <c r="O2024" s="3" t="s">
        <v>8060</v>
      </c>
    </row>
    <row r="2025" spans="1:15" ht="220.8" x14ac:dyDescent="0.3">
      <c r="A2025" s="4">
        <v>2024</v>
      </c>
      <c r="B2025" s="5" t="s">
        <v>8061</v>
      </c>
      <c r="C2025" s="5" t="s">
        <v>36</v>
      </c>
      <c r="D2025" s="5" t="s">
        <v>59</v>
      </c>
      <c r="E2025" s="5" t="s">
        <v>37</v>
      </c>
      <c r="F2025" s="5" t="s">
        <v>7841</v>
      </c>
      <c r="G2025" s="5" t="s">
        <v>7842</v>
      </c>
      <c r="H2025" s="5" t="s">
        <v>7843</v>
      </c>
      <c r="I2025" s="5" t="s">
        <v>20</v>
      </c>
      <c r="J2025" s="5">
        <v>65.459999999999994</v>
      </c>
      <c r="K2025" s="5" t="s">
        <v>21</v>
      </c>
      <c r="L2025" s="5" t="s">
        <v>8062</v>
      </c>
      <c r="M2025" s="5" t="s">
        <v>7845</v>
      </c>
      <c r="N2025" s="7" t="str">
        <f>HYPERLINK("C:\Users\alexa\YandexDisk\Книги\Операционные системы\Linux\Операционные системы-принципы построения и проектирования.pdf","Операционные системы-принципы построения и проектирования.pdf")</f>
        <v>Операционные системы-принципы построения и проектирования.pdf</v>
      </c>
      <c r="O2025" s="5" t="s">
        <v>8063</v>
      </c>
    </row>
    <row r="2026" spans="1:15" ht="193.2" x14ac:dyDescent="0.3">
      <c r="A2026" s="2">
        <v>2025</v>
      </c>
      <c r="B2026" s="3" t="s">
        <v>8054</v>
      </c>
      <c r="C2026" s="3" t="s">
        <v>8055</v>
      </c>
      <c r="D2026" s="3" t="s">
        <v>274</v>
      </c>
      <c r="E2026" s="3" t="s">
        <v>402</v>
      </c>
      <c r="F2026" s="3" t="s">
        <v>7841</v>
      </c>
      <c r="G2026" s="3" t="s">
        <v>7842</v>
      </c>
      <c r="H2026" s="3" t="s">
        <v>7843</v>
      </c>
      <c r="I2026" s="3" t="s">
        <v>20</v>
      </c>
      <c r="J2026" s="3">
        <v>5.92</v>
      </c>
      <c r="K2026" s="3" t="s">
        <v>21</v>
      </c>
      <c r="L2026" s="3" t="s">
        <v>8064</v>
      </c>
      <c r="M2026" s="3" t="s">
        <v>7845</v>
      </c>
      <c r="N2026" s="6" t="str">
        <f>HYPERLINK("C:\Users\alexa\YandexDisk\Книги\Операционные системы\Linux\Поляк_Брагинский_А_В_Локальная_сеть_под_Linux.pdf","Поляк_Брагинский_А_В_Локальная_сеть_под_Linux.pdf")</f>
        <v>Поляк_Брагинский_А_В_Локальная_сеть_под_Linux.pdf</v>
      </c>
      <c r="O2026" s="3" t="s">
        <v>8065</v>
      </c>
    </row>
    <row r="2027" spans="1:15" ht="193.2" x14ac:dyDescent="0.3">
      <c r="A2027" s="4">
        <v>2026</v>
      </c>
      <c r="B2027" s="5" t="s">
        <v>8066</v>
      </c>
      <c r="C2027" s="5" t="s">
        <v>8067</v>
      </c>
      <c r="D2027" s="5" t="s">
        <v>32</v>
      </c>
      <c r="E2027" s="5" t="s">
        <v>5182</v>
      </c>
      <c r="F2027" s="5" t="s">
        <v>7841</v>
      </c>
      <c r="G2027" s="5" t="s">
        <v>7842</v>
      </c>
      <c r="H2027" s="5" t="s">
        <v>7843</v>
      </c>
      <c r="I2027" s="5" t="s">
        <v>20</v>
      </c>
      <c r="J2027" s="5">
        <v>41.23</v>
      </c>
      <c r="K2027" s="5" t="s">
        <v>21</v>
      </c>
      <c r="L2027" s="5" t="s">
        <v>8068</v>
      </c>
      <c r="M2027" s="5" t="s">
        <v>7845</v>
      </c>
      <c r="N2027" s="7" t="str">
        <f>HYPERLINK("C:\Users\alexa\YandexDisk\Книги\Операционные системы\Linux\Практика_системного_и_сетевого_администрирования.pdf","Практика_системного_и_сетевого_администрирования.pdf")</f>
        <v>Практика_системного_и_сетевого_администрирования.pdf</v>
      </c>
      <c r="O2027" s="5" t="s">
        <v>8069</v>
      </c>
    </row>
    <row r="2028" spans="1:15" ht="179.4" x14ac:dyDescent="0.3">
      <c r="A2028" s="2">
        <v>2027</v>
      </c>
      <c r="B2028" s="3" t="s">
        <v>8070</v>
      </c>
      <c r="C2028" s="3" t="s">
        <v>8071</v>
      </c>
      <c r="D2028" s="3" t="s">
        <v>65</v>
      </c>
      <c r="E2028" s="3" t="s">
        <v>402</v>
      </c>
      <c r="F2028" s="3" t="s">
        <v>7841</v>
      </c>
      <c r="G2028" s="3" t="s">
        <v>7842</v>
      </c>
      <c r="H2028" s="3" t="s">
        <v>7843</v>
      </c>
      <c r="I2028" s="3" t="s">
        <v>20</v>
      </c>
      <c r="J2028" s="3">
        <v>10.3</v>
      </c>
      <c r="K2028" s="3" t="s">
        <v>21</v>
      </c>
      <c r="L2028" s="3" t="s">
        <v>8072</v>
      </c>
      <c r="M2028" s="3" t="s">
        <v>7845</v>
      </c>
      <c r="N2028" s="6" t="str">
        <f>HYPERLINK("C:\Users\alexa\YandexDisk\Книги\Операционные системы\Linux\Программирование в Linux Самоучитель 2012.pdf","Программирование в Linux Самоучитель 2012.pdf")</f>
        <v>Программирование в Linux Самоучитель 2012.pdf</v>
      </c>
      <c r="O2028" s="3" t="s">
        <v>8073</v>
      </c>
    </row>
    <row r="2029" spans="1:15" ht="179.4" x14ac:dyDescent="0.3">
      <c r="A2029" s="4">
        <v>2028</v>
      </c>
      <c r="B2029" s="5" t="s">
        <v>8074</v>
      </c>
      <c r="C2029" s="5" t="s">
        <v>8075</v>
      </c>
      <c r="D2029" s="5" t="s">
        <v>50</v>
      </c>
      <c r="E2029" s="5" t="s">
        <v>92</v>
      </c>
      <c r="F2029" s="5" t="s">
        <v>7841</v>
      </c>
      <c r="G2029" s="5" t="s">
        <v>7842</v>
      </c>
      <c r="H2029" s="5" t="s">
        <v>7843</v>
      </c>
      <c r="I2029" s="5" t="s">
        <v>20</v>
      </c>
      <c r="J2029" s="5">
        <v>21.03</v>
      </c>
      <c r="K2029" s="5" t="s">
        <v>21</v>
      </c>
      <c r="L2029" s="5" t="s">
        <v>8076</v>
      </c>
      <c r="M2029" s="5" t="s">
        <v>7845</v>
      </c>
      <c r="N2029" s="7" t="str">
        <f>HYPERLINK("C:\Users\alexa\YandexDisk\Книги\Операционные системы\Linux\Программирование_командных_оболочек_в_Unix,_Linux_и_OS_X,_4_е_издание.pdf","Программирование_командных_оболочек_в_Unix,_Linux_и_OS_X,_4_е_издание.pdf")</f>
        <v>Программирование_командных_оболочек_в_Unix,_Linux_и_OS_X,_4_е_издание.pdf</v>
      </c>
      <c r="O2029" s="5" t="s">
        <v>8077</v>
      </c>
    </row>
    <row r="2030" spans="1:15" ht="179.4" x14ac:dyDescent="0.3">
      <c r="A2030" s="2">
        <v>2029</v>
      </c>
      <c r="B2030" s="3" t="s">
        <v>8078</v>
      </c>
      <c r="C2030" s="3" t="s">
        <v>8079</v>
      </c>
      <c r="D2030" s="3" t="s">
        <v>27</v>
      </c>
      <c r="E2030" s="3" t="s">
        <v>18</v>
      </c>
      <c r="F2030" s="3" t="s">
        <v>7841</v>
      </c>
      <c r="G2030" s="3" t="s">
        <v>7842</v>
      </c>
      <c r="H2030" s="3" t="s">
        <v>7843</v>
      </c>
      <c r="I2030" s="3" t="s">
        <v>20</v>
      </c>
      <c r="J2030" s="3">
        <v>17.07</v>
      </c>
      <c r="K2030" s="3" t="s">
        <v>21</v>
      </c>
      <c r="L2030" s="3" t="s">
        <v>8080</v>
      </c>
      <c r="M2030" s="3" t="s">
        <v>7845</v>
      </c>
      <c r="N2030" s="6" t="str">
        <f>HYPERLINK("C:\Users\alexa\YandexDisk\Книги\Операционные системы\Linux\Производительность систем.pdf","Производительность систем.pdf")</f>
        <v>Производительность систем.pdf</v>
      </c>
      <c r="O2030" s="3" t="s">
        <v>8081</v>
      </c>
    </row>
    <row r="2031" spans="1:15" ht="193.2" x14ac:dyDescent="0.3">
      <c r="A2031" s="4">
        <v>2030</v>
      </c>
      <c r="B2031" s="5" t="s">
        <v>8082</v>
      </c>
      <c r="C2031" s="5" t="s">
        <v>3006</v>
      </c>
      <c r="D2031" s="5" t="s">
        <v>65</v>
      </c>
      <c r="E2031" s="5" t="s">
        <v>402</v>
      </c>
      <c r="F2031" s="5" t="s">
        <v>7841</v>
      </c>
      <c r="G2031" s="5" t="s">
        <v>7842</v>
      </c>
      <c r="H2031" s="5" t="s">
        <v>7843</v>
      </c>
      <c r="I2031" s="5" t="s">
        <v>20</v>
      </c>
      <c r="J2031" s="5">
        <v>18.8</v>
      </c>
      <c r="K2031" s="5" t="s">
        <v>21</v>
      </c>
      <c r="L2031" s="5" t="s">
        <v>8083</v>
      </c>
      <c r="M2031" s="5" t="s">
        <v>7845</v>
      </c>
      <c r="N2031" s="7" t="str">
        <f>HYPERLINK("C:\Users\alexa\YandexDisk\Книги\Операционные системы\Linux\Разработка Linux приожений 2012.pdf","Разработка Linux приожений 2012.pdf")</f>
        <v>Разработка Linux приожений 2012.pdf</v>
      </c>
      <c r="O2031" s="5" t="s">
        <v>8084</v>
      </c>
    </row>
    <row r="2032" spans="1:15" ht="165.6" x14ac:dyDescent="0.3">
      <c r="A2032" s="2">
        <v>2031</v>
      </c>
      <c r="B2032" s="3" t="s">
        <v>8085</v>
      </c>
      <c r="C2032" s="3" t="s">
        <v>8086</v>
      </c>
      <c r="D2032" s="3" t="s">
        <v>476</v>
      </c>
      <c r="E2032" s="3" t="s">
        <v>1566</v>
      </c>
      <c r="F2032" s="3" t="s">
        <v>7841</v>
      </c>
      <c r="G2032" s="3" t="s">
        <v>7842</v>
      </c>
      <c r="H2032" s="3" t="s">
        <v>7843</v>
      </c>
      <c r="I2032" s="3" t="s">
        <v>20</v>
      </c>
      <c r="J2032" s="3">
        <v>7.15</v>
      </c>
      <c r="K2032" s="3" t="s">
        <v>21</v>
      </c>
      <c r="L2032" s="3" t="s">
        <v>8087</v>
      </c>
      <c r="M2032" s="3" t="s">
        <v>7845</v>
      </c>
      <c r="N2032" s="6" t="str">
        <f>HYPERLINK("C:\Users\alexa\YandexDisk\Книги\Операционные системы\Linux\Редакторы Vi и Vim 2013.pdf","Редакторы Vi и Vim 2013.pdf")</f>
        <v>Редакторы Vi и Vim 2013.pdf</v>
      </c>
      <c r="O2032" s="3" t="s">
        <v>8088</v>
      </c>
    </row>
    <row r="2033" spans="1:15" ht="151.80000000000001" x14ac:dyDescent="0.3">
      <c r="A2033" s="4">
        <v>2032</v>
      </c>
      <c r="B2033" s="5" t="s">
        <v>6009</v>
      </c>
      <c r="C2033" s="5" t="s">
        <v>8089</v>
      </c>
      <c r="D2033" s="5" t="s">
        <v>17</v>
      </c>
      <c r="E2033" s="5" t="s">
        <v>402</v>
      </c>
      <c r="F2033" s="5" t="s">
        <v>7841</v>
      </c>
      <c r="G2033" s="5" t="s">
        <v>7842</v>
      </c>
      <c r="H2033" s="5" t="s">
        <v>7843</v>
      </c>
      <c r="I2033" s="5" t="s">
        <v>20</v>
      </c>
      <c r="J2033" s="5">
        <v>61.03</v>
      </c>
      <c r="K2033" s="5" t="s">
        <v>21</v>
      </c>
      <c r="L2033" s="5" t="s">
        <v>8090</v>
      </c>
      <c r="M2033" s="5" t="s">
        <v>7845</v>
      </c>
      <c r="N2033" s="7" t="str">
        <f>HYPERLINK("C:\Users\alexa\YandexDisk\Книги\Операционные системы\Linux\Самоучитель_системного_администратора (2).pdf","Самоучитель_системного_администратора (2).pdf")</f>
        <v>Самоучитель_системного_администратора (2).pdf</v>
      </c>
      <c r="O2033" s="5" t="s">
        <v>8091</v>
      </c>
    </row>
    <row r="2034" spans="1:15" ht="41.4" x14ac:dyDescent="0.3">
      <c r="A2034" s="2">
        <v>2033</v>
      </c>
      <c r="B2034" s="3" t="s">
        <v>8092</v>
      </c>
      <c r="C2034" s="3" t="s">
        <v>8093</v>
      </c>
      <c r="D2034" s="3"/>
      <c r="E2034" s="3"/>
      <c r="F2034" s="3" t="s">
        <v>7841</v>
      </c>
      <c r="G2034" s="3" t="s">
        <v>7842</v>
      </c>
      <c r="H2034" s="3" t="s">
        <v>7843</v>
      </c>
      <c r="I2034" s="3" t="s">
        <v>20</v>
      </c>
      <c r="J2034" s="3">
        <v>123.82</v>
      </c>
      <c r="K2034" s="3" t="s">
        <v>21</v>
      </c>
      <c r="L2034" s="3" t="s">
        <v>8094</v>
      </c>
      <c r="M2034" s="3" t="s">
        <v>7845</v>
      </c>
      <c r="N2034" s="6" t="str">
        <f>HYPERLINK("C:\Users\alexa\YandexDisk\Книги\Операционные системы\Linux\Системное администрирование в LINUX 2010.pdf","Системное администрирование в LINUX 2010.pdf")</f>
        <v>Системное администрирование в LINUX 2010.pdf</v>
      </c>
      <c r="O2034" s="3" t="s">
        <v>1735</v>
      </c>
    </row>
    <row r="2035" spans="1:15" ht="207" x14ac:dyDescent="0.3">
      <c r="A2035" s="4">
        <v>2034</v>
      </c>
      <c r="B2035" s="5" t="s">
        <v>8066</v>
      </c>
      <c r="C2035" s="5" t="s">
        <v>8067</v>
      </c>
      <c r="D2035" s="5" t="s">
        <v>2624</v>
      </c>
      <c r="E2035" s="5" t="s">
        <v>1566</v>
      </c>
      <c r="F2035" s="5" t="s">
        <v>7841</v>
      </c>
      <c r="G2035" s="5" t="s">
        <v>7842</v>
      </c>
      <c r="H2035" s="5" t="s">
        <v>7843</v>
      </c>
      <c r="I2035" s="5" t="s">
        <v>20</v>
      </c>
      <c r="J2035" s="5">
        <v>6.22</v>
      </c>
      <c r="K2035" s="5" t="s">
        <v>21</v>
      </c>
      <c r="L2035" s="5" t="s">
        <v>8095</v>
      </c>
      <c r="M2035" s="5" t="s">
        <v>7845</v>
      </c>
      <c r="N2035" s="7" t="str">
        <f>HYPERLINK("C:\Users\alexa\YandexDisk\Книги\Операционные системы\Linux\Системное и сетевое администрирование 2009.pdf","Системное и сетевое администрирование 2009.pdf")</f>
        <v>Системное и сетевое администрирование 2009.pdf</v>
      </c>
      <c r="O2035" s="5" t="s">
        <v>8096</v>
      </c>
    </row>
    <row r="2036" spans="1:15" ht="165.6" x14ac:dyDescent="0.3">
      <c r="A2036" s="2">
        <v>2035</v>
      </c>
      <c r="B2036" s="3" t="s">
        <v>8097</v>
      </c>
      <c r="C2036" s="3" t="s">
        <v>8098</v>
      </c>
      <c r="D2036" s="3" t="s">
        <v>109</v>
      </c>
      <c r="E2036" s="3" t="s">
        <v>402</v>
      </c>
      <c r="F2036" s="3" t="s">
        <v>7841</v>
      </c>
      <c r="G2036" s="3" t="s">
        <v>7842</v>
      </c>
      <c r="H2036" s="3" t="s">
        <v>7843</v>
      </c>
      <c r="I2036" s="3" t="s">
        <v>20</v>
      </c>
      <c r="J2036" s="3">
        <v>47.06</v>
      </c>
      <c r="K2036" s="3" t="s">
        <v>21</v>
      </c>
      <c r="L2036" s="3" t="s">
        <v>8099</v>
      </c>
      <c r="M2036" s="3" t="s">
        <v>7845</v>
      </c>
      <c r="N2036" s="6" t="str">
        <f>HYPERLINK("C:\Users\alexa\YandexDisk\Книги\Операционные системы\Linux\Современное системное администрирование.pdf","Современное системное администрирование.pdf")</f>
        <v>Современное системное администрирование.pdf</v>
      </c>
      <c r="O2036" s="3" t="s">
        <v>8100</v>
      </c>
    </row>
    <row r="2037" spans="1:15" ht="179.4" x14ac:dyDescent="0.3">
      <c r="A2037" s="4">
        <v>2036</v>
      </c>
      <c r="B2037" s="5" t="s">
        <v>8101</v>
      </c>
      <c r="C2037" s="5" t="s">
        <v>7854</v>
      </c>
      <c r="D2037" s="5" t="s">
        <v>27</v>
      </c>
      <c r="E2037" s="5" t="s">
        <v>5174</v>
      </c>
      <c r="F2037" s="5" t="s">
        <v>7841</v>
      </c>
      <c r="G2037" s="5" t="s">
        <v>7842</v>
      </c>
      <c r="H2037" s="5" t="s">
        <v>7843</v>
      </c>
      <c r="I2037" s="5" t="s">
        <v>20</v>
      </c>
      <c r="J2037" s="5">
        <v>19.12</v>
      </c>
      <c r="K2037" s="5" t="s">
        <v>21</v>
      </c>
      <c r="L2037" s="5" t="s">
        <v>8102</v>
      </c>
      <c r="M2037" s="5" t="s">
        <v>7845</v>
      </c>
      <c r="N2037" s="7" t="str">
        <f>HYPERLINK("C:\Users\alexa\YandexDisk\Книги\Операционные системы\Linux\Справочник Линуксоида.pdf","Справочник Линуксоида.pdf")</f>
        <v>Справочник Линуксоида.pdf</v>
      </c>
      <c r="O2037" s="5" t="s">
        <v>8103</v>
      </c>
    </row>
    <row r="2038" spans="1:15" ht="165.6" x14ac:dyDescent="0.3">
      <c r="A2038" s="2">
        <v>2037</v>
      </c>
      <c r="B2038" s="3" t="s">
        <v>8104</v>
      </c>
      <c r="C2038" s="3"/>
      <c r="D2038" s="3"/>
      <c r="E2038" s="3"/>
      <c r="F2038" s="3" t="s">
        <v>7841</v>
      </c>
      <c r="G2038" s="3" t="s">
        <v>7842</v>
      </c>
      <c r="H2038" s="3" t="s">
        <v>7843</v>
      </c>
      <c r="I2038" s="3" t="s">
        <v>20</v>
      </c>
      <c r="J2038" s="3">
        <v>63.65</v>
      </c>
      <c r="K2038" s="3" t="s">
        <v>21</v>
      </c>
      <c r="L2038" s="3" t="s">
        <v>8105</v>
      </c>
      <c r="M2038" s="3" t="s">
        <v>7845</v>
      </c>
      <c r="N2038" s="6" t="str">
        <f>HYPERLINK("C:\Users\alexa\YandexDisk\Книги\Операционные системы\Linux\Справочник_системного_администратора.pdf","Справочник_системного_администратора.pdf")</f>
        <v>Справочник_системного_администратора.pdf</v>
      </c>
      <c r="O2038" s="3" t="s">
        <v>8106</v>
      </c>
    </row>
    <row r="2039" spans="1:15" ht="179.4" x14ac:dyDescent="0.3">
      <c r="A2039" s="4">
        <v>2038</v>
      </c>
      <c r="B2039" s="5" t="s">
        <v>8107</v>
      </c>
      <c r="C2039" s="5" t="s">
        <v>8108</v>
      </c>
      <c r="D2039" s="5" t="s">
        <v>50</v>
      </c>
      <c r="E2039" s="5" t="s">
        <v>18</v>
      </c>
      <c r="F2039" s="5" t="s">
        <v>7841</v>
      </c>
      <c r="G2039" s="5" t="s">
        <v>7842</v>
      </c>
      <c r="H2039" s="5" t="s">
        <v>7843</v>
      </c>
      <c r="I2039" s="5" t="s">
        <v>20</v>
      </c>
      <c r="J2039" s="5">
        <v>6.37</v>
      </c>
      <c r="K2039" s="5" t="s">
        <v>21</v>
      </c>
      <c r="L2039" s="5" t="s">
        <v>8109</v>
      </c>
      <c r="M2039" s="5" t="s">
        <v>7845</v>
      </c>
      <c r="N2039" s="7" t="str">
        <f>HYPERLINK("C:\Users\alexa\YandexDisk\Книги\Операционные системы\Linux\Сценарии_командной_оболочки_Linux,_OS_X_и_Unix.pdf","Сценарии_командной_оболочки_Linux,_OS_X_и_Unix.pdf")</f>
        <v>Сценарии_командной_оболочки_Linux,_OS_X_и_Unix.pdf</v>
      </c>
      <c r="O2039" s="5" t="s">
        <v>8110</v>
      </c>
    </row>
    <row r="2040" spans="1:15" ht="179.4" x14ac:dyDescent="0.3">
      <c r="A2040" s="2">
        <v>2039</v>
      </c>
      <c r="B2040" s="3" t="s">
        <v>8111</v>
      </c>
      <c r="C2040" s="3" t="s">
        <v>8089</v>
      </c>
      <c r="D2040" s="3" t="s">
        <v>77</v>
      </c>
      <c r="E2040" s="3" t="s">
        <v>402</v>
      </c>
      <c r="F2040" s="3" t="s">
        <v>8112</v>
      </c>
      <c r="G2040" s="3" t="s">
        <v>7842</v>
      </c>
      <c r="H2040" s="3" t="s">
        <v>8113</v>
      </c>
      <c r="I2040" s="3" t="s">
        <v>20</v>
      </c>
      <c r="J2040" s="3">
        <v>12.89</v>
      </c>
      <c r="K2040" s="3" t="s">
        <v>21</v>
      </c>
      <c r="L2040" s="3" t="s">
        <v>8114</v>
      </c>
      <c r="M2040" s="3" t="s">
        <v>8115</v>
      </c>
      <c r="N2040" s="6" t="str">
        <f>HYPERLINK("C:\Users\alexa\YandexDisk\Книги\Операционные системы\Windows\!Самоучитель_системного_администратора.pdf","!Самоучитель_системного_администратора.pdf")</f>
        <v>!Самоучитель_системного_администратора.pdf</v>
      </c>
      <c r="O2040" s="3" t="s">
        <v>8116</v>
      </c>
    </row>
    <row r="2041" spans="1:15" ht="193.2" x14ac:dyDescent="0.3">
      <c r="A2041" s="4">
        <v>2040</v>
      </c>
      <c r="B2041" s="5" t="s">
        <v>8117</v>
      </c>
      <c r="C2041" s="5" t="s">
        <v>8118</v>
      </c>
      <c r="D2041" s="5" t="s">
        <v>600</v>
      </c>
      <c r="E2041" s="5" t="s">
        <v>336</v>
      </c>
      <c r="F2041" s="5" t="s">
        <v>8112</v>
      </c>
      <c r="G2041" s="5" t="s">
        <v>7842</v>
      </c>
      <c r="H2041" s="5" t="s">
        <v>8113</v>
      </c>
      <c r="I2041" s="5" t="s">
        <v>20</v>
      </c>
      <c r="J2041" s="5">
        <v>39.83</v>
      </c>
      <c r="K2041" s="5" t="s">
        <v>21</v>
      </c>
      <c r="L2041" s="5" t="s">
        <v>8119</v>
      </c>
      <c r="M2041" s="5" t="s">
        <v>8115</v>
      </c>
      <c r="N2041" s="7" t="str">
        <f>HYPERLINK("C:\Users\alexa\YandexDisk\Книги\Операционные системы\Windows\Active Directory проектирование, развертывание и защита.pdf","Active Directory проектирование, развертывание и защита.pdf")</f>
        <v>Active Directory проектирование, развертывание и защита.pdf</v>
      </c>
      <c r="O2041" s="5" t="s">
        <v>8120</v>
      </c>
    </row>
    <row r="2042" spans="1:15" ht="179.4" x14ac:dyDescent="0.3">
      <c r="A2042" s="2">
        <v>2041</v>
      </c>
      <c r="B2042" s="3" t="s">
        <v>8121</v>
      </c>
      <c r="C2042" s="3" t="s">
        <v>3006</v>
      </c>
      <c r="D2042" s="3" t="s">
        <v>71</v>
      </c>
      <c r="E2042" s="3" t="s">
        <v>402</v>
      </c>
      <c r="F2042" s="3" t="s">
        <v>8112</v>
      </c>
      <c r="G2042" s="3" t="s">
        <v>7842</v>
      </c>
      <c r="H2042" s="3" t="s">
        <v>8113</v>
      </c>
      <c r="I2042" s="3" t="s">
        <v>20</v>
      </c>
      <c r="J2042" s="3">
        <v>8.86</v>
      </c>
      <c r="K2042" s="3" t="s">
        <v>21</v>
      </c>
      <c r="L2042" s="3" t="s">
        <v>8122</v>
      </c>
      <c r="M2042" s="3" t="s">
        <v>8115</v>
      </c>
      <c r="N2042" s="6" t="str">
        <f>HYPERLINK("C:\Users\alexa\YandexDisk\Книги\Операционные системы\Windows\Microsoft Windows 11.pdf","Microsoft Windows 11.pdf")</f>
        <v>Microsoft Windows 11.pdf</v>
      </c>
      <c r="O2042" s="3" t="s">
        <v>8123</v>
      </c>
    </row>
    <row r="2043" spans="1:15" ht="110.4" x14ac:dyDescent="0.3">
      <c r="A2043" s="4">
        <v>2042</v>
      </c>
      <c r="B2043" s="5" t="s">
        <v>8124</v>
      </c>
      <c r="C2043" s="5" t="s">
        <v>8125</v>
      </c>
      <c r="D2043" s="5" t="s">
        <v>27</v>
      </c>
      <c r="E2043" s="5" t="s">
        <v>296</v>
      </c>
      <c r="F2043" s="5" t="s">
        <v>8112</v>
      </c>
      <c r="G2043" s="5" t="s">
        <v>7842</v>
      </c>
      <c r="H2043" s="5" t="s">
        <v>8113</v>
      </c>
      <c r="I2043" s="5" t="s">
        <v>20</v>
      </c>
      <c r="J2043" s="5">
        <v>1.37</v>
      </c>
      <c r="K2043" s="5" t="s">
        <v>21</v>
      </c>
      <c r="L2043" s="5" t="s">
        <v>8126</v>
      </c>
      <c r="M2043" s="5" t="s">
        <v>8115</v>
      </c>
      <c r="N2043" s="7" t="str">
        <f>HYPERLINK("C:\Users\alexa\YandexDisk\Книги\Операционные системы\Windows\PowerShell 101.pdf","PowerShell 101.pdf")</f>
        <v>PowerShell 101.pdf</v>
      </c>
      <c r="O2043" s="5" t="s">
        <v>8127</v>
      </c>
    </row>
    <row r="2044" spans="1:15" ht="179.4" x14ac:dyDescent="0.3">
      <c r="A2044" s="2">
        <v>2043</v>
      </c>
      <c r="B2044" s="3" t="s">
        <v>8128</v>
      </c>
      <c r="C2044" s="3" t="s">
        <v>8129</v>
      </c>
      <c r="D2044" s="3" t="s">
        <v>17</v>
      </c>
      <c r="E2044" s="3" t="s">
        <v>18</v>
      </c>
      <c r="F2044" s="3" t="s">
        <v>8112</v>
      </c>
      <c r="G2044" s="3" t="s">
        <v>7842</v>
      </c>
      <c r="H2044" s="3" t="s">
        <v>8113</v>
      </c>
      <c r="I2044" s="3" t="s">
        <v>20</v>
      </c>
      <c r="J2044" s="3">
        <v>5.82</v>
      </c>
      <c r="K2044" s="3" t="s">
        <v>21</v>
      </c>
      <c r="L2044" s="3" t="s">
        <v>8130</v>
      </c>
      <c r="M2044" s="3" t="s">
        <v>8115</v>
      </c>
      <c r="N2044" s="6" t="str">
        <f>HYPERLINK("C:\Users\alexa\YandexDisk\Книги\Операционные системы\Windows\PowerShell_для_сисадминов.pdf","PowerShell_для_сисадминов.pdf")</f>
        <v>PowerShell_для_сисадминов.pdf</v>
      </c>
      <c r="O2044" s="3" t="s">
        <v>8131</v>
      </c>
    </row>
    <row r="2045" spans="1:15" ht="234.6" x14ac:dyDescent="0.3">
      <c r="A2045" s="4">
        <v>2044</v>
      </c>
      <c r="B2045" s="5" t="s">
        <v>8132</v>
      </c>
      <c r="C2045" s="5" t="s">
        <v>8133</v>
      </c>
      <c r="D2045" s="5" t="s">
        <v>114</v>
      </c>
      <c r="E2045" s="5" t="s">
        <v>8134</v>
      </c>
      <c r="F2045" s="5" t="s">
        <v>8112</v>
      </c>
      <c r="G2045" s="5" t="s">
        <v>7842</v>
      </c>
      <c r="H2045" s="5" t="s">
        <v>8113</v>
      </c>
      <c r="I2045" s="5" t="s">
        <v>20</v>
      </c>
      <c r="J2045" s="5">
        <v>24.29</v>
      </c>
      <c r="K2045" s="5" t="s">
        <v>21</v>
      </c>
      <c r="L2045" s="5" t="s">
        <v>8135</v>
      </c>
      <c r="M2045" s="5" t="s">
        <v>8115</v>
      </c>
      <c r="N2045" s="7" t="str">
        <f>HYPERLINK("C:\Users\alexa\YandexDisk\Книги\Операционные системы\Windows\Windows 10 для IT-специалистов.pdf","Windows 10 для IT-специалистов.pdf")</f>
        <v>Windows 10 для IT-специалистов.pdf</v>
      </c>
      <c r="O2045" s="5" t="s">
        <v>8136</v>
      </c>
    </row>
    <row r="2046" spans="1:15" ht="179.4" x14ac:dyDescent="0.3">
      <c r="A2046" s="2">
        <v>2045</v>
      </c>
      <c r="B2046" s="3" t="s">
        <v>8137</v>
      </c>
      <c r="C2046" s="3" t="s">
        <v>8138</v>
      </c>
      <c r="D2046" s="3" t="s">
        <v>77</v>
      </c>
      <c r="E2046" s="3" t="s">
        <v>8139</v>
      </c>
      <c r="F2046" s="3" t="s">
        <v>8112</v>
      </c>
      <c r="G2046" s="3" t="s">
        <v>7842</v>
      </c>
      <c r="H2046" s="3" t="s">
        <v>8113</v>
      </c>
      <c r="I2046" s="3" t="s">
        <v>20</v>
      </c>
      <c r="J2046" s="3">
        <v>6.48</v>
      </c>
      <c r="K2046" s="3" t="s">
        <v>21</v>
      </c>
      <c r="L2046" s="3" t="s">
        <v>8140</v>
      </c>
      <c r="M2046" s="3" t="s">
        <v>8115</v>
      </c>
      <c r="N2046" s="6" t="str">
        <f>HYPERLINK("C:\Users\alexa\YandexDisk\Книги\Операционные системы\Windows\Администрирование_локально_вычислительных_сетей_под_управлением.pdf","Администрирование_локально_вычислительных_сетей_под_управлением.pdf")</f>
        <v>Администрирование_локально_вычислительных_сетей_под_управлением.pdf</v>
      </c>
      <c r="O2046" s="3" t="s">
        <v>8141</v>
      </c>
    </row>
    <row r="2047" spans="1:15" ht="179.4" x14ac:dyDescent="0.3">
      <c r="A2047" s="4">
        <v>2046</v>
      </c>
      <c r="B2047" s="5" t="s">
        <v>8142</v>
      </c>
      <c r="C2047" s="5" t="s">
        <v>8143</v>
      </c>
      <c r="D2047" s="5" t="s">
        <v>32</v>
      </c>
      <c r="E2047" s="5" t="s">
        <v>18</v>
      </c>
      <c r="F2047" s="5" t="s">
        <v>8112</v>
      </c>
      <c r="G2047" s="5" t="s">
        <v>7842</v>
      </c>
      <c r="H2047" s="5" t="s">
        <v>8113</v>
      </c>
      <c r="I2047" s="5" t="s">
        <v>20</v>
      </c>
      <c r="J2047" s="5">
        <v>94.1</v>
      </c>
      <c r="K2047" s="5" t="s">
        <v>21</v>
      </c>
      <c r="L2047" s="5" t="s">
        <v>8144</v>
      </c>
      <c r="M2047" s="5" t="s">
        <v>8115</v>
      </c>
      <c r="N2047" s="7" t="str">
        <f>HYPERLINK("C:\Users\alexa\YandexDisk\Книги\Операционные системы\Windows\Внутренне устройство_Windows10.pdf","Внутренне устройство_Windows10.pdf")</f>
        <v>Внутренне устройство_Windows10.pdf</v>
      </c>
      <c r="O2047" s="5" t="s">
        <v>8145</v>
      </c>
    </row>
    <row r="2048" spans="1:15" ht="207" x14ac:dyDescent="0.3">
      <c r="A2048" s="2">
        <v>2047</v>
      </c>
      <c r="B2048" s="3" t="s">
        <v>8146</v>
      </c>
      <c r="C2048" s="3" t="s">
        <v>8147</v>
      </c>
      <c r="D2048" s="3" t="s">
        <v>17</v>
      </c>
      <c r="E2048" s="3" t="s">
        <v>143</v>
      </c>
      <c r="F2048" s="3" t="s">
        <v>8112</v>
      </c>
      <c r="G2048" s="3" t="s">
        <v>7842</v>
      </c>
      <c r="H2048" s="3" t="s">
        <v>8113</v>
      </c>
      <c r="I2048" s="3" t="s">
        <v>20</v>
      </c>
      <c r="J2048" s="3">
        <v>11.88</v>
      </c>
      <c r="K2048" s="3" t="s">
        <v>21</v>
      </c>
      <c r="L2048" s="3" t="s">
        <v>8148</v>
      </c>
      <c r="M2048" s="3" t="s">
        <v>8115</v>
      </c>
      <c r="N2048" s="6" t="str">
        <f>HYPERLINK("C:\Users\alexa\YandexDisk\Книги\Операционные системы\Windows\Основы_администрированияинформационных_систем_2021.pdf","Основы_администрированияинформационных_систем_2021.pdf")</f>
        <v>Основы_администрированияинформационных_систем_2021.pdf</v>
      </c>
      <c r="O2048" s="3" t="s">
        <v>8149</v>
      </c>
    </row>
    <row r="2049" spans="1:15" ht="151.80000000000001" x14ac:dyDescent="0.3">
      <c r="A2049" s="4">
        <v>2048</v>
      </c>
      <c r="B2049" s="5" t="s">
        <v>8150</v>
      </c>
      <c r="C2049" s="5" t="s">
        <v>8151</v>
      </c>
      <c r="D2049" s="5" t="s">
        <v>17</v>
      </c>
      <c r="E2049" s="5" t="s">
        <v>18</v>
      </c>
      <c r="F2049" s="5" t="s">
        <v>8112</v>
      </c>
      <c r="G2049" s="5" t="s">
        <v>7842</v>
      </c>
      <c r="H2049" s="5" t="s">
        <v>8113</v>
      </c>
      <c r="I2049" s="5" t="s">
        <v>20</v>
      </c>
      <c r="J2049" s="5">
        <v>8.49</v>
      </c>
      <c r="K2049" s="5" t="s">
        <v>21</v>
      </c>
      <c r="L2049" s="5" t="s">
        <v>8152</v>
      </c>
      <c r="M2049" s="5" t="s">
        <v>8115</v>
      </c>
      <c r="N2049" s="7" t="str">
        <f>HYPERLINK("C:\Users\alexa\YandexDisk\Книги\Операционные системы\Windows\Работа с ядром Windows [2021] Павел Йосифович.pdf","Работа с ядром Windows [2021] Павел Йосифович.pdf")</f>
        <v>Работа с ядром Windows [2021] Павел Йосифович.pdf</v>
      </c>
      <c r="O2049" s="5" t="s">
        <v>8153</v>
      </c>
    </row>
    <row r="2050" spans="1:15" ht="138" x14ac:dyDescent="0.3">
      <c r="A2050" s="2">
        <v>2049</v>
      </c>
      <c r="B2050" s="3" t="s">
        <v>8154</v>
      </c>
      <c r="C2050" s="3" t="s">
        <v>8155</v>
      </c>
      <c r="D2050" s="3" t="s">
        <v>335</v>
      </c>
      <c r="E2050" s="3" t="s">
        <v>6828</v>
      </c>
      <c r="F2050" s="3" t="s">
        <v>8112</v>
      </c>
      <c r="G2050" s="3" t="s">
        <v>7842</v>
      </c>
      <c r="H2050" s="3" t="s">
        <v>8113</v>
      </c>
      <c r="I2050" s="3" t="s">
        <v>20</v>
      </c>
      <c r="J2050" s="3">
        <v>17.66</v>
      </c>
      <c r="K2050" s="3" t="s">
        <v>21</v>
      </c>
      <c r="L2050" s="3" t="s">
        <v>8156</v>
      </c>
      <c r="M2050" s="3" t="s">
        <v>8115</v>
      </c>
      <c r="N2050" s="6" t="str">
        <f>HYPERLINK("C:\Users\alexa\YandexDisk\Книги\Операционные системы\Windows\Скрипты. Сценарии автоматизации.pdf","Скрипты. Сценарии автоматизации.pdf")</f>
        <v>Скрипты. Сценарии автоматизации.pdf</v>
      </c>
      <c r="O2050" s="3" t="s">
        <v>8157</v>
      </c>
    </row>
    <row r="2051" spans="1:15" ht="179.4" x14ac:dyDescent="0.3">
      <c r="A2051" s="4">
        <v>2050</v>
      </c>
      <c r="B2051" s="5" t="s">
        <v>8158</v>
      </c>
      <c r="C2051" s="5" t="s">
        <v>8159</v>
      </c>
      <c r="D2051" s="5" t="s">
        <v>71</v>
      </c>
      <c r="E2051" s="5" t="s">
        <v>402</v>
      </c>
      <c r="F2051" s="5" t="s">
        <v>8112</v>
      </c>
      <c r="G2051" s="5" t="s">
        <v>7842</v>
      </c>
      <c r="H2051" s="5" t="s">
        <v>8113</v>
      </c>
      <c r="I2051" s="5" t="s">
        <v>20</v>
      </c>
      <c r="J2051" s="5">
        <v>28.34</v>
      </c>
      <c r="K2051" s="5" t="s">
        <v>21</v>
      </c>
      <c r="L2051" s="5" t="s">
        <v>8160</v>
      </c>
      <c r="M2051" s="5" t="s">
        <v>8115</v>
      </c>
      <c r="N2051" s="7" t="str">
        <f>HYPERLINK("C:\Users\alexa\YandexDisk\Книги\Операционные системы\Windows\Современный PowerShell.pdf","Современный PowerShell.pdf")</f>
        <v>Современный PowerShell.pdf</v>
      </c>
      <c r="O2051" s="5" t="s">
        <v>8161</v>
      </c>
    </row>
    <row r="2052" spans="1:15" ht="138" x14ac:dyDescent="0.3">
      <c r="A2052" s="2">
        <v>2051</v>
      </c>
      <c r="B2052" s="3" t="s">
        <v>8162</v>
      </c>
      <c r="C2052" s="3"/>
      <c r="D2052" s="3" t="s">
        <v>59</v>
      </c>
      <c r="E2052" s="3"/>
      <c r="F2052" s="3" t="s">
        <v>8112</v>
      </c>
      <c r="G2052" s="3" t="s">
        <v>7842</v>
      </c>
      <c r="H2052" s="3" t="s">
        <v>8113</v>
      </c>
      <c r="I2052" s="3" t="s">
        <v>20</v>
      </c>
      <c r="J2052" s="3">
        <v>174.5</v>
      </c>
      <c r="K2052" s="3" t="s">
        <v>21</v>
      </c>
      <c r="L2052" s="3" t="s">
        <v>8163</v>
      </c>
      <c r="M2052" s="3" t="s">
        <v>8115</v>
      </c>
      <c r="N2052" s="6" t="str">
        <f>HYPERLINK("C:\Users\alexa\YandexDisk\Книги\Операционные системы\Windows\Справочник_системного_администратора_2020.pdf","Справочник_системного_администратора_2020.pdf")</f>
        <v>Справочник_системного_администратора_2020.pdf</v>
      </c>
      <c r="O2052" s="3" t="s">
        <v>8164</v>
      </c>
    </row>
    <row r="2053" spans="1:15" ht="193.2" x14ac:dyDescent="0.3">
      <c r="A2053" s="4">
        <v>2052</v>
      </c>
      <c r="B2053" s="5" t="s">
        <v>8165</v>
      </c>
      <c r="C2053" s="5" t="s">
        <v>8166</v>
      </c>
      <c r="D2053" s="5" t="s">
        <v>109</v>
      </c>
      <c r="E2053" s="5" t="s">
        <v>485</v>
      </c>
      <c r="F2053" s="5" t="s">
        <v>8167</v>
      </c>
      <c r="G2053" s="5" t="s">
        <v>7842</v>
      </c>
      <c r="H2053" s="5" t="s">
        <v>8168</v>
      </c>
      <c r="I2053" s="5" t="s">
        <v>20</v>
      </c>
      <c r="J2053" s="5">
        <v>46.64</v>
      </c>
      <c r="K2053" s="5" t="s">
        <v>21</v>
      </c>
      <c r="L2053" s="5" t="s">
        <v>8169</v>
      </c>
      <c r="M2053" s="5" t="s">
        <v>8170</v>
      </c>
      <c r="N2053" s="7" t="str">
        <f>HYPERLINK("C:\Users\alexa\YandexDisk\Книги\Операционные системы\Windows; Операционные системы_Linux\Справочник сисадмина.pdf","Справочник сисадмина.pdf")</f>
        <v>Справочник сисадмина.pdf</v>
      </c>
      <c r="O2053" s="5" t="s">
        <v>8171</v>
      </c>
    </row>
    <row r="2054" spans="1:15" ht="151.80000000000001" x14ac:dyDescent="0.3">
      <c r="A2054" s="2">
        <v>2053</v>
      </c>
      <c r="B2054" s="3" t="s">
        <v>8172</v>
      </c>
      <c r="C2054" s="3" t="s">
        <v>3098</v>
      </c>
      <c r="D2054" s="3" t="s">
        <v>32</v>
      </c>
      <c r="E2054" s="3" t="s">
        <v>8173</v>
      </c>
      <c r="F2054" s="3" t="s">
        <v>8174</v>
      </c>
      <c r="G2054" s="3" t="s">
        <v>8175</v>
      </c>
      <c r="H2054" s="3" t="s">
        <v>8176</v>
      </c>
      <c r="I2054" s="3" t="s">
        <v>20</v>
      </c>
      <c r="J2054" s="3">
        <v>4.8</v>
      </c>
      <c r="K2054" s="3" t="s">
        <v>21</v>
      </c>
      <c r="L2054" s="3" t="s">
        <v>8177</v>
      </c>
      <c r="M2054" s="3" t="s">
        <v>8178</v>
      </c>
      <c r="N2054" s="6" t="str">
        <f>HYPERLINK("C:\Users\alexa\YandexDisk\Книги\Организация производства\Agile\!!!Agile - PMI. Практическое руководство.pdf","!!!Agile - PMI. Практическое руководство.pdf")</f>
        <v>!!!Agile - PMI. Практическое руководство.pdf</v>
      </c>
      <c r="O2054" s="3" t="s">
        <v>8179</v>
      </c>
    </row>
    <row r="2055" spans="1:15" ht="234.6" x14ac:dyDescent="0.3">
      <c r="A2055" s="4">
        <v>2054</v>
      </c>
      <c r="B2055" s="5" t="s">
        <v>8180</v>
      </c>
      <c r="C2055" s="5" t="s">
        <v>8181</v>
      </c>
      <c r="D2055" s="5"/>
      <c r="E2055" s="5"/>
      <c r="F2055" s="5" t="s">
        <v>8174</v>
      </c>
      <c r="G2055" s="5" t="s">
        <v>8175</v>
      </c>
      <c r="H2055" s="5" t="s">
        <v>8176</v>
      </c>
      <c r="I2055" s="5" t="s">
        <v>20</v>
      </c>
      <c r="J2055" s="5">
        <v>4.4000000000000004</v>
      </c>
      <c r="K2055" s="5" t="s">
        <v>21</v>
      </c>
      <c r="L2055" s="5" t="s">
        <v>8182</v>
      </c>
      <c r="M2055" s="5" t="s">
        <v>8178</v>
      </c>
      <c r="N2055" s="7" t="str">
        <f>HYPERLINK("C:\Users\alexa\YandexDisk\Книги\Организация производства\Agile\!!Все об Agile.pdf","!!Все об Agile.pdf")</f>
        <v>!!Все об Agile.pdf</v>
      </c>
      <c r="O2055" s="5" t="s">
        <v>8183</v>
      </c>
    </row>
    <row r="2056" spans="1:15" ht="193.2" x14ac:dyDescent="0.3">
      <c r="A2056" s="2">
        <v>2055</v>
      </c>
      <c r="B2056" s="3" t="s">
        <v>8184</v>
      </c>
      <c r="C2056" s="3" t="s">
        <v>8185</v>
      </c>
      <c r="D2056" s="3" t="s">
        <v>77</v>
      </c>
      <c r="E2056" s="3" t="s">
        <v>18</v>
      </c>
      <c r="F2056" s="3" t="s">
        <v>8174</v>
      </c>
      <c r="G2056" s="3" t="s">
        <v>8175</v>
      </c>
      <c r="H2056" s="3" t="s">
        <v>8176</v>
      </c>
      <c r="I2056" s="3" t="s">
        <v>20</v>
      </c>
      <c r="J2056" s="3">
        <v>3.08</v>
      </c>
      <c r="K2056" s="3" t="s">
        <v>21</v>
      </c>
      <c r="L2056" s="3" t="s">
        <v>8186</v>
      </c>
      <c r="M2056" s="3" t="s">
        <v>8178</v>
      </c>
      <c r="N2056" s="6" t="str">
        <f>HYPERLINK("C:\Users\alexa\YandexDisk\Книги\Организация производства\Agile\!Agile для всех.pdf","!Agile для всех.pdf")</f>
        <v>!Agile для всех.pdf</v>
      </c>
      <c r="O2056" s="3" t="s">
        <v>8187</v>
      </c>
    </row>
    <row r="2057" spans="1:15" ht="193.2" x14ac:dyDescent="0.3">
      <c r="A2057" s="4">
        <v>2056</v>
      </c>
      <c r="B2057" s="5" t="s">
        <v>8188</v>
      </c>
      <c r="C2057" s="5" t="s">
        <v>8189</v>
      </c>
      <c r="D2057" s="5" t="s">
        <v>17</v>
      </c>
      <c r="E2057" s="5" t="s">
        <v>1023</v>
      </c>
      <c r="F2057" s="5" t="s">
        <v>8174</v>
      </c>
      <c r="G2057" s="5" t="s">
        <v>8175</v>
      </c>
      <c r="H2057" s="5" t="s">
        <v>8176</v>
      </c>
      <c r="I2057" s="5" t="s">
        <v>20</v>
      </c>
      <c r="J2057" s="5">
        <v>2.41</v>
      </c>
      <c r="K2057" s="5" t="s">
        <v>21</v>
      </c>
      <c r="L2057" s="5" t="s">
        <v>8190</v>
      </c>
      <c r="M2057" s="5" t="s">
        <v>8178</v>
      </c>
      <c r="N2057" s="7" t="str">
        <f>HYPERLINK("C:\Users\alexa\YandexDisk\Книги\Организация производства\Agile\!Время быть Agile.pdf","!Время быть Agile.pdf")</f>
        <v>!Время быть Agile.pdf</v>
      </c>
      <c r="O2057" s="5" t="s">
        <v>8191</v>
      </c>
    </row>
    <row r="2058" spans="1:15" ht="248.4" x14ac:dyDescent="0.3">
      <c r="A2058" s="2">
        <v>2057</v>
      </c>
      <c r="B2058" s="3" t="s">
        <v>8192</v>
      </c>
      <c r="C2058" s="3" t="s">
        <v>8193</v>
      </c>
      <c r="D2058" s="3"/>
      <c r="E2058" s="3" t="s">
        <v>2359</v>
      </c>
      <c r="F2058" s="3" t="s">
        <v>8174</v>
      </c>
      <c r="G2058" s="3" t="s">
        <v>8175</v>
      </c>
      <c r="H2058" s="3" t="s">
        <v>8176</v>
      </c>
      <c r="I2058" s="3" t="s">
        <v>20</v>
      </c>
      <c r="J2058" s="3">
        <v>10.34</v>
      </c>
      <c r="K2058" s="3" t="s">
        <v>21</v>
      </c>
      <c r="L2058" s="3" t="s">
        <v>8194</v>
      </c>
      <c r="M2058" s="3" t="s">
        <v>8178</v>
      </c>
      <c r="N2058" s="6" t="str">
        <f>HYPERLINK("C:\Users\alexa\YandexDisk\Книги\Организация производства\Agile\Agile Software Development.pdf","Agile Software Development.pdf")</f>
        <v>Agile Software Development.pdf</v>
      </c>
      <c r="O2058" s="3" t="s">
        <v>8195</v>
      </c>
    </row>
    <row r="2059" spans="1:15" ht="165.6" x14ac:dyDescent="0.3">
      <c r="A2059" s="4">
        <v>2058</v>
      </c>
      <c r="B2059" s="5" t="s">
        <v>8196</v>
      </c>
      <c r="C2059" s="5" t="s">
        <v>8197</v>
      </c>
      <c r="D2059" s="5" t="s">
        <v>71</v>
      </c>
      <c r="E2059" s="5" t="s">
        <v>1842</v>
      </c>
      <c r="F2059" s="5" t="s">
        <v>8174</v>
      </c>
      <c r="G2059" s="5" t="s">
        <v>8175</v>
      </c>
      <c r="H2059" s="5" t="s">
        <v>8176</v>
      </c>
      <c r="I2059" s="5" t="s">
        <v>20</v>
      </c>
      <c r="J2059" s="5">
        <v>5.26</v>
      </c>
      <c r="K2059" s="5" t="s">
        <v>21</v>
      </c>
      <c r="L2059" s="5" t="s">
        <v>8198</v>
      </c>
      <c r="M2059" s="5" t="s">
        <v>8178</v>
      </c>
      <c r="N2059" s="7" t="str">
        <f>HYPERLINK("C:\Users\alexa\YandexDisk\Книги\Организация производства\Agile\Agile Software Engeneerig Skils.pdf","Agile Software Engeneerig Skils.pdf")</f>
        <v>Agile Software Engeneerig Skils.pdf</v>
      </c>
      <c r="O2059" s="5" t="s">
        <v>8199</v>
      </c>
    </row>
    <row r="2060" spans="1:15" ht="193.2" x14ac:dyDescent="0.3">
      <c r="A2060" s="2">
        <v>2059</v>
      </c>
      <c r="B2060" s="3" t="s">
        <v>8200</v>
      </c>
      <c r="C2060" s="3" t="s">
        <v>8201</v>
      </c>
      <c r="D2060" s="3" t="s">
        <v>77</v>
      </c>
      <c r="E2060" s="3" t="s">
        <v>8202</v>
      </c>
      <c r="F2060" s="3" t="s">
        <v>8174</v>
      </c>
      <c r="G2060" s="3" t="s">
        <v>8175</v>
      </c>
      <c r="H2060" s="3" t="s">
        <v>8176</v>
      </c>
      <c r="I2060" s="3" t="s">
        <v>20</v>
      </c>
      <c r="J2060" s="3">
        <v>2.78</v>
      </c>
      <c r="K2060" s="3" t="s">
        <v>21</v>
      </c>
      <c r="L2060" s="3" t="s">
        <v>8203</v>
      </c>
      <c r="M2060" s="3" t="s">
        <v>8178</v>
      </c>
      <c r="N2060" s="6" t="str">
        <f>HYPERLINK("C:\Users\alexa\YandexDisk\Книги\Организация производства\Agile\Agile в государственном управлении.pdf","Agile в государственном управлении.pdf")</f>
        <v>Agile в государственном управлении.pdf</v>
      </c>
      <c r="O2060" s="3" t="s">
        <v>8204</v>
      </c>
    </row>
    <row r="2061" spans="1:15" ht="207" x14ac:dyDescent="0.3">
      <c r="A2061" s="4">
        <v>2060</v>
      </c>
      <c r="B2061" s="5" t="s">
        <v>8205</v>
      </c>
      <c r="C2061" s="5" t="s">
        <v>8206</v>
      </c>
      <c r="D2061" s="5" t="s">
        <v>71</v>
      </c>
      <c r="E2061" s="5" t="s">
        <v>1023</v>
      </c>
      <c r="F2061" s="5" t="s">
        <v>8174</v>
      </c>
      <c r="G2061" s="5" t="s">
        <v>8175</v>
      </c>
      <c r="H2061" s="5" t="s">
        <v>8176</v>
      </c>
      <c r="I2061" s="5" t="s">
        <v>20</v>
      </c>
      <c r="J2061" s="5">
        <v>2.5299999999999998</v>
      </c>
      <c r="K2061" s="5" t="s">
        <v>21</v>
      </c>
      <c r="L2061" s="5" t="s">
        <v>8207</v>
      </c>
      <c r="M2061" s="5" t="s">
        <v>8178</v>
      </c>
      <c r="N2061" s="7" t="str">
        <f>HYPERLINK("C:\Users\alexa\YandexDisk\Книги\Организация производства\Agile\Agile, который работает.pdf","Agile, который работает.pdf")</f>
        <v>Agile, который работает.pdf</v>
      </c>
      <c r="O2061" s="5" t="s">
        <v>8208</v>
      </c>
    </row>
    <row r="2062" spans="1:15" ht="165.6" x14ac:dyDescent="0.3">
      <c r="A2062" s="2">
        <v>2061</v>
      </c>
      <c r="B2062" s="3" t="s">
        <v>8209</v>
      </c>
      <c r="C2062" s="3" t="s">
        <v>8210</v>
      </c>
      <c r="D2062" s="3" t="s">
        <v>77</v>
      </c>
      <c r="E2062" s="3" t="s">
        <v>303</v>
      </c>
      <c r="F2062" s="3" t="s">
        <v>8174</v>
      </c>
      <c r="G2062" s="3" t="s">
        <v>8175</v>
      </c>
      <c r="H2062" s="3" t="s">
        <v>8176</v>
      </c>
      <c r="I2062" s="3" t="s">
        <v>280</v>
      </c>
      <c r="J2062" s="3">
        <v>2.75</v>
      </c>
      <c r="K2062" s="3" t="s">
        <v>21</v>
      </c>
      <c r="L2062" s="3" t="s">
        <v>8211</v>
      </c>
      <c r="M2062" s="3" t="s">
        <v>8178</v>
      </c>
      <c r="N2062" s="6" t="str">
        <f>HYPERLINK("C:\Users\alexa\YandexDisk\Книги\Организация производства\Agile\agile-testirovanie.epub","agile-testirovanie.epub")</f>
        <v>agile-testirovanie.epub</v>
      </c>
      <c r="O2062" s="3" t="s">
        <v>8212</v>
      </c>
    </row>
    <row r="2063" spans="1:15" ht="151.80000000000001" x14ac:dyDescent="0.3">
      <c r="A2063" s="4">
        <v>2062</v>
      </c>
      <c r="B2063" s="5" t="s">
        <v>8213</v>
      </c>
      <c r="C2063" s="5"/>
      <c r="D2063" s="5"/>
      <c r="E2063" s="5"/>
      <c r="F2063" s="5" t="s">
        <v>8174</v>
      </c>
      <c r="G2063" s="5" t="s">
        <v>8175</v>
      </c>
      <c r="H2063" s="5" t="s">
        <v>8176</v>
      </c>
      <c r="I2063" s="5" t="s">
        <v>6740</v>
      </c>
      <c r="J2063" s="5">
        <v>7.04</v>
      </c>
      <c r="K2063" s="5" t="s">
        <v>21</v>
      </c>
      <c r="L2063" s="5" t="s">
        <v>8214</v>
      </c>
      <c r="M2063" s="5" t="s">
        <v>8178</v>
      </c>
      <c r="N2063" s="7" t="str">
        <f>HYPERLINK("C:\Users\alexa\YandexDisk\Книги\Организация производства\Agile\agile-testirovanie.mobi","agile-testirovanie.mobi")</f>
        <v>agile-testirovanie.mobi</v>
      </c>
      <c r="O2063" s="5" t="s">
        <v>8215</v>
      </c>
    </row>
    <row r="2064" spans="1:15" ht="110.4" x14ac:dyDescent="0.3">
      <c r="A2064" s="2">
        <v>2063</v>
      </c>
      <c r="B2064" s="3" t="s">
        <v>8216</v>
      </c>
      <c r="C2064" s="3" t="s">
        <v>8217</v>
      </c>
      <c r="D2064" s="3" t="s">
        <v>71</v>
      </c>
      <c r="E2064" s="3" t="s">
        <v>8218</v>
      </c>
      <c r="F2064" s="3" t="s">
        <v>8174</v>
      </c>
      <c r="G2064" s="3" t="s">
        <v>8175</v>
      </c>
      <c r="H2064" s="3" t="s">
        <v>8176</v>
      </c>
      <c r="I2064" s="3" t="s">
        <v>20</v>
      </c>
      <c r="J2064" s="3">
        <v>11.42</v>
      </c>
      <c r="K2064" s="3" t="s">
        <v>21</v>
      </c>
      <c r="L2064" s="3" t="s">
        <v>8219</v>
      </c>
      <c r="M2064" s="3" t="s">
        <v>8178</v>
      </c>
      <c r="N2064" s="6" t="str">
        <f>HYPERLINK("C:\Users\alexa\YandexDisk\Книги\Организация производства\Agile\Agile. Основы.pdf","Agile. Основы.pdf")</f>
        <v>Agile. Основы.pdf</v>
      </c>
      <c r="O2064" s="3" t="s">
        <v>8220</v>
      </c>
    </row>
    <row r="2065" spans="1:15" ht="179.4" x14ac:dyDescent="0.3">
      <c r="A2065" s="4">
        <v>2064</v>
      </c>
      <c r="B2065" s="5" t="s">
        <v>8221</v>
      </c>
      <c r="C2065" s="5" t="s">
        <v>8222</v>
      </c>
      <c r="D2065" s="5" t="s">
        <v>71</v>
      </c>
      <c r="E2065" s="5" t="s">
        <v>205</v>
      </c>
      <c r="F2065" s="5" t="s">
        <v>8174</v>
      </c>
      <c r="G2065" s="5" t="s">
        <v>8175</v>
      </c>
      <c r="H2065" s="5" t="s">
        <v>8176</v>
      </c>
      <c r="I2065" s="5" t="s">
        <v>20</v>
      </c>
      <c r="J2065" s="5">
        <v>34.880000000000003</v>
      </c>
      <c r="K2065" s="5" t="s">
        <v>21</v>
      </c>
      <c r="L2065" s="5" t="s">
        <v>8223</v>
      </c>
      <c r="M2065" s="5" t="s">
        <v>8178</v>
      </c>
      <c r="N2065" s="7" t="str">
        <f>HYPERLINK("C:\Users\alexa\YandexDisk\Книги\Организация производства\Agile\Agile.Model-Based.Systems.Engineering.Cookbook.pdf","Agile.Model-Based.Systems.Engineering.Cookbook.pdf")</f>
        <v>Agile.Model-Based.Systems.Engineering.Cookbook.pdf</v>
      </c>
      <c r="O2065" s="5" t="s">
        <v>8224</v>
      </c>
    </row>
    <row r="2066" spans="1:15" ht="138" x14ac:dyDescent="0.3">
      <c r="A2066" s="2">
        <v>2065</v>
      </c>
      <c r="B2066" s="3" t="s">
        <v>8225</v>
      </c>
      <c r="C2066" s="3" t="s">
        <v>8226</v>
      </c>
      <c r="D2066" s="3" t="s">
        <v>17</v>
      </c>
      <c r="E2066" s="3" t="s">
        <v>372</v>
      </c>
      <c r="F2066" s="3" t="s">
        <v>8174</v>
      </c>
      <c r="G2066" s="3" t="s">
        <v>8175</v>
      </c>
      <c r="H2066" s="3" t="s">
        <v>8176</v>
      </c>
      <c r="I2066" s="3" t="s">
        <v>20</v>
      </c>
      <c r="J2066" s="3">
        <v>7.46</v>
      </c>
      <c r="K2066" s="3" t="s">
        <v>21</v>
      </c>
      <c r="L2066" s="3" t="s">
        <v>8227</v>
      </c>
      <c r="M2066" s="3" t="s">
        <v>8178</v>
      </c>
      <c r="N2066" s="6" t="str">
        <f>HYPERLINK("C:\Users\alexa\YandexDisk\Книги\Организация производства\Agile\AGILE_in_Practice_Practical_Use_cases_on_Project_Management_Methods.pdf","AGILE_in_Practice_Practical_Use_cases_on_Project_Management_Methods.pdf")</f>
        <v>AGILE_in_Practice_Practical_Use_cases_on_Project_Management_Methods.pdf</v>
      </c>
      <c r="O2066" s="3" t="s">
        <v>8228</v>
      </c>
    </row>
    <row r="2067" spans="1:15" ht="220.8" x14ac:dyDescent="0.3">
      <c r="A2067" s="4">
        <v>2066</v>
      </c>
      <c r="B2067" s="5" t="s">
        <v>8229</v>
      </c>
      <c r="C2067" s="5" t="s">
        <v>8230</v>
      </c>
      <c r="D2067" s="5" t="s">
        <v>17</v>
      </c>
      <c r="E2067" s="5" t="s">
        <v>1023</v>
      </c>
      <c r="F2067" s="5" t="s">
        <v>8174</v>
      </c>
      <c r="G2067" s="5" t="s">
        <v>8175</v>
      </c>
      <c r="H2067" s="5" t="s">
        <v>8176</v>
      </c>
      <c r="I2067" s="5" t="s">
        <v>20</v>
      </c>
      <c r="J2067" s="5">
        <v>4.63</v>
      </c>
      <c r="K2067" s="5" t="s">
        <v>21</v>
      </c>
      <c r="L2067" s="5" t="s">
        <v>8231</v>
      </c>
      <c r="M2067" s="5" t="s">
        <v>8178</v>
      </c>
      <c r="N2067" s="7" t="str">
        <f>HYPERLINK("C:\Users\alexa\YandexDisk\Книги\Организация производства\Agile\Agile_трансформация_Готовый_план_перехода_к_гибкой_бизнес_м.pdf","Agile_трансформация_Готовый_план_перехода_к_гибкой_бизнес_м.pdf")</f>
        <v>Agile_трансформация_Готовый_план_перехода_к_гибкой_бизнес_м.pdf</v>
      </c>
      <c r="O2067" s="5" t="s">
        <v>8232</v>
      </c>
    </row>
    <row r="2068" spans="1:15" ht="165.6" x14ac:dyDescent="0.3">
      <c r="A2068" s="2">
        <v>2067</v>
      </c>
      <c r="B2068" s="3" t="s">
        <v>8233</v>
      </c>
      <c r="C2068" s="3" t="s">
        <v>8234</v>
      </c>
      <c r="D2068" s="3" t="s">
        <v>77</v>
      </c>
      <c r="E2068" s="3"/>
      <c r="F2068" s="3" t="s">
        <v>8174</v>
      </c>
      <c r="G2068" s="3" t="s">
        <v>8175</v>
      </c>
      <c r="H2068" s="3" t="s">
        <v>8176</v>
      </c>
      <c r="I2068" s="3" t="s">
        <v>20</v>
      </c>
      <c r="J2068" s="3">
        <v>18.82</v>
      </c>
      <c r="K2068" s="3" t="s">
        <v>21</v>
      </c>
      <c r="L2068" s="3" t="s">
        <v>8235</v>
      </c>
      <c r="M2068" s="3" t="s">
        <v>8178</v>
      </c>
      <c r="N2068" s="6" t="str">
        <f>HYPERLINK("C:\Users\alexa\YandexDisk\Книги\Организация производства\Agile\Book_agile_747400.pdf","Book_agile_747400.pdf")</f>
        <v>Book_agile_747400.pdf</v>
      </c>
      <c r="O2068" s="3" t="s">
        <v>8236</v>
      </c>
    </row>
    <row r="2069" spans="1:15" ht="179.4" x14ac:dyDescent="0.3">
      <c r="A2069" s="4">
        <v>2068</v>
      </c>
      <c r="B2069" s="5" t="s">
        <v>8237</v>
      </c>
      <c r="C2069" s="5" t="s">
        <v>8238</v>
      </c>
      <c r="D2069" s="5" t="s">
        <v>77</v>
      </c>
      <c r="E2069" s="5"/>
      <c r="F2069" s="5" t="s">
        <v>8174</v>
      </c>
      <c r="G2069" s="5" t="s">
        <v>8175</v>
      </c>
      <c r="H2069" s="5" t="s">
        <v>8176</v>
      </c>
      <c r="I2069" s="5" t="s">
        <v>20</v>
      </c>
      <c r="J2069" s="5">
        <v>12.12</v>
      </c>
      <c r="K2069" s="5" t="s">
        <v>21</v>
      </c>
      <c r="L2069" s="5" t="s">
        <v>8239</v>
      </c>
      <c r="M2069" s="5" t="s">
        <v>8178</v>
      </c>
      <c r="N2069" s="7" t="str">
        <f>HYPERLINK("C:\Users\alexa\YandexDisk\Книги\Организация производства\Agile\cleverics_12_steps_to_flow.pdf","cleverics_12_steps_to_flow.pdf")</f>
        <v>cleverics_12_steps_to_flow.pdf</v>
      </c>
      <c r="O2069" s="5" t="s">
        <v>8240</v>
      </c>
    </row>
    <row r="2070" spans="1:15" ht="193.2" x14ac:dyDescent="0.3">
      <c r="A2070" s="2">
        <v>2069</v>
      </c>
      <c r="B2070" s="3" t="s">
        <v>8241</v>
      </c>
      <c r="C2070" s="3" t="s">
        <v>8242</v>
      </c>
      <c r="D2070" s="3" t="s">
        <v>77</v>
      </c>
      <c r="E2070" s="3" t="s">
        <v>8243</v>
      </c>
      <c r="F2070" s="3" t="s">
        <v>8174</v>
      </c>
      <c r="G2070" s="3" t="s">
        <v>8175</v>
      </c>
      <c r="H2070" s="3" t="s">
        <v>8176</v>
      </c>
      <c r="I2070" s="3" t="s">
        <v>20</v>
      </c>
      <c r="J2070" s="3">
        <v>2.87</v>
      </c>
      <c r="K2070" s="3" t="s">
        <v>21</v>
      </c>
      <c r="L2070" s="3" t="s">
        <v>8244</v>
      </c>
      <c r="M2070" s="3" t="s">
        <v>8178</v>
      </c>
      <c r="N2070" s="6" t="str">
        <f>HYPERLINK("C:\Users\alexa\YandexDisk\Книги\Организация производства\Agile\Denning_S._Yepoha_Agile.a4.pdf","Denning_S._Yepoha_Agile.a4.pdf")</f>
        <v>Denning_S._Yepoha_Agile.a4.pdf</v>
      </c>
      <c r="O2070" s="3" t="s">
        <v>8245</v>
      </c>
    </row>
    <row r="2071" spans="1:15" ht="193.2" x14ac:dyDescent="0.3">
      <c r="A2071" s="4">
        <v>2070</v>
      </c>
      <c r="B2071" s="5" t="s">
        <v>8246</v>
      </c>
      <c r="C2071" s="5" t="s">
        <v>8247</v>
      </c>
      <c r="D2071" s="5" t="s">
        <v>8248</v>
      </c>
      <c r="E2071" s="5" t="s">
        <v>8249</v>
      </c>
      <c r="F2071" s="5" t="s">
        <v>8174</v>
      </c>
      <c r="G2071" s="5" t="s">
        <v>8175</v>
      </c>
      <c r="H2071" s="5" t="s">
        <v>8176</v>
      </c>
      <c r="I2071" s="5" t="s">
        <v>20</v>
      </c>
      <c r="J2071" s="5">
        <v>0.46</v>
      </c>
      <c r="K2071" s="5" t="s">
        <v>21</v>
      </c>
      <c r="L2071" s="5" t="s">
        <v>8250</v>
      </c>
      <c r="M2071" s="5" t="s">
        <v>8178</v>
      </c>
      <c r="N2071" s="7" t="str">
        <f>HYPERLINK("C:\Users\alexa\YandexDisk\Книги\Организация производства\Agile\extreme programming explained.pdf","extreme programming explained.pdf")</f>
        <v>extreme programming explained.pdf</v>
      </c>
      <c r="O2071" s="5" t="s">
        <v>8251</v>
      </c>
    </row>
    <row r="2072" spans="1:15" ht="207" x14ac:dyDescent="0.3">
      <c r="A2072" s="2">
        <v>2071</v>
      </c>
      <c r="B2072" s="3" t="s">
        <v>8252</v>
      </c>
      <c r="C2072" s="3" t="s">
        <v>8253</v>
      </c>
      <c r="D2072" s="3" t="s">
        <v>172</v>
      </c>
      <c r="E2072" s="3" t="s">
        <v>3083</v>
      </c>
      <c r="F2072" s="3" t="s">
        <v>8174</v>
      </c>
      <c r="G2072" s="3" t="s">
        <v>8175</v>
      </c>
      <c r="H2072" s="3" t="s">
        <v>8176</v>
      </c>
      <c r="I2072" s="3" t="s">
        <v>20</v>
      </c>
      <c r="J2072" s="3">
        <v>3.79</v>
      </c>
      <c r="K2072" s="3" t="s">
        <v>21</v>
      </c>
      <c r="L2072" s="3" t="s">
        <v>8254</v>
      </c>
      <c r="M2072" s="3" t="s">
        <v>8178</v>
      </c>
      <c r="N2072" s="6" t="str">
        <f>HYPERLINK("C:\Users\alexa\YandexDisk\Книги\Организация производства\Agile\Kon_M._Agile_Ocenka_I_Planirovan.a4.pdf","Kon_M._Agile_Ocenka_I_Planirovan.a4.pdf")</f>
        <v>Kon_M._Agile_Ocenka_I_Planirovan.a4.pdf</v>
      </c>
      <c r="O2072" s="3" t="s">
        <v>8255</v>
      </c>
    </row>
    <row r="2073" spans="1:15" ht="179.4" x14ac:dyDescent="0.3">
      <c r="A2073" s="4">
        <v>2072</v>
      </c>
      <c r="B2073" s="5" t="s">
        <v>8256</v>
      </c>
      <c r="C2073" s="5" t="s">
        <v>6754</v>
      </c>
      <c r="D2073" s="5"/>
      <c r="E2073" s="5" t="s">
        <v>92</v>
      </c>
      <c r="F2073" s="5" t="s">
        <v>8174</v>
      </c>
      <c r="G2073" s="5" t="s">
        <v>8175</v>
      </c>
      <c r="H2073" s="5" t="s">
        <v>8176</v>
      </c>
      <c r="I2073" s="5" t="s">
        <v>20</v>
      </c>
      <c r="J2073" s="5">
        <v>8.31</v>
      </c>
      <c r="K2073" s="5" t="s">
        <v>21</v>
      </c>
      <c r="L2073" s="5" t="s">
        <v>8257</v>
      </c>
      <c r="M2073" s="5" t="s">
        <v>8178</v>
      </c>
      <c r="N2073" s="7" t="str">
        <f>HYPERLINK("C:\Users\alexa\YandexDisk\Книги\Организация производства\Agile\management_3_0_leading_agile_developers_developing.pdf","management_3_0_leading_agile_developers_developing.pdf")</f>
        <v>management_3_0_leading_agile_developers_developing.pdf</v>
      </c>
      <c r="O2073" s="5" t="s">
        <v>8258</v>
      </c>
    </row>
    <row r="2074" spans="1:15" ht="207" x14ac:dyDescent="0.3">
      <c r="A2074" s="2">
        <v>2073</v>
      </c>
      <c r="B2074" s="3" t="s">
        <v>8188</v>
      </c>
      <c r="C2074" s="3" t="s">
        <v>8189</v>
      </c>
      <c r="D2074" s="3" t="s">
        <v>17</v>
      </c>
      <c r="E2074" s="3" t="s">
        <v>1023</v>
      </c>
      <c r="F2074" s="3" t="s">
        <v>8174</v>
      </c>
      <c r="G2074" s="3" t="s">
        <v>8175</v>
      </c>
      <c r="H2074" s="3" t="s">
        <v>8176</v>
      </c>
      <c r="I2074" s="3" t="s">
        <v>20</v>
      </c>
      <c r="J2074" s="3">
        <v>2.4500000000000002</v>
      </c>
      <c r="K2074" s="3" t="s">
        <v>21</v>
      </c>
      <c r="L2074" s="3" t="s">
        <v>8259</v>
      </c>
      <c r="M2074" s="3" t="s">
        <v>8178</v>
      </c>
      <c r="N2074" s="6" t="str">
        <f>HYPERLINK("C:\Users\alexa\YandexDisk\Книги\Организация производства\Agile\Mihaylenko_Vremya-byt-Agile.653375 (1).pdf.pdf","Mihaylenko_Vremya-byt-Agile.653375 (1).pdf.pdf")</f>
        <v>Mihaylenko_Vremya-byt-Agile.653375 (1).pdf.pdf</v>
      </c>
      <c r="O2074" s="3" t="s">
        <v>8260</v>
      </c>
    </row>
    <row r="2075" spans="1:15" ht="165.6" x14ac:dyDescent="0.3">
      <c r="A2075" s="4">
        <v>2074</v>
      </c>
      <c r="B2075" s="5" t="s">
        <v>8261</v>
      </c>
      <c r="C2075" s="5" t="s">
        <v>8262</v>
      </c>
      <c r="D2075" s="5" t="s">
        <v>65</v>
      </c>
      <c r="E2075" s="5" t="s">
        <v>8043</v>
      </c>
      <c r="F2075" s="5" t="s">
        <v>8174</v>
      </c>
      <c r="G2075" s="5" t="s">
        <v>8175</v>
      </c>
      <c r="H2075" s="5" t="s">
        <v>8176</v>
      </c>
      <c r="I2075" s="5" t="s">
        <v>20</v>
      </c>
      <c r="J2075" s="5">
        <v>10.02</v>
      </c>
      <c r="K2075" s="5" t="s">
        <v>21</v>
      </c>
      <c r="L2075" s="5" t="s">
        <v>8263</v>
      </c>
      <c r="M2075" s="5" t="s">
        <v>8178</v>
      </c>
      <c r="N2075" s="7" t="str">
        <f>HYPERLINK("C:\Users\alexa\YandexDisk\Книги\Организация производства\Agile\pol_zovatel_skie_istorii_gibkaya_razrabotka_programmno.pdf","pol_zovatel_skie_istorii_gibkaya_razrabotka_programmno.pdf")</f>
        <v>pol_zovatel_skie_istorii_gibkaya_razrabotka_programmno.pdf</v>
      </c>
      <c r="O2075" s="5" t="s">
        <v>8264</v>
      </c>
    </row>
    <row r="2076" spans="1:15" ht="234.6" x14ac:dyDescent="0.3">
      <c r="A2076" s="2">
        <v>2075</v>
      </c>
      <c r="B2076" s="3" t="s">
        <v>8265</v>
      </c>
      <c r="C2076" s="3" t="s">
        <v>8266</v>
      </c>
      <c r="D2076" s="3" t="s">
        <v>2624</v>
      </c>
      <c r="E2076" s="3" t="s">
        <v>8267</v>
      </c>
      <c r="F2076" s="3" t="s">
        <v>8174</v>
      </c>
      <c r="G2076" s="3" t="s">
        <v>8175</v>
      </c>
      <c r="H2076" s="3" t="s">
        <v>8176</v>
      </c>
      <c r="I2076" s="3" t="s">
        <v>20</v>
      </c>
      <c r="J2076" s="3">
        <v>2.21</v>
      </c>
      <c r="K2076" s="3" t="s">
        <v>21</v>
      </c>
      <c r="L2076" s="3" t="s">
        <v>8268</v>
      </c>
      <c r="M2076" s="3" t="s">
        <v>8178</v>
      </c>
      <c r="N2076" s="6" t="str">
        <f>HYPERLINK("C:\Users\alexa\YandexDisk\Книги\Организация производства\Agile\User-Story-Primer.pdf","User-Story-Primer.pdf")</f>
        <v>User-Story-Primer.pdf</v>
      </c>
      <c r="O2076" s="3" t="s">
        <v>8269</v>
      </c>
    </row>
    <row r="2077" spans="1:15" ht="179.4" x14ac:dyDescent="0.3">
      <c r="A2077" s="4">
        <v>2076</v>
      </c>
      <c r="B2077" s="5" t="s">
        <v>8270</v>
      </c>
      <c r="C2077" s="5" t="s">
        <v>8271</v>
      </c>
      <c r="D2077" s="5" t="s">
        <v>77</v>
      </c>
      <c r="E2077" s="5" t="s">
        <v>18</v>
      </c>
      <c r="F2077" s="5" t="s">
        <v>8174</v>
      </c>
      <c r="G2077" s="5" t="s">
        <v>8175</v>
      </c>
      <c r="H2077" s="5" t="s">
        <v>8176</v>
      </c>
      <c r="I2077" s="5" t="s">
        <v>20</v>
      </c>
      <c r="J2077" s="5">
        <v>3.46</v>
      </c>
      <c r="K2077" s="5" t="s">
        <v>21</v>
      </c>
      <c r="L2077" s="5" t="s">
        <v>8272</v>
      </c>
      <c r="M2077" s="5" t="s">
        <v>8178</v>
      </c>
      <c r="N2077" s="7" t="str">
        <f>HYPERLINK("C:\Users\alexa\YandexDisk\Книги\Организация производства\Agile\Блистательный_Agile_IT_для_бизнеса_2019.pdf","Блистательный_Agile_IT_для_бизнеса_2019.pdf")</f>
        <v>Блистательный_Agile_IT_для_бизнеса_2019.pdf</v>
      </c>
      <c r="O2077" s="5" t="s">
        <v>8273</v>
      </c>
    </row>
    <row r="2078" spans="1:15" ht="207" x14ac:dyDescent="0.3">
      <c r="A2078" s="2">
        <v>2077</v>
      </c>
      <c r="B2078" s="3" t="s">
        <v>8188</v>
      </c>
      <c r="C2078" s="3" t="s">
        <v>8189</v>
      </c>
      <c r="D2078" s="3" t="s">
        <v>17</v>
      </c>
      <c r="E2078" s="3" t="s">
        <v>1023</v>
      </c>
      <c r="F2078" s="3" t="s">
        <v>8174</v>
      </c>
      <c r="G2078" s="3" t="s">
        <v>8175</v>
      </c>
      <c r="H2078" s="3" t="s">
        <v>8176</v>
      </c>
      <c r="I2078" s="3" t="s">
        <v>20</v>
      </c>
      <c r="J2078" s="3">
        <v>2.41</v>
      </c>
      <c r="K2078" s="3" t="s">
        <v>21</v>
      </c>
      <c r="L2078" s="3" t="s">
        <v>8274</v>
      </c>
      <c r="M2078" s="3" t="s">
        <v>8178</v>
      </c>
      <c r="N2078" s="6" t="str">
        <f>HYPERLINK("C:\Users\alexa\YandexDisk\Книги\Организация производства\Agile\Время быть Agile.pdf","Время быть Agile.pdf")</f>
        <v>Время быть Agile.pdf</v>
      </c>
      <c r="O2078" s="3" t="s">
        <v>8275</v>
      </c>
    </row>
    <row r="2079" spans="1:15" ht="179.4" x14ac:dyDescent="0.3">
      <c r="A2079" s="4">
        <v>2078</v>
      </c>
      <c r="B2079" s="5" t="s">
        <v>8276</v>
      </c>
      <c r="C2079" s="5" t="s">
        <v>8277</v>
      </c>
      <c r="D2079" s="5"/>
      <c r="E2079" s="5"/>
      <c r="F2079" s="5" t="s">
        <v>8174</v>
      </c>
      <c r="G2079" s="5" t="s">
        <v>8175</v>
      </c>
      <c r="H2079" s="5" t="s">
        <v>8176</v>
      </c>
      <c r="I2079" s="5" t="s">
        <v>20</v>
      </c>
      <c r="J2079" s="5">
        <v>2.78</v>
      </c>
      <c r="K2079" s="5" t="s">
        <v>21</v>
      </c>
      <c r="L2079" s="5" t="s">
        <v>8278</v>
      </c>
      <c r="M2079" s="5" t="s">
        <v>8178</v>
      </c>
      <c r="N2079" s="7" t="str">
        <f>HYPERLINK("C:\Users\alexa\YandexDisk\Книги\Организация производства\Agile\Гибкие методологии разработки.pdf","Гибкие методологии разработки.pdf")</f>
        <v>Гибкие методологии разработки.pdf</v>
      </c>
      <c r="O2079" s="5" t="s">
        <v>8279</v>
      </c>
    </row>
    <row r="2080" spans="1:15" ht="179.4" x14ac:dyDescent="0.3">
      <c r="A2080" s="2">
        <v>2079</v>
      </c>
      <c r="B2080" s="3" t="s">
        <v>8280</v>
      </c>
      <c r="C2080" s="3" t="s">
        <v>8210</v>
      </c>
      <c r="D2080" s="3" t="s">
        <v>77</v>
      </c>
      <c r="E2080" s="3" t="s">
        <v>303</v>
      </c>
      <c r="F2080" s="3" t="s">
        <v>8174</v>
      </c>
      <c r="G2080" s="3" t="s">
        <v>8175</v>
      </c>
      <c r="H2080" s="3" t="s">
        <v>8176</v>
      </c>
      <c r="I2080" s="3" t="s">
        <v>20</v>
      </c>
      <c r="J2080" s="3">
        <v>4.3899999999999997</v>
      </c>
      <c r="K2080" s="3" t="s">
        <v>21</v>
      </c>
      <c r="L2080" s="3" t="s">
        <v>8281</v>
      </c>
      <c r="M2080" s="3" t="s">
        <v>8178</v>
      </c>
      <c r="N2080" s="6" t="str">
        <f>HYPERLINK("C:\Users\alexa\YandexDisk\Книги\Организация производства\Agile\Джанет_Грегори,_Лайза_Криспин_Agile_тестирование_Обучающий_курс.pdf","Джанет_Грегори,_Лайза_Криспин_Agile_тестирование_Обучающий_курс.pdf")</f>
        <v>Джанет_Грегори,_Лайза_Криспин_Agile_тестирование_Обучающий_курс.pdf</v>
      </c>
      <c r="O2080" s="3" t="s">
        <v>8282</v>
      </c>
    </row>
    <row r="2081" spans="1:15" ht="207" x14ac:dyDescent="0.3">
      <c r="A2081" s="4">
        <v>2080</v>
      </c>
      <c r="B2081" s="5" t="s">
        <v>8283</v>
      </c>
      <c r="C2081" s="5" t="s">
        <v>8284</v>
      </c>
      <c r="D2081" s="5" t="s">
        <v>17</v>
      </c>
      <c r="E2081" s="5" t="s">
        <v>18</v>
      </c>
      <c r="F2081" s="5" t="s">
        <v>8174</v>
      </c>
      <c r="G2081" s="5" t="s">
        <v>8175</v>
      </c>
      <c r="H2081" s="5" t="s">
        <v>8176</v>
      </c>
      <c r="I2081" s="5" t="s">
        <v>20</v>
      </c>
      <c r="J2081" s="5">
        <v>10.31</v>
      </c>
      <c r="K2081" s="5" t="s">
        <v>21</v>
      </c>
      <c r="L2081" s="5" t="s">
        <v>8285</v>
      </c>
      <c r="M2081" s="5" t="s">
        <v>8178</v>
      </c>
      <c r="N2081" s="7" t="str">
        <f>HYPERLINK("C:\Users\alexa\YandexDisk\Книги\Организация производства\Agile\Еще_более_эффективный_Agile_2021_Стив_Макконнелл.pdf","Еще_более_эффективный_Agile_2021_Стив_Макконнелл.pdf")</f>
        <v>Еще_более_эффективный_Agile_2021_Стив_Макконнелл.pdf</v>
      </c>
      <c r="O2081" s="5" t="s">
        <v>8286</v>
      </c>
    </row>
    <row r="2082" spans="1:15" ht="207" x14ac:dyDescent="0.3">
      <c r="A2082" s="2">
        <v>2081</v>
      </c>
      <c r="B2082" s="3" t="s">
        <v>8287</v>
      </c>
      <c r="C2082" s="3" t="s">
        <v>8288</v>
      </c>
      <c r="D2082" s="3" t="s">
        <v>109</v>
      </c>
      <c r="E2082" s="3" t="s">
        <v>18</v>
      </c>
      <c r="F2082" s="3" t="s">
        <v>8174</v>
      </c>
      <c r="G2082" s="3" t="s">
        <v>8175</v>
      </c>
      <c r="H2082" s="3" t="s">
        <v>8176</v>
      </c>
      <c r="I2082" s="3" t="s">
        <v>20</v>
      </c>
      <c r="J2082" s="3">
        <v>8.81</v>
      </c>
      <c r="K2082" s="3" t="s">
        <v>21</v>
      </c>
      <c r="L2082" s="3" t="s">
        <v>8289</v>
      </c>
      <c r="M2082" s="3" t="s">
        <v>8178</v>
      </c>
      <c r="N2082" s="6" t="str">
        <f>HYPERLINK("C:\Users\alexa\YandexDisk\Книги\Организация производства\Agile\Искусство Agile-разработки.pdf","Искусство Agile-разработки.pdf")</f>
        <v>Искусство Agile-разработки.pdf</v>
      </c>
      <c r="O2082" s="3" t="s">
        <v>8290</v>
      </c>
    </row>
    <row r="2083" spans="1:15" ht="151.80000000000001" x14ac:dyDescent="0.3">
      <c r="A2083" s="4">
        <v>2082</v>
      </c>
      <c r="B2083" s="5" t="s">
        <v>8252</v>
      </c>
      <c r="C2083" s="5" t="s">
        <v>8253</v>
      </c>
      <c r="D2083" s="5" t="s">
        <v>32</v>
      </c>
      <c r="E2083" s="5" t="s">
        <v>1416</v>
      </c>
      <c r="F2083" s="5" t="s">
        <v>8174</v>
      </c>
      <c r="G2083" s="5" t="s">
        <v>8175</v>
      </c>
      <c r="H2083" s="5" t="s">
        <v>8176</v>
      </c>
      <c r="I2083" s="5" t="s">
        <v>20</v>
      </c>
      <c r="J2083" s="5">
        <v>6.41</v>
      </c>
      <c r="K2083" s="5" t="s">
        <v>21</v>
      </c>
      <c r="L2083" s="5" t="s">
        <v>8291</v>
      </c>
      <c r="M2083" s="5" t="s">
        <v>8178</v>
      </c>
      <c r="N2083" s="7" t="str">
        <f>HYPERLINK("C:\Users\alexa\YandexDisk\Книги\Организация производства\Agile\Кон Agile_оценка_и_планирование_проектов.pdf","Кон Agile_оценка_и_планирование_проектов.pdf")</f>
        <v>Кон Agile_оценка_и_планирование_проектов.pdf</v>
      </c>
      <c r="O2083" s="5" t="s">
        <v>8292</v>
      </c>
    </row>
    <row r="2084" spans="1:15" ht="193.2" x14ac:dyDescent="0.3">
      <c r="A2084" s="2">
        <v>2083</v>
      </c>
      <c r="B2084" s="3" t="s">
        <v>8261</v>
      </c>
      <c r="C2084" s="3" t="s">
        <v>8262</v>
      </c>
      <c r="D2084" s="3" t="s">
        <v>65</v>
      </c>
      <c r="E2084" s="3" t="s">
        <v>8043</v>
      </c>
      <c r="F2084" s="3" t="s">
        <v>8174</v>
      </c>
      <c r="G2084" s="3" t="s">
        <v>8175</v>
      </c>
      <c r="H2084" s="3" t="s">
        <v>8176</v>
      </c>
      <c r="I2084" s="3" t="s">
        <v>20</v>
      </c>
      <c r="J2084" s="3">
        <v>9.8800000000000008</v>
      </c>
      <c r="K2084" s="3" t="s">
        <v>21</v>
      </c>
      <c r="L2084" s="3" t="s">
        <v>8293</v>
      </c>
      <c r="M2084" s="3" t="s">
        <v>8178</v>
      </c>
      <c r="N2084" s="6" t="str">
        <f>HYPERLINK("C:\Users\alexa\YandexDisk\Книги\Организация производства\Agile\Пользовательские_истории_Гибкая_разработка_ПО.pdf","Пользовательские_истории_Гибкая_разработка_ПО.pdf")</f>
        <v>Пользовательские_истории_Гибкая_разработка_ПО.pdf</v>
      </c>
      <c r="O2084" s="3" t="s">
        <v>8294</v>
      </c>
    </row>
    <row r="2085" spans="1:15" ht="151.80000000000001" x14ac:dyDescent="0.3">
      <c r="A2085" s="4">
        <v>2084</v>
      </c>
      <c r="B2085" s="5" t="s">
        <v>8295</v>
      </c>
      <c r="C2085" s="5" t="s">
        <v>8296</v>
      </c>
      <c r="D2085" s="5"/>
      <c r="E2085" s="5"/>
      <c r="F2085" s="5" t="s">
        <v>8174</v>
      </c>
      <c r="G2085" s="5" t="s">
        <v>8175</v>
      </c>
      <c r="H2085" s="5" t="s">
        <v>8176</v>
      </c>
      <c r="I2085" s="5" t="s">
        <v>20</v>
      </c>
      <c r="J2085" s="5">
        <v>9.0399999999999991</v>
      </c>
      <c r="K2085" s="5" t="s">
        <v>21</v>
      </c>
      <c r="L2085" s="5" t="s">
        <v>8297</v>
      </c>
      <c r="M2085" s="5" t="s">
        <v>8178</v>
      </c>
      <c r="N2085" s="7" t="str">
        <f>HYPERLINK("C:\Users\alexa\YandexDisk\Книги\Организация производства\Agile\Постигая Agile.pdf","Постигая Agile.pdf")</f>
        <v>Постигая Agile.pdf</v>
      </c>
      <c r="O2085" s="5" t="s">
        <v>8298</v>
      </c>
    </row>
    <row r="2086" spans="1:15" ht="179.4" x14ac:dyDescent="0.3">
      <c r="A2086" s="2">
        <v>2085</v>
      </c>
      <c r="B2086" s="3" t="s">
        <v>8299</v>
      </c>
      <c r="C2086" s="3" t="s">
        <v>8300</v>
      </c>
      <c r="D2086" s="3" t="s">
        <v>161</v>
      </c>
      <c r="E2086" s="3"/>
      <c r="F2086" s="3" t="s">
        <v>8174</v>
      </c>
      <c r="G2086" s="3" t="s">
        <v>8175</v>
      </c>
      <c r="H2086" s="3" t="s">
        <v>8176</v>
      </c>
      <c r="I2086" s="3" t="s">
        <v>20</v>
      </c>
      <c r="J2086" s="3">
        <v>4.04</v>
      </c>
      <c r="K2086" s="3" t="s">
        <v>21</v>
      </c>
      <c r="L2086" s="3" t="s">
        <v>8301</v>
      </c>
      <c r="M2086" s="3" t="s">
        <v>8178</v>
      </c>
      <c r="N2086" s="6" t="str">
        <f>HYPERLINK("C:\Users\alexa\YandexDisk\Книги\Организация производства\Agile\Презентация- Леффингвелл - 2004.pdf","Презентация- Леффингвелл - 2004.pdf")</f>
        <v>Презентация- Леффингвелл - 2004.pdf</v>
      </c>
      <c r="O2086" s="3" t="s">
        <v>8302</v>
      </c>
    </row>
    <row r="2087" spans="1:15" ht="193.2" x14ac:dyDescent="0.3">
      <c r="A2087" s="4">
        <v>2086</v>
      </c>
      <c r="B2087" s="5" t="s">
        <v>8303</v>
      </c>
      <c r="C2087" s="5" t="s">
        <v>8304</v>
      </c>
      <c r="D2087" s="5" t="s">
        <v>2824</v>
      </c>
      <c r="E2087" s="5" t="s">
        <v>92</v>
      </c>
      <c r="F2087" s="5" t="s">
        <v>8174</v>
      </c>
      <c r="G2087" s="5" t="s">
        <v>8175</v>
      </c>
      <c r="H2087" s="5" t="s">
        <v>8176</v>
      </c>
      <c r="I2087" s="5" t="s">
        <v>20</v>
      </c>
      <c r="J2087" s="5">
        <v>25.03</v>
      </c>
      <c r="K2087" s="5" t="s">
        <v>21</v>
      </c>
      <c r="L2087" s="5" t="s">
        <v>8305</v>
      </c>
      <c r="M2087" s="5" t="s">
        <v>8178</v>
      </c>
      <c r="N2087" s="7" t="str">
        <f>HYPERLINK("C:\Users\alexa\YandexDisk\Книги\Организация производства\Agile\Принципы_работы_с_требованиями_Леффингуэлл.pdf","Принципы_работы_с_требованиями_Леффингуэлл.pdf")</f>
        <v>Принципы_работы_с_требованиями_Леффингуэлл.pdf</v>
      </c>
      <c r="O2087" s="5" t="s">
        <v>8306</v>
      </c>
    </row>
    <row r="2088" spans="1:15" ht="165.6" x14ac:dyDescent="0.3">
      <c r="A2088" s="2">
        <v>2087</v>
      </c>
      <c r="B2088" s="3" t="s">
        <v>8307</v>
      </c>
      <c r="C2088" s="3" t="s">
        <v>8308</v>
      </c>
      <c r="D2088" s="3" t="s">
        <v>59</v>
      </c>
      <c r="E2088" s="3" t="s">
        <v>303</v>
      </c>
      <c r="F2088" s="3" t="s">
        <v>8174</v>
      </c>
      <c r="G2088" s="3" t="s">
        <v>8175</v>
      </c>
      <c r="H2088" s="3" t="s">
        <v>8176</v>
      </c>
      <c r="I2088" s="3" t="s">
        <v>20</v>
      </c>
      <c r="J2088" s="3">
        <v>9.89</v>
      </c>
      <c r="K2088" s="3" t="s">
        <v>21</v>
      </c>
      <c r="L2088" s="3" t="s">
        <v>8309</v>
      </c>
      <c r="M2088" s="3" t="s">
        <v>8178</v>
      </c>
      <c r="N2088" s="6" t="str">
        <f>HYPERLINK("C:\Users\alexa\YandexDisk\Книги\Организация производства\Agile\Ретроспектива в Agile - 2020.pdf","Ретроспектива в Agile - 2020.pdf")</f>
        <v>Ретроспектива в Agile - 2020.pdf</v>
      </c>
      <c r="O2088" s="3" t="s">
        <v>8310</v>
      </c>
    </row>
    <row r="2089" spans="1:15" ht="207" x14ac:dyDescent="0.3">
      <c r="A2089" s="4">
        <v>2088</v>
      </c>
      <c r="B2089" s="5" t="s">
        <v>8205</v>
      </c>
      <c r="C2089" s="5" t="s">
        <v>8206</v>
      </c>
      <c r="D2089" s="5" t="s">
        <v>71</v>
      </c>
      <c r="E2089" s="5" t="s">
        <v>1023</v>
      </c>
      <c r="F2089" s="5" t="s">
        <v>8174</v>
      </c>
      <c r="G2089" s="5" t="s">
        <v>8175</v>
      </c>
      <c r="H2089" s="5" t="s">
        <v>8176</v>
      </c>
      <c r="I2089" s="5" t="s">
        <v>20</v>
      </c>
      <c r="J2089" s="5">
        <v>2.5299999999999998</v>
      </c>
      <c r="K2089" s="5" t="s">
        <v>21</v>
      </c>
      <c r="L2089" s="5" t="s">
        <v>8311</v>
      </c>
      <c r="M2089" s="5" t="s">
        <v>8178</v>
      </c>
      <c r="N2089" s="7" t="str">
        <f>HYPERLINK("C:\Users\alexa\YandexDisk\Книги\Организация производства\Agile\Сара_Элк,_Даррелл_Ригби,_Стив_Берез_Agile,_который_работает_Как.pdf","Сара_Элк,_Даррелл_Ригби,_Стив_Берез_Agile,_который_работает_Как.pdf")</f>
        <v>Сара_Элк,_Даррелл_Ригби,_Стив_Берез_Agile,_который_работает_Как.pdf</v>
      </c>
      <c r="O2089" s="5" t="s">
        <v>8312</v>
      </c>
    </row>
    <row r="2090" spans="1:15" ht="193.2" x14ac:dyDescent="0.3">
      <c r="A2090" s="2">
        <v>2089</v>
      </c>
      <c r="B2090" s="3" t="s">
        <v>8313</v>
      </c>
      <c r="C2090" s="3" t="s">
        <v>8314</v>
      </c>
      <c r="D2090" s="3" t="s">
        <v>77</v>
      </c>
      <c r="E2090" s="3" t="s">
        <v>18</v>
      </c>
      <c r="F2090" s="3" t="s">
        <v>8174</v>
      </c>
      <c r="G2090" s="3" t="s">
        <v>8175</v>
      </c>
      <c r="H2090" s="3" t="s">
        <v>8176</v>
      </c>
      <c r="I2090" s="3" t="s">
        <v>20</v>
      </c>
      <c r="J2090" s="3">
        <v>27.99</v>
      </c>
      <c r="K2090" s="3" t="s">
        <v>21</v>
      </c>
      <c r="L2090" s="3" t="s">
        <v>8315</v>
      </c>
      <c r="M2090" s="3" t="s">
        <v>8178</v>
      </c>
      <c r="N2090" s="6" t="str">
        <f>HYPERLINK("C:\Users\alexa\YandexDisk\Книги\Организация производства\Agile\Стилмен Agile управление проектами.pdf","Стилмен Agile управление проектами.pdf")</f>
        <v>Стилмен Agile управление проектами.pdf</v>
      </c>
      <c r="O2090" s="3" t="s">
        <v>8316</v>
      </c>
    </row>
    <row r="2091" spans="1:15" ht="193.2" x14ac:dyDescent="0.3">
      <c r="A2091" s="4">
        <v>2090</v>
      </c>
      <c r="B2091" s="5" t="s">
        <v>8317</v>
      </c>
      <c r="C2091" s="5" t="s">
        <v>1589</v>
      </c>
      <c r="D2091" s="5"/>
      <c r="E2091" s="5"/>
      <c r="F2091" s="5" t="s">
        <v>8174</v>
      </c>
      <c r="G2091" s="5" t="s">
        <v>8175</v>
      </c>
      <c r="H2091" s="5" t="s">
        <v>8176</v>
      </c>
      <c r="I2091" s="5" t="s">
        <v>20</v>
      </c>
      <c r="J2091" s="5">
        <v>1.45</v>
      </c>
      <c r="K2091" s="5" t="s">
        <v>21</v>
      </c>
      <c r="L2091" s="5" t="s">
        <v>8318</v>
      </c>
      <c r="M2091" s="5" t="s">
        <v>8178</v>
      </c>
      <c r="N2091" s="7" t="str">
        <f>HYPERLINK("C:\Users\alexa\YandexDisk\Книги\Организация производства\Agile\Экстремальное_программирование_Разработка_через_тестирование.pdf","Экстремальное_программирование_Разработка_через_тестирование.pdf")</f>
        <v>Экстремальное_программирование_Разработка_через_тестирование.pdf</v>
      </c>
      <c r="O2091" s="5" t="s">
        <v>8319</v>
      </c>
    </row>
    <row r="2092" spans="1:15" ht="165.6" x14ac:dyDescent="0.3">
      <c r="A2092" s="2">
        <v>2091</v>
      </c>
      <c r="B2092" s="3" t="s">
        <v>8320</v>
      </c>
      <c r="C2092" s="3" t="s">
        <v>8321</v>
      </c>
      <c r="D2092" s="3" t="s">
        <v>114</v>
      </c>
      <c r="E2092" s="3" t="s">
        <v>8322</v>
      </c>
      <c r="F2092" s="3" t="s">
        <v>8323</v>
      </c>
      <c r="G2092" s="3" t="s">
        <v>8175</v>
      </c>
      <c r="H2092" s="3" t="s">
        <v>8324</v>
      </c>
      <c r="I2092" s="3" t="s">
        <v>20</v>
      </c>
      <c r="J2092" s="3">
        <v>5.49</v>
      </c>
      <c r="K2092" s="3" t="s">
        <v>21</v>
      </c>
      <c r="L2092" s="3" t="s">
        <v>8325</v>
      </c>
      <c r="M2092" s="3" t="s">
        <v>8326</v>
      </c>
      <c r="N2092" s="6" t="str">
        <f>HYPERLINK("C:\Users\alexa\YandexDisk\Книги\Организация производства\Kanban\!__Канбан краткое руководство.pdf","!__Канбан краткое руководство.pdf")</f>
        <v>!__Канбан краткое руководство.pdf</v>
      </c>
      <c r="O2092" s="3" t="s">
        <v>8327</v>
      </c>
    </row>
    <row r="2093" spans="1:15" ht="165.6" x14ac:dyDescent="0.3">
      <c r="A2093" s="4">
        <v>2092</v>
      </c>
      <c r="B2093" s="5" t="s">
        <v>8328</v>
      </c>
      <c r="C2093" s="5" t="s">
        <v>8329</v>
      </c>
      <c r="D2093" s="5" t="s">
        <v>476</v>
      </c>
      <c r="E2093" s="5" t="s">
        <v>8330</v>
      </c>
      <c r="F2093" s="5" t="s">
        <v>8323</v>
      </c>
      <c r="G2093" s="5" t="s">
        <v>8175</v>
      </c>
      <c r="H2093" s="5" t="s">
        <v>8324</v>
      </c>
      <c r="I2093" s="5" t="s">
        <v>20</v>
      </c>
      <c r="J2093" s="5">
        <v>10.47</v>
      </c>
      <c r="K2093" s="5" t="s">
        <v>21</v>
      </c>
      <c r="L2093" s="5" t="s">
        <v>8331</v>
      </c>
      <c r="M2093" s="5" t="s">
        <v>8326</v>
      </c>
      <c r="N2093" s="7" t="str">
        <f>HYPERLINK("C:\Users\alexa\YandexDisk\Книги\Организация производства\Kanban\Program &amp; Portfolio! Management using! Kanban! Copyright 2013 Davisbase Consulting. Limited Display License Provided to ASPE.pdf","Program &amp; Portfolio! Management using! Kanban! Copyright 2013 Davisbase Consulting. Limited Display License Provided to ASPE.pdf")</f>
        <v>Program &amp; Portfolio! Management using! Kanban! Copyright 2013 Davisbase Consulting. Limited Display License Provided to ASPE.pdf</v>
      </c>
      <c r="O2093" s="5" t="s">
        <v>8332</v>
      </c>
    </row>
    <row r="2094" spans="1:15" ht="165.6" x14ac:dyDescent="0.3">
      <c r="A2094" s="2">
        <v>2093</v>
      </c>
      <c r="B2094" s="3" t="s">
        <v>8333</v>
      </c>
      <c r="C2094" s="3" t="s">
        <v>8334</v>
      </c>
      <c r="D2094" s="3" t="s">
        <v>274</v>
      </c>
      <c r="E2094" s="3" t="s">
        <v>8335</v>
      </c>
      <c r="F2094" s="3" t="s">
        <v>8323</v>
      </c>
      <c r="G2094" s="3" t="s">
        <v>8175</v>
      </c>
      <c r="H2094" s="3" t="s">
        <v>8324</v>
      </c>
      <c r="I2094" s="3" t="s">
        <v>20</v>
      </c>
      <c r="J2094" s="3">
        <v>9.3800000000000008</v>
      </c>
      <c r="K2094" s="3" t="s">
        <v>21</v>
      </c>
      <c r="L2094" s="3" t="s">
        <v>8336</v>
      </c>
      <c r="M2094" s="3" t="s">
        <v>8326</v>
      </c>
      <c r="N2094" s="6" t="str">
        <f>HYPERLINK("C:\Users\alexa\YandexDisk\Книги\Организация производства\Kanban\Канбан Альтернативный путь в Agile.pdf","Канбан Альтернативный путь в Agile.pdf")</f>
        <v>Канбан Альтернативный путь в Agile.pdf</v>
      </c>
      <c r="O2094" s="3" t="s">
        <v>8337</v>
      </c>
    </row>
    <row r="2095" spans="1:15" ht="193.2" x14ac:dyDescent="0.3">
      <c r="A2095" s="4">
        <v>2094</v>
      </c>
      <c r="B2095" s="5" t="s">
        <v>8338</v>
      </c>
      <c r="C2095" s="5"/>
      <c r="D2095" s="5" t="s">
        <v>17</v>
      </c>
      <c r="E2095" s="5" t="s">
        <v>8339</v>
      </c>
      <c r="F2095" s="5" t="s">
        <v>8323</v>
      </c>
      <c r="G2095" s="5" t="s">
        <v>8175</v>
      </c>
      <c r="H2095" s="5" t="s">
        <v>8324</v>
      </c>
      <c r="I2095" s="5" t="s">
        <v>20</v>
      </c>
      <c r="J2095" s="5">
        <v>3.11</v>
      </c>
      <c r="K2095" s="5" t="s">
        <v>21</v>
      </c>
      <c r="L2095" s="5" t="s">
        <v>8340</v>
      </c>
      <c r="M2095" s="5" t="s">
        <v>8326</v>
      </c>
      <c r="N2095" s="7" t="str">
        <f>HYPERLINK("C:\Users\alexa\YandexDisk\Книги\Организация производства\Kanban\Канбан гайд.pdf","Канбан гайд.pdf")</f>
        <v>Канбан гайд.pdf</v>
      </c>
      <c r="O2095" s="5" t="s">
        <v>8341</v>
      </c>
    </row>
    <row r="2096" spans="1:15" ht="193.2" x14ac:dyDescent="0.3">
      <c r="A2096" s="2">
        <v>2095</v>
      </c>
      <c r="B2096" s="3" t="s">
        <v>8342</v>
      </c>
      <c r="C2096" s="3" t="s">
        <v>8343</v>
      </c>
      <c r="D2096" s="3" t="s">
        <v>17</v>
      </c>
      <c r="E2096" s="3" t="s">
        <v>8344</v>
      </c>
      <c r="F2096" s="3" t="s">
        <v>8345</v>
      </c>
      <c r="G2096" s="3" t="s">
        <v>8175</v>
      </c>
      <c r="H2096" s="3" t="s">
        <v>8346</v>
      </c>
      <c r="I2096" s="3" t="s">
        <v>20</v>
      </c>
      <c r="J2096" s="3">
        <v>20.16</v>
      </c>
      <c r="K2096" s="3" t="s">
        <v>21</v>
      </c>
      <c r="L2096" s="3" t="s">
        <v>8347</v>
      </c>
      <c r="M2096" s="3" t="s">
        <v>8348</v>
      </c>
      <c r="N2096" s="6" t="str">
        <f>HYPERLINK("C:\Users\alexa\YandexDisk\Книги\Организация производства\PMBOK\PMBoK Руководство_к_своду_знаний_по_управлению_проектами 2021.pdf","PMBoK Руководство_к_своду_знаний_по_управлению_проектами 2021.pdf")</f>
        <v>PMBoK Руководство_к_своду_знаний_по_управлению_проектами 2021.pdf</v>
      </c>
      <c r="O2096" s="3" t="s">
        <v>8349</v>
      </c>
    </row>
    <row r="2097" spans="1:15" ht="234.6" x14ac:dyDescent="0.3">
      <c r="A2097" s="4">
        <v>2096</v>
      </c>
      <c r="B2097" s="5" t="s">
        <v>8350</v>
      </c>
      <c r="C2097" s="5" t="s">
        <v>8343</v>
      </c>
      <c r="D2097" s="5" t="s">
        <v>3158</v>
      </c>
      <c r="E2097" s="5" t="s">
        <v>8344</v>
      </c>
      <c r="F2097" s="5" t="s">
        <v>8345</v>
      </c>
      <c r="G2097" s="5" t="s">
        <v>8175</v>
      </c>
      <c r="H2097" s="5" t="s">
        <v>8346</v>
      </c>
      <c r="I2097" s="5" t="s">
        <v>20</v>
      </c>
      <c r="J2097" s="5">
        <v>5.26</v>
      </c>
      <c r="K2097" s="5" t="s">
        <v>21</v>
      </c>
      <c r="L2097" s="5" t="s">
        <v>8351</v>
      </c>
      <c r="M2097" s="5" t="s">
        <v>8348</v>
      </c>
      <c r="N2097" s="7" t="str">
        <f>HYPERLINK("C:\Users\alexa\YandexDisk\Книги\Организация производства\PMBOK\PMBOK_4th_edition_Russian_full_opt.pdf","PMBOK_4th_edition_Russian_full_opt.pdf")</f>
        <v>PMBOK_4th_edition_Russian_full_opt.pdf</v>
      </c>
      <c r="O2097" s="5" t="s">
        <v>8352</v>
      </c>
    </row>
    <row r="2098" spans="1:15" ht="220.8" x14ac:dyDescent="0.3">
      <c r="A2098" s="2">
        <v>2097</v>
      </c>
      <c r="B2098" s="3" t="s">
        <v>8353</v>
      </c>
      <c r="C2098" s="3" t="s">
        <v>8300</v>
      </c>
      <c r="D2098" s="3" t="s">
        <v>837</v>
      </c>
      <c r="E2098" s="3" t="s">
        <v>8267</v>
      </c>
      <c r="F2098" s="3" t="s">
        <v>8354</v>
      </c>
      <c r="G2098" s="3" t="s">
        <v>8175</v>
      </c>
      <c r="H2098" s="3" t="s">
        <v>8355</v>
      </c>
      <c r="I2098" s="3" t="s">
        <v>20</v>
      </c>
      <c r="J2098" s="3">
        <v>6.52</v>
      </c>
      <c r="K2098" s="3" t="s">
        <v>21</v>
      </c>
      <c r="L2098" s="3" t="s">
        <v>8356</v>
      </c>
      <c r="M2098" s="3" t="s">
        <v>8357</v>
      </c>
      <c r="N2098" s="6" t="str">
        <f>HYPERLINK("C:\Users\alexa\YandexDisk\Книги\Организация производства\SAFE\About Dean Leffingwell.pdf","About Dean Leffingwell.pdf")</f>
        <v>About Dean Leffingwell.pdf</v>
      </c>
      <c r="O2098" s="3" t="s">
        <v>8358</v>
      </c>
    </row>
    <row r="2099" spans="1:15" ht="179.4" x14ac:dyDescent="0.3">
      <c r="A2099" s="4">
        <v>2098</v>
      </c>
      <c r="B2099" s="5" t="s">
        <v>8359</v>
      </c>
      <c r="C2099" s="5" t="s">
        <v>8300</v>
      </c>
      <c r="D2099" s="5" t="s">
        <v>274</v>
      </c>
      <c r="E2099" s="5" t="s">
        <v>8360</v>
      </c>
      <c r="F2099" s="5" t="s">
        <v>8354</v>
      </c>
      <c r="G2099" s="5" t="s">
        <v>8175</v>
      </c>
      <c r="H2099" s="5" t="s">
        <v>8355</v>
      </c>
      <c r="I2099" s="5" t="s">
        <v>20</v>
      </c>
      <c r="J2099" s="5">
        <v>14.79</v>
      </c>
      <c r="K2099" s="5" t="s">
        <v>21</v>
      </c>
      <c r="L2099" s="5" t="s">
        <v>8361</v>
      </c>
      <c r="M2099" s="5" t="s">
        <v>8357</v>
      </c>
      <c r="N2099" s="7" t="str">
        <f>HYPERLINK("C:\Users\alexa\YandexDisk\Книги\Организация производства\SAFE\agile-software-requirements-agile-denver-pptx.pdf","agile-software-requirements-agile-denver-pptx.pdf")</f>
        <v>agile-software-requirements-agile-denver-pptx.pdf</v>
      </c>
      <c r="O2099" s="5" t="s">
        <v>8362</v>
      </c>
    </row>
    <row r="2100" spans="1:15" ht="151.80000000000001" x14ac:dyDescent="0.3">
      <c r="A2100" s="2">
        <v>2099</v>
      </c>
      <c r="B2100" s="3" t="s">
        <v>8363</v>
      </c>
      <c r="C2100" s="3"/>
      <c r="D2100" s="3"/>
      <c r="E2100" s="3" t="s">
        <v>8364</v>
      </c>
      <c r="F2100" s="3" t="s">
        <v>8354</v>
      </c>
      <c r="G2100" s="3" t="s">
        <v>8175</v>
      </c>
      <c r="H2100" s="3" t="s">
        <v>8355</v>
      </c>
      <c r="I2100" s="3" t="s">
        <v>20</v>
      </c>
      <c r="J2100" s="3">
        <v>4.97</v>
      </c>
      <c r="K2100" s="3" t="s">
        <v>21</v>
      </c>
      <c r="L2100" s="3" t="s">
        <v>8365</v>
      </c>
      <c r="M2100" s="3" t="s">
        <v>8357</v>
      </c>
      <c r="N2100" s="6" t="str">
        <f>HYPERLINK("C:\Users\alexa\YandexDisk\Книги\Организация производства\SAFE\SAFe5Glossary-Russian.pdf","SAFe5Glossary-Russian.pdf")</f>
        <v>SAFe5Glossary-Russian.pdf</v>
      </c>
      <c r="O2100" s="3" t="s">
        <v>8366</v>
      </c>
    </row>
    <row r="2101" spans="1:15" ht="248.4" x14ac:dyDescent="0.3">
      <c r="A2101" s="4">
        <v>2100</v>
      </c>
      <c r="B2101" s="5" t="s">
        <v>8367</v>
      </c>
      <c r="C2101" s="5" t="s">
        <v>8300</v>
      </c>
      <c r="D2101" s="5" t="s">
        <v>274</v>
      </c>
      <c r="E2101" s="5" t="s">
        <v>8360</v>
      </c>
      <c r="F2101" s="5" t="s">
        <v>8354</v>
      </c>
      <c r="G2101" s="5" t="s">
        <v>8175</v>
      </c>
      <c r="H2101" s="5" t="s">
        <v>8355</v>
      </c>
      <c r="I2101" s="5" t="s">
        <v>20</v>
      </c>
      <c r="J2101" s="5">
        <v>11.66</v>
      </c>
      <c r="K2101" s="5" t="s">
        <v>21</v>
      </c>
      <c r="L2101" s="5" t="s">
        <v>8368</v>
      </c>
      <c r="M2101" s="5" t="s">
        <v>8357</v>
      </c>
      <c r="N2101" s="7" t="str">
        <f>HYPERLINK("C:\Users\alexa\YandexDisk\Книги\Организация производства\SAFE\Scaling Software Agility_ Agile Software Requirements. About Dean Leffingwell.pdf","Scaling Software Agility_ Agile Software Requirements. About Dean Leffingwell.pdf")</f>
        <v>Scaling Software Agility_ Agile Software Requirements. About Dean Leffingwell.pdf</v>
      </c>
      <c r="O2101" s="5" t="s">
        <v>8369</v>
      </c>
    </row>
    <row r="2102" spans="1:15" ht="138" x14ac:dyDescent="0.3">
      <c r="A2102" s="2">
        <v>2101</v>
      </c>
      <c r="B2102" s="3" t="s">
        <v>8370</v>
      </c>
      <c r="C2102" s="3"/>
      <c r="D2102" s="3"/>
      <c r="E2102" s="3"/>
      <c r="F2102" s="3" t="s">
        <v>8354</v>
      </c>
      <c r="G2102" s="3" t="s">
        <v>8175</v>
      </c>
      <c r="H2102" s="3" t="s">
        <v>8355</v>
      </c>
      <c r="I2102" s="3" t="s">
        <v>1147</v>
      </c>
      <c r="J2102" s="3">
        <v>0.06</v>
      </c>
      <c r="K2102" s="3" t="s">
        <v>21</v>
      </c>
      <c r="L2102" s="3" t="s">
        <v>8371</v>
      </c>
      <c r="M2102" s="3" t="s">
        <v>8357</v>
      </c>
      <c r="N2102" s="6" t="str">
        <f>HYPERLINK("C:\Users\alexa\YandexDisk\Книги\Организация производства\SAFE\Закон Амдела.docx","Закон Амдела.docx")</f>
        <v>Закон Амдела.docx</v>
      </c>
      <c r="O2102" s="3" t="s">
        <v>8372</v>
      </c>
    </row>
    <row r="2103" spans="1:15" ht="41.4" x14ac:dyDescent="0.3">
      <c r="A2103" s="4">
        <v>2102</v>
      </c>
      <c r="B2103" s="5" t="s">
        <v>8373</v>
      </c>
      <c r="C2103" s="5"/>
      <c r="D2103" s="5"/>
      <c r="E2103" s="5"/>
      <c r="F2103" s="5" t="s">
        <v>8354</v>
      </c>
      <c r="G2103" s="5" t="s">
        <v>8175</v>
      </c>
      <c r="H2103" s="5" t="s">
        <v>8355</v>
      </c>
      <c r="I2103" s="5" t="s">
        <v>519</v>
      </c>
      <c r="J2103" s="5">
        <v>124.81</v>
      </c>
      <c r="K2103" s="5" t="s">
        <v>21</v>
      </c>
      <c r="L2103" s="5" t="s">
        <v>8374</v>
      </c>
      <c r="M2103" s="5" t="s">
        <v>8357</v>
      </c>
      <c r="N2103" s="7" t="str">
        <f>HYPERLINK("C:\Users\alexa\YandexDisk\Книги\Организация производства\SAFE\Материалы тренинга SAfe.zip","Материалы тренинга SAfe.zip")</f>
        <v>Материалы тренинга SAfe.zip</v>
      </c>
      <c r="O2103" s="5" t="s">
        <v>8375</v>
      </c>
    </row>
    <row r="2104" spans="1:15" ht="110.4" x14ac:dyDescent="0.3">
      <c r="A2104" s="2">
        <v>2103</v>
      </c>
      <c r="B2104" s="3" t="s">
        <v>8376</v>
      </c>
      <c r="C2104" s="3" t="s">
        <v>8377</v>
      </c>
      <c r="D2104" s="3"/>
      <c r="E2104" s="3"/>
      <c r="F2104" s="3" t="s">
        <v>8354</v>
      </c>
      <c r="G2104" s="3" t="s">
        <v>8175</v>
      </c>
      <c r="H2104" s="3" t="s">
        <v>8355</v>
      </c>
      <c r="I2104" s="3" t="s">
        <v>20</v>
      </c>
      <c r="J2104" s="3">
        <v>8.09</v>
      </c>
      <c r="K2104" s="3" t="s">
        <v>21</v>
      </c>
      <c r="L2104" s="3" t="s">
        <v>8378</v>
      </c>
      <c r="M2104" s="3" t="s">
        <v>8357</v>
      </c>
      <c r="N2104" s="6" t="str">
        <f>HYPERLINK("C:\Users\alexa\YandexDisk\Книги\Организация производства\SAFE\Обзор SAFe® 5.1 и кейсы РФ.pdf","Обзор SAFe® 5.1 и кейсы РФ.pdf")</f>
        <v>Обзор SAFe® 5.1 и кейсы РФ.pdf</v>
      </c>
      <c r="O2104" s="3" t="s">
        <v>8379</v>
      </c>
    </row>
    <row r="2105" spans="1:15" ht="179.4" x14ac:dyDescent="0.3">
      <c r="A2105" s="4">
        <v>2104</v>
      </c>
      <c r="B2105" s="5" t="s">
        <v>8380</v>
      </c>
      <c r="C2105" s="5" t="s">
        <v>8381</v>
      </c>
      <c r="D2105" s="5" t="s">
        <v>59</v>
      </c>
      <c r="E2105" s="5" t="s">
        <v>2124</v>
      </c>
      <c r="F2105" s="5" t="s">
        <v>8382</v>
      </c>
      <c r="G2105" s="5" t="s">
        <v>8175</v>
      </c>
      <c r="H2105" s="5" t="s">
        <v>8383</v>
      </c>
      <c r="I2105" s="5" t="s">
        <v>20</v>
      </c>
      <c r="J2105" s="5">
        <v>30.33</v>
      </c>
      <c r="K2105" s="5" t="s">
        <v>21</v>
      </c>
      <c r="L2105" s="5" t="s">
        <v>8384</v>
      </c>
      <c r="M2105" s="5" t="s">
        <v>8385</v>
      </c>
      <c r="N2105" s="7" t="str">
        <f>HYPERLINK("C:\Users\alexa\YandexDisk\Книги\Организация производства\Scrum\!!Основы Scrum - 2020.pdf","!!Основы Scrum - 2020.pdf")</f>
        <v>!!Основы Scrum - 2020.pdf</v>
      </c>
      <c r="O2105" s="5" t="s">
        <v>8386</v>
      </c>
    </row>
    <row r="2106" spans="1:15" ht="193.2" x14ac:dyDescent="0.3">
      <c r="A2106" s="2">
        <v>2105</v>
      </c>
      <c r="B2106" s="3" t="s">
        <v>8387</v>
      </c>
      <c r="C2106" s="3" t="s">
        <v>8388</v>
      </c>
      <c r="D2106" s="3" t="s">
        <v>59</v>
      </c>
      <c r="E2106" s="3"/>
      <c r="F2106" s="3" t="s">
        <v>8382</v>
      </c>
      <c r="G2106" s="3" t="s">
        <v>8175</v>
      </c>
      <c r="H2106" s="3" t="s">
        <v>8383</v>
      </c>
      <c r="I2106" s="3" t="s">
        <v>20</v>
      </c>
      <c r="J2106" s="3">
        <v>0.39</v>
      </c>
      <c r="K2106" s="3" t="s">
        <v>21</v>
      </c>
      <c r="L2106" s="3" t="s">
        <v>8389</v>
      </c>
      <c r="M2106" s="3" t="s">
        <v>8385</v>
      </c>
      <c r="N2106" s="6" t="str">
        <f>HYPERLINK("C:\Users\alexa\YandexDisk\Книги\Организация производства\Scrum\2020-Scrum-Guide-Russian.pdf","2020-Scrum-Guide-Russian.pdf")</f>
        <v>2020-Scrum-Guide-Russian.pdf</v>
      </c>
      <c r="O2106" s="3" t="s">
        <v>8390</v>
      </c>
    </row>
    <row r="2107" spans="1:15" ht="165.6" x14ac:dyDescent="0.3">
      <c r="A2107" s="4">
        <v>2106</v>
      </c>
      <c r="B2107" s="5" t="s">
        <v>8391</v>
      </c>
      <c r="C2107" s="5"/>
      <c r="D2107" s="5"/>
      <c r="E2107" s="5"/>
      <c r="F2107" s="5" t="s">
        <v>8382</v>
      </c>
      <c r="G2107" s="5" t="s">
        <v>8175</v>
      </c>
      <c r="H2107" s="5" t="s">
        <v>8383</v>
      </c>
      <c r="I2107" s="5" t="s">
        <v>20</v>
      </c>
      <c r="J2107" s="5">
        <v>7.84</v>
      </c>
      <c r="K2107" s="5" t="s">
        <v>21</v>
      </c>
      <c r="L2107" s="5" t="s">
        <v>8392</v>
      </c>
      <c r="M2107" s="5" t="s">
        <v>8385</v>
      </c>
      <c r="N2107" s="7" t="str">
        <f>HYPERLINK("C:\Users\alexa\YandexDisk\Книги\Организация производства\Scrum\agile-software-development-with-scrum-9780130676344.pdf","agile-software-development-with-scrum-9780130676344.pdf")</f>
        <v>agile-software-development-with-scrum-9780130676344.pdf</v>
      </c>
      <c r="O2107" s="5" t="s">
        <v>8393</v>
      </c>
    </row>
    <row r="2108" spans="1:15" ht="179.4" x14ac:dyDescent="0.3">
      <c r="A2108" s="2">
        <v>2107</v>
      </c>
      <c r="B2108" s="3" t="s">
        <v>8394</v>
      </c>
      <c r="C2108" s="3" t="s">
        <v>8395</v>
      </c>
      <c r="D2108" s="3" t="s">
        <v>114</v>
      </c>
      <c r="E2108" s="3" t="s">
        <v>303</v>
      </c>
      <c r="F2108" s="3" t="s">
        <v>8382</v>
      </c>
      <c r="G2108" s="3" t="s">
        <v>8175</v>
      </c>
      <c r="H2108" s="3" t="s">
        <v>8383</v>
      </c>
      <c r="I2108" s="3" t="s">
        <v>20</v>
      </c>
      <c r="J2108" s="3">
        <v>1.88</v>
      </c>
      <c r="K2108" s="3" t="s">
        <v>21</v>
      </c>
      <c r="L2108" s="3" t="s">
        <v>8396</v>
      </c>
      <c r="M2108" s="3" t="s">
        <v>8385</v>
      </c>
      <c r="N2108" s="6" t="str">
        <f>HYPERLINK("C:\Users\alexa\YandexDisk\Книги\Организация производства\Scrum\Sazerlend_D._Scrum_Revolyucionnyiyi_Me.a4.pdf","Sazerlend_D._Scrum_Revolyucionnyiyi_Me.a4.pdf")</f>
        <v>Sazerlend_D._Scrum_Revolyucionnyiyi_Me.a4.pdf</v>
      </c>
      <c r="O2108" s="3" t="s">
        <v>8397</v>
      </c>
    </row>
    <row r="2109" spans="1:15" ht="207" x14ac:dyDescent="0.3">
      <c r="A2109" s="4">
        <v>2108</v>
      </c>
      <c r="B2109" s="5" t="s">
        <v>8394</v>
      </c>
      <c r="C2109" s="5" t="s">
        <v>8395</v>
      </c>
      <c r="D2109" s="5" t="s">
        <v>114</v>
      </c>
      <c r="E2109" s="5" t="s">
        <v>303</v>
      </c>
      <c r="F2109" s="5" t="s">
        <v>8382</v>
      </c>
      <c r="G2109" s="5" t="s">
        <v>8175</v>
      </c>
      <c r="H2109" s="5" t="s">
        <v>8383</v>
      </c>
      <c r="I2109" s="5" t="s">
        <v>20</v>
      </c>
      <c r="J2109" s="5">
        <v>2.0099999999999998</v>
      </c>
      <c r="K2109" s="5" t="s">
        <v>21</v>
      </c>
      <c r="L2109" s="5" t="s">
        <v>8398</v>
      </c>
      <c r="M2109" s="5" t="s">
        <v>8385</v>
      </c>
      <c r="N2109" s="7" t="str">
        <f>HYPERLINK("C:\Users\alexa\YandexDisk\Книги\Организация производства\Scrum\Sazerlend_D._Scrum_Revolyucionnyiyi_Me.a6.pdf","Sazerlend_D._Scrum_Revolyucionnyiyi_Me.a6.pdf")</f>
        <v>Sazerlend_D._Scrum_Revolyucionnyiyi_Me.a6.pdf</v>
      </c>
      <c r="O2109" s="5" t="s">
        <v>8399</v>
      </c>
    </row>
    <row r="2110" spans="1:15" ht="193.2" x14ac:dyDescent="0.3">
      <c r="A2110" s="2">
        <v>2109</v>
      </c>
      <c r="B2110" s="3" t="s">
        <v>8400</v>
      </c>
      <c r="C2110" s="3" t="s">
        <v>8401</v>
      </c>
      <c r="D2110" s="3" t="s">
        <v>59</v>
      </c>
      <c r="E2110" s="3"/>
      <c r="F2110" s="3" t="s">
        <v>8382</v>
      </c>
      <c r="G2110" s="3" t="s">
        <v>8175</v>
      </c>
      <c r="H2110" s="3" t="s">
        <v>8383</v>
      </c>
      <c r="I2110" s="3" t="s">
        <v>280</v>
      </c>
      <c r="J2110" s="3">
        <v>0.38</v>
      </c>
      <c r="K2110" s="3" t="s">
        <v>21</v>
      </c>
      <c r="L2110" s="3" t="s">
        <v>8402</v>
      </c>
      <c r="M2110" s="3" t="s">
        <v>8385</v>
      </c>
      <c r="N2110" s="6" t="str">
        <f>HYPERLINK("C:\Users\alexa\YandexDisk\Книги\Организация производства\Scrum\Scrum (Josh Wright).epub","Scrum (Josh Wright).epub")</f>
        <v>Scrum (Josh Wright).epub</v>
      </c>
      <c r="O2110" s="3" t="s">
        <v>8403</v>
      </c>
    </row>
    <row r="2111" spans="1:15" ht="193.2" x14ac:dyDescent="0.3">
      <c r="A2111" s="4">
        <v>2110</v>
      </c>
      <c r="B2111" s="5" t="s">
        <v>8404</v>
      </c>
      <c r="C2111" s="5" t="s">
        <v>8405</v>
      </c>
      <c r="D2111" s="5" t="s">
        <v>59</v>
      </c>
      <c r="E2111" s="5" t="s">
        <v>303</v>
      </c>
      <c r="F2111" s="5" t="s">
        <v>8382</v>
      </c>
      <c r="G2111" s="5" t="s">
        <v>8175</v>
      </c>
      <c r="H2111" s="5" t="s">
        <v>8383</v>
      </c>
      <c r="I2111" s="5" t="s">
        <v>20</v>
      </c>
      <c r="J2111" s="5">
        <v>9.9600000000000009</v>
      </c>
      <c r="K2111" s="5" t="s">
        <v>21</v>
      </c>
      <c r="L2111" s="5" t="s">
        <v>8406</v>
      </c>
      <c r="M2111" s="5" t="s">
        <v>8385</v>
      </c>
      <c r="N2111" s="7" t="str">
        <f>HYPERLINK("C:\Users\alexa\YandexDisk\Книги\Организация производства\Scrum\Scrum без ошибок.pdf","Scrum без ошибок.pdf")</f>
        <v>Scrum без ошибок.pdf</v>
      </c>
      <c r="O2111" s="5" t="s">
        <v>8407</v>
      </c>
    </row>
    <row r="2112" spans="1:15" ht="220.8" x14ac:dyDescent="0.3">
      <c r="A2112" s="2">
        <v>2111</v>
      </c>
      <c r="B2112" s="3" t="s">
        <v>8408</v>
      </c>
      <c r="C2112" s="3" t="s">
        <v>8253</v>
      </c>
      <c r="D2112" s="3" t="s">
        <v>837</v>
      </c>
      <c r="E2112" s="3" t="s">
        <v>8043</v>
      </c>
      <c r="F2112" s="3" t="s">
        <v>8382</v>
      </c>
      <c r="G2112" s="3" t="s">
        <v>8175</v>
      </c>
      <c r="H2112" s="3" t="s">
        <v>8383</v>
      </c>
      <c r="I2112" s="3" t="s">
        <v>20</v>
      </c>
      <c r="J2112" s="3">
        <v>14.56</v>
      </c>
      <c r="K2112" s="3" t="s">
        <v>21</v>
      </c>
      <c r="L2112" s="3" t="s">
        <v>8409</v>
      </c>
      <c r="M2112" s="3" t="s">
        <v>8385</v>
      </c>
      <c r="N2112" s="6" t="str">
        <f>HYPERLINK("C:\Users\alexa\YandexDisk\Книги\Организация производства\Scrum\Scrum гибкая разработка ПО (2011 г.).pdf","Scrum гибкая разработка ПО (2011 г.).pdf")</f>
        <v>Scrum гибкая разработка ПО (2011 г.).pdf</v>
      </c>
      <c r="O2112" s="3" t="s">
        <v>8410</v>
      </c>
    </row>
    <row r="2113" spans="1:15" ht="165.6" x14ac:dyDescent="0.3">
      <c r="A2113" s="4">
        <v>2112</v>
      </c>
      <c r="B2113" s="5" t="s">
        <v>8411</v>
      </c>
      <c r="C2113" s="5" t="s">
        <v>8181</v>
      </c>
      <c r="D2113" s="5" t="s">
        <v>17</v>
      </c>
      <c r="E2113" s="5" t="s">
        <v>1023</v>
      </c>
      <c r="F2113" s="5" t="s">
        <v>8382</v>
      </c>
      <c r="G2113" s="5" t="s">
        <v>8175</v>
      </c>
      <c r="H2113" s="5" t="s">
        <v>8383</v>
      </c>
      <c r="I2113" s="5" t="s">
        <v>20</v>
      </c>
      <c r="J2113" s="5">
        <v>9.2100000000000009</v>
      </c>
      <c r="K2113" s="5" t="s">
        <v>21</v>
      </c>
      <c r="L2113" s="5" t="s">
        <v>8412</v>
      </c>
      <c r="M2113" s="5" t="s">
        <v>8385</v>
      </c>
      <c r="N2113" s="7" t="str">
        <f>HYPERLINK("C:\Users\alexa\YandexDisk\Книги\Организация производства\Scrum\Все о SCRUM 2020.pdf","Все о SCRUM 2020.pdf")</f>
        <v>Все о SCRUM 2020.pdf</v>
      </c>
      <c r="O2113" s="5" t="s">
        <v>8413</v>
      </c>
    </row>
    <row r="2114" spans="1:15" ht="179.4" x14ac:dyDescent="0.3">
      <c r="A2114" s="2">
        <v>2113</v>
      </c>
      <c r="B2114" s="3" t="s">
        <v>8414</v>
      </c>
      <c r="C2114" s="3"/>
      <c r="D2114" s="3"/>
      <c r="E2114" s="3"/>
      <c r="F2114" s="3" t="s">
        <v>8382</v>
      </c>
      <c r="G2114" s="3" t="s">
        <v>8175</v>
      </c>
      <c r="H2114" s="3" t="s">
        <v>8383</v>
      </c>
      <c r="I2114" s="3" t="s">
        <v>20</v>
      </c>
      <c r="J2114" s="3">
        <v>9.83</v>
      </c>
      <c r="K2114" s="3" t="s">
        <v>21</v>
      </c>
      <c r="L2114" s="3" t="s">
        <v>8415</v>
      </c>
      <c r="M2114" s="3" t="s">
        <v>8385</v>
      </c>
      <c r="N2114" s="6" t="str">
        <f>HYPERLINK("C:\Users\alexa\YandexDisk\Книги\Организация производства\Scrum\Гибкое управление-как перевести команию на SCRUM.pdf","Гибкое управление-как перевести команию на SCRUM.pdf")</f>
        <v>Гибкое управление-как перевести команию на SCRUM.pdf</v>
      </c>
      <c r="O2114" s="3" t="s">
        <v>8416</v>
      </c>
    </row>
    <row r="2115" spans="1:15" ht="207" x14ac:dyDescent="0.3">
      <c r="A2115" s="4">
        <v>2114</v>
      </c>
      <c r="B2115" s="5" t="s">
        <v>8380</v>
      </c>
      <c r="C2115" s="5" t="s">
        <v>8381</v>
      </c>
      <c r="D2115" s="5" t="s">
        <v>59</v>
      </c>
      <c r="E2115" s="5" t="s">
        <v>2124</v>
      </c>
      <c r="F2115" s="5" t="s">
        <v>8382</v>
      </c>
      <c r="G2115" s="5" t="s">
        <v>8175</v>
      </c>
      <c r="H2115" s="5" t="s">
        <v>8383</v>
      </c>
      <c r="I2115" s="5" t="s">
        <v>20</v>
      </c>
      <c r="J2115" s="5">
        <v>30.62</v>
      </c>
      <c r="K2115" s="5" t="s">
        <v>21</v>
      </c>
      <c r="L2115" s="5" t="s">
        <v>8417</v>
      </c>
      <c r="M2115" s="5" t="s">
        <v>8385</v>
      </c>
      <c r="N2115" s="7" t="str">
        <f>HYPERLINK("C:\Users\alexa\YandexDisk\Книги\Организация производства\Scrum\Основы Scrum.pdf","Основы Scrum.pdf")</f>
        <v>Основы Scrum.pdf</v>
      </c>
      <c r="O2115" s="5" t="s">
        <v>8418</v>
      </c>
    </row>
    <row r="2116" spans="1:15" ht="193.2" x14ac:dyDescent="0.3">
      <c r="A2116" s="2">
        <v>2115</v>
      </c>
      <c r="B2116" s="3" t="s">
        <v>8380</v>
      </c>
      <c r="C2116" s="3" t="s">
        <v>8381</v>
      </c>
      <c r="D2116" s="3" t="s">
        <v>59</v>
      </c>
      <c r="E2116" s="3" t="s">
        <v>2124</v>
      </c>
      <c r="F2116" s="3" t="s">
        <v>8382</v>
      </c>
      <c r="G2116" s="3" t="s">
        <v>8175</v>
      </c>
      <c r="H2116" s="3" t="s">
        <v>8383</v>
      </c>
      <c r="I2116" s="3" t="s">
        <v>20</v>
      </c>
      <c r="J2116" s="3">
        <v>30.47</v>
      </c>
      <c r="K2116" s="3" t="s">
        <v>21</v>
      </c>
      <c r="L2116" s="3" t="s">
        <v>8419</v>
      </c>
      <c r="M2116" s="3" t="s">
        <v>8385</v>
      </c>
      <c r="N2116" s="6" t="str">
        <f>HYPERLINK("C:\Users\alexa\YandexDisk\Книги\Организация производства\Scrum\Рубин_К_Основы_Scrum_Практическое_руководство_по_гибкой_разработке.pdf","Рубин_К_Основы_Scrum_Практическое_руководство_по_гибкой_разработке.pdf")</f>
        <v>Рубин_К_Основы_Scrum_Практическое_руководство_по_гибкой_разработке.pdf</v>
      </c>
      <c r="O2116" s="3" t="s">
        <v>8420</v>
      </c>
    </row>
    <row r="2117" spans="1:15" ht="165.6" x14ac:dyDescent="0.3">
      <c r="A2117" s="4">
        <v>2116</v>
      </c>
      <c r="B2117" s="5" t="s">
        <v>8394</v>
      </c>
      <c r="C2117" s="5" t="s">
        <v>8395</v>
      </c>
      <c r="D2117" s="5" t="s">
        <v>186</v>
      </c>
      <c r="E2117" s="5" t="s">
        <v>8421</v>
      </c>
      <c r="F2117" s="5" t="s">
        <v>8382</v>
      </c>
      <c r="G2117" s="5" t="s">
        <v>8175</v>
      </c>
      <c r="H2117" s="5" t="s">
        <v>8383</v>
      </c>
      <c r="I2117" s="5" t="s">
        <v>20</v>
      </c>
      <c r="J2117" s="5">
        <v>1.74</v>
      </c>
      <c r="K2117" s="5" t="s">
        <v>21</v>
      </c>
      <c r="L2117" s="5" t="s">
        <v>8422</v>
      </c>
      <c r="M2117" s="5" t="s">
        <v>8385</v>
      </c>
      <c r="N2117" s="7" t="str">
        <f>HYPERLINK("C:\Users\alexa\YandexDisk\Книги\Организация производства\Scrum\Сазерленд Scrum революционный метод управ проектами.pdf","Сазерленд Scrum революционный метод управ проектами.pdf")</f>
        <v>Сазерленд Scrum революционный метод управ проектами.pdf</v>
      </c>
      <c r="O2117" s="5" t="s">
        <v>8423</v>
      </c>
    </row>
    <row r="2118" spans="1:15" ht="193.2" x14ac:dyDescent="0.3">
      <c r="A2118" s="2">
        <v>2117</v>
      </c>
      <c r="B2118" s="3" t="s">
        <v>8424</v>
      </c>
      <c r="C2118" s="3"/>
      <c r="D2118" s="3"/>
      <c r="E2118" s="3"/>
      <c r="F2118" s="3" t="s">
        <v>8425</v>
      </c>
      <c r="G2118" s="3" t="s">
        <v>8175</v>
      </c>
      <c r="H2118" s="3" t="s">
        <v>8426</v>
      </c>
      <c r="I2118" s="3" t="s">
        <v>20</v>
      </c>
      <c r="J2118" s="3">
        <v>7.08</v>
      </c>
      <c r="K2118" s="3" t="s">
        <v>21</v>
      </c>
      <c r="L2118" s="3" t="s">
        <v>8427</v>
      </c>
      <c r="M2118" s="3" t="s">
        <v>8428</v>
      </c>
      <c r="N2118" s="6" t="str">
        <f>HYPERLINK("C:\Users\alexa\YandexDisk\Книги\Организация производства\Бережливое производство\uchites-videt-biznes-processy-38394.pdf","uchites-videt-biznes-processy-38394.pdf")</f>
        <v>uchites-videt-biznes-processy-38394.pdf</v>
      </c>
      <c r="O2118" s="3" t="s">
        <v>8429</v>
      </c>
    </row>
    <row r="2119" spans="1:15" ht="165.6" x14ac:dyDescent="0.3">
      <c r="A2119" s="4">
        <v>2118</v>
      </c>
      <c r="B2119" s="5" t="s">
        <v>8430</v>
      </c>
      <c r="C2119" s="5"/>
      <c r="D2119" s="5"/>
      <c r="E2119" s="5"/>
      <c r="F2119" s="5" t="s">
        <v>8425</v>
      </c>
      <c r="G2119" s="5" t="s">
        <v>8175</v>
      </c>
      <c r="H2119" s="5" t="s">
        <v>8426</v>
      </c>
      <c r="I2119" s="5" t="s">
        <v>1147</v>
      </c>
      <c r="J2119" s="5">
        <v>0.28000000000000003</v>
      </c>
      <c r="K2119" s="5" t="s">
        <v>21</v>
      </c>
      <c r="L2119" s="5" t="s">
        <v>8431</v>
      </c>
      <c r="M2119" s="5" t="s">
        <v>8428</v>
      </c>
      <c r="N2119" s="7" t="str">
        <f>HYPERLINK("C:\Users\alexa\YandexDisk\Книги\Организация производства\Бережливое производство\Бережливая разработка ПО.docx","Бережливая разработка ПО.docx")</f>
        <v>Бережливая разработка ПО.docx</v>
      </c>
      <c r="O2119" s="5" t="s">
        <v>8432</v>
      </c>
    </row>
    <row r="2120" spans="1:15" ht="179.4" x14ac:dyDescent="0.3">
      <c r="A2120" s="2">
        <v>2119</v>
      </c>
      <c r="B2120" s="3" t="s">
        <v>8433</v>
      </c>
      <c r="C2120" s="3" t="s">
        <v>8434</v>
      </c>
      <c r="D2120" s="3" t="s">
        <v>65</v>
      </c>
      <c r="E2120" s="3" t="s">
        <v>8435</v>
      </c>
      <c r="F2120" s="3" t="s">
        <v>8425</v>
      </c>
      <c r="G2120" s="3" t="s">
        <v>8175</v>
      </c>
      <c r="H2120" s="3" t="s">
        <v>8426</v>
      </c>
      <c r="I2120" s="3" t="s">
        <v>20</v>
      </c>
      <c r="J2120" s="3">
        <v>0.12</v>
      </c>
      <c r="K2120" s="3" t="s">
        <v>21</v>
      </c>
      <c r="L2120" s="3" t="s">
        <v>8436</v>
      </c>
      <c r="M2120" s="3" t="s">
        <v>8428</v>
      </c>
      <c r="N2120" s="6" t="str">
        <f>HYPERLINK("C:\Users\alexa\YandexDisk\Книги\Организация производства\Бережливое производство\Бережливая разработка программ.pdf","Бережливая разработка программ.pdf")</f>
        <v>Бережливая разработка программ.pdf</v>
      </c>
      <c r="O2120" s="3" t="s">
        <v>8437</v>
      </c>
    </row>
    <row r="2121" spans="1:15" ht="55.2" x14ac:dyDescent="0.3">
      <c r="A2121" s="4">
        <v>2120</v>
      </c>
      <c r="B2121" s="5" t="s">
        <v>8438</v>
      </c>
      <c r="C2121" s="5"/>
      <c r="D2121" s="5"/>
      <c r="E2121" s="5"/>
      <c r="F2121" s="5" t="s">
        <v>8425</v>
      </c>
      <c r="G2121" s="5" t="s">
        <v>8175</v>
      </c>
      <c r="H2121" s="5" t="s">
        <v>8426</v>
      </c>
      <c r="I2121" s="5" t="s">
        <v>519</v>
      </c>
      <c r="J2121" s="5">
        <v>0.64</v>
      </c>
      <c r="K2121" s="5" t="s">
        <v>21</v>
      </c>
      <c r="L2121" s="5" t="s">
        <v>8439</v>
      </c>
      <c r="M2121" s="5" t="s">
        <v>8428</v>
      </c>
      <c r="N2121" s="7" t="str">
        <f>HYPERLINK("C:\Users\alexa\YandexDisk\Книги\Организация производства\Бережливое производство\Бережливое производство - статьи.zip","Бережливое производство - статьи.zip")</f>
        <v>Бережливое производство - статьи.zip</v>
      </c>
      <c r="O2121" s="5" t="s">
        <v>4617</v>
      </c>
    </row>
    <row r="2122" spans="1:15" ht="165.6" x14ac:dyDescent="0.3">
      <c r="A2122" s="2">
        <v>2121</v>
      </c>
      <c r="B2122" s="3" t="s">
        <v>8440</v>
      </c>
      <c r="C2122" s="3" t="s">
        <v>8441</v>
      </c>
      <c r="D2122" s="3" t="s">
        <v>274</v>
      </c>
      <c r="E2122" s="3" t="s">
        <v>8442</v>
      </c>
      <c r="F2122" s="3" t="s">
        <v>8425</v>
      </c>
      <c r="G2122" s="3" t="s">
        <v>8175</v>
      </c>
      <c r="H2122" s="3" t="s">
        <v>8426</v>
      </c>
      <c r="I2122" s="3" t="s">
        <v>20</v>
      </c>
      <c r="J2122" s="3">
        <v>3.17</v>
      </c>
      <c r="K2122" s="3" t="s">
        <v>21</v>
      </c>
      <c r="L2122" s="3" t="s">
        <v>8443</v>
      </c>
      <c r="M2122" s="3" t="s">
        <v>8428</v>
      </c>
      <c r="N2122" s="6" t="str">
        <f>HYPERLINK("C:\Users\alexa\YandexDisk\Книги\Организация производства\Бережливое производство\Бережливое производство ПО.pdf","Бережливое производство ПО.pdf")</f>
        <v>Бережливое производство ПО.pdf</v>
      </c>
      <c r="O2122" s="3" t="s">
        <v>8444</v>
      </c>
    </row>
    <row r="2123" spans="1:15" ht="179.4" x14ac:dyDescent="0.3">
      <c r="A2123" s="4">
        <v>2122</v>
      </c>
      <c r="B2123" s="5" t="s">
        <v>8445</v>
      </c>
      <c r="C2123" s="5" t="s">
        <v>8446</v>
      </c>
      <c r="D2123" s="5" t="s">
        <v>1565</v>
      </c>
      <c r="E2123" s="5" t="s">
        <v>8447</v>
      </c>
      <c r="F2123" s="5" t="s">
        <v>8425</v>
      </c>
      <c r="G2123" s="5" t="s">
        <v>8175</v>
      </c>
      <c r="H2123" s="5" t="s">
        <v>8426</v>
      </c>
      <c r="I2123" s="5" t="s">
        <v>20</v>
      </c>
      <c r="J2123" s="5">
        <v>4.21</v>
      </c>
      <c r="K2123" s="5" t="s">
        <v>21</v>
      </c>
      <c r="L2123" s="5" t="s">
        <v>8448</v>
      </c>
      <c r="M2123" s="5" t="s">
        <v>8428</v>
      </c>
      <c r="N2123" s="7" t="str">
        <f>HYPERLINK("C:\Users\alexa\YandexDisk\Книги\Организация производства\Бережливое производство\Дж Майкл - Бережливое производство+6 сигм.pdf","Дж Майкл - Бережливое производство+6 сигм.pdf")</f>
        <v>Дж Майкл - Бережливое производство+6 сигм.pdf</v>
      </c>
      <c r="O2123" s="5" t="s">
        <v>8449</v>
      </c>
    </row>
    <row r="2124" spans="1:15" ht="220.8" x14ac:dyDescent="0.3">
      <c r="A2124" s="2">
        <v>2123</v>
      </c>
      <c r="B2124" s="3" t="s">
        <v>8450</v>
      </c>
      <c r="C2124" s="3" t="s">
        <v>8451</v>
      </c>
      <c r="D2124" s="3" t="s">
        <v>114</v>
      </c>
      <c r="E2124" s="3" t="s">
        <v>8452</v>
      </c>
      <c r="F2124" s="3" t="s">
        <v>8425</v>
      </c>
      <c r="G2124" s="3" t="s">
        <v>8175</v>
      </c>
      <c r="H2124" s="3" t="s">
        <v>8426</v>
      </c>
      <c r="I2124" s="3" t="s">
        <v>20</v>
      </c>
      <c r="J2124" s="3">
        <v>1.26</v>
      </c>
      <c r="K2124" s="3" t="s">
        <v>21</v>
      </c>
      <c r="L2124" s="3" t="s">
        <v>8453</v>
      </c>
      <c r="M2124" s="3" t="s">
        <v>8428</v>
      </c>
      <c r="N2124" s="6" t="str">
        <f>HYPERLINK("C:\Users\alexa\YandexDisk\Книги\Организация производства\Бережливое производство\Семенычев Втроенное качество.pdf","Семенычев Втроенное качество.pdf")</f>
        <v>Семенычев Втроенное качество.pdf</v>
      </c>
      <c r="O2124" s="3" t="s">
        <v>8454</v>
      </c>
    </row>
    <row r="2125" spans="1:15" ht="193.2" x14ac:dyDescent="0.3">
      <c r="A2125" s="4">
        <v>2124</v>
      </c>
      <c r="B2125" s="5" t="s">
        <v>8455</v>
      </c>
      <c r="C2125" s="5" t="s">
        <v>8456</v>
      </c>
      <c r="D2125" s="5"/>
      <c r="E2125" s="5" t="s">
        <v>924</v>
      </c>
      <c r="F2125" s="5" t="s">
        <v>8457</v>
      </c>
      <c r="G2125" s="5" t="s">
        <v>8458</v>
      </c>
      <c r="H2125" s="5" t="s">
        <v>8459</v>
      </c>
      <c r="I2125" s="5" t="s">
        <v>20</v>
      </c>
      <c r="J2125" s="5">
        <v>22.82</v>
      </c>
      <c r="K2125" s="5" t="s">
        <v>21</v>
      </c>
      <c r="L2125" s="5" t="s">
        <v>8460</v>
      </c>
      <c r="M2125" s="5" t="s">
        <v>8461</v>
      </c>
      <c r="N2125" s="7" t="str">
        <f>HYPERLINK("C:\Users\alexa\YandexDisk\Книги\Программирование\1С\1С Предприятие 8.3.pdf","1С Предприятие 8.3.pdf")</f>
        <v>1С Предприятие 8.3.pdf</v>
      </c>
      <c r="O2125" s="5" t="s">
        <v>8462</v>
      </c>
    </row>
    <row r="2126" spans="1:15" ht="151.80000000000001" x14ac:dyDescent="0.3">
      <c r="A2126" s="2">
        <v>2125</v>
      </c>
      <c r="B2126" s="3" t="s">
        <v>8463</v>
      </c>
      <c r="C2126" s="3" t="s">
        <v>8464</v>
      </c>
      <c r="D2126" s="3" t="s">
        <v>71</v>
      </c>
      <c r="E2126" s="3" t="s">
        <v>402</v>
      </c>
      <c r="F2126" s="3" t="s">
        <v>8457</v>
      </c>
      <c r="G2126" s="3" t="s">
        <v>8458</v>
      </c>
      <c r="H2126" s="3" t="s">
        <v>8459</v>
      </c>
      <c r="I2126" s="3" t="s">
        <v>20</v>
      </c>
      <c r="J2126" s="3">
        <v>25.45</v>
      </c>
      <c r="K2126" s="3" t="s">
        <v>21</v>
      </c>
      <c r="L2126" s="3" t="s">
        <v>8465</v>
      </c>
      <c r="M2126" s="3" t="s">
        <v>8461</v>
      </c>
      <c r="N2126" s="6" t="str">
        <f>HYPERLINK("C:\Users\alexa\YandexDisk\Книги\Программирование\1С\1СБухгалтерия 8.3 с нуля. 100 уроков для начинающих.pdf","1СБухгалтерия 8.3 с нуля. 100 уроков для начинающих.pdf")</f>
        <v>1СБухгалтерия 8.3 с нуля. 100 уроков для начинающих.pdf</v>
      </c>
      <c r="O2126" s="3" t="s">
        <v>8466</v>
      </c>
    </row>
    <row r="2127" spans="1:15" ht="220.8" x14ac:dyDescent="0.3">
      <c r="A2127" s="4">
        <v>2126</v>
      </c>
      <c r="B2127" s="5" t="s">
        <v>8467</v>
      </c>
      <c r="C2127" s="5" t="s">
        <v>8468</v>
      </c>
      <c r="D2127" s="5"/>
      <c r="E2127" s="5" t="s">
        <v>924</v>
      </c>
      <c r="F2127" s="5" t="s">
        <v>8457</v>
      </c>
      <c r="G2127" s="5" t="s">
        <v>8458</v>
      </c>
      <c r="H2127" s="5" t="s">
        <v>8459</v>
      </c>
      <c r="I2127" s="5" t="s">
        <v>20</v>
      </c>
      <c r="J2127" s="5">
        <v>18.73</v>
      </c>
      <c r="K2127" s="5" t="s">
        <v>21</v>
      </c>
      <c r="L2127" s="5" t="s">
        <v>8469</v>
      </c>
      <c r="M2127" s="5" t="s">
        <v>8461</v>
      </c>
      <c r="N2127" s="7" t="str">
        <f>HYPERLINK("C:\Users\alexa\YandexDisk\Книги\Программирование\1С\Знакомство_с_разработкой_мобильных_приложений_на_платформе_«1С_Предприятие.pdf","Знакомство_с_разработкой_мобильных_приложений_на_платформе_«1С_Предприятие.pdf")</f>
        <v>Знакомство_с_разработкой_мобильных_приложений_на_платформе_«1С_Предприятие.pdf</v>
      </c>
      <c r="O2127" s="5" t="s">
        <v>8470</v>
      </c>
    </row>
    <row r="2128" spans="1:15" ht="179.4" x14ac:dyDescent="0.3">
      <c r="A2128" s="2">
        <v>2127</v>
      </c>
      <c r="B2128" s="3" t="s">
        <v>8471</v>
      </c>
      <c r="C2128" s="3" t="s">
        <v>8472</v>
      </c>
      <c r="D2128" s="3" t="s">
        <v>27</v>
      </c>
      <c r="E2128" s="3" t="s">
        <v>924</v>
      </c>
      <c r="F2128" s="3" t="s">
        <v>8457</v>
      </c>
      <c r="G2128" s="3" t="s">
        <v>8458</v>
      </c>
      <c r="H2128" s="3" t="s">
        <v>8459</v>
      </c>
      <c r="I2128" s="3" t="s">
        <v>20</v>
      </c>
      <c r="J2128" s="3">
        <v>31.52</v>
      </c>
      <c r="K2128" s="3" t="s">
        <v>21</v>
      </c>
      <c r="L2128" s="3" t="s">
        <v>8473</v>
      </c>
      <c r="M2128" s="3" t="s">
        <v>8461</v>
      </c>
      <c r="N2128" s="6" t="str">
        <f>HYPERLINK("C:\Users\alexa\YandexDisk\Книги\Программирование\1С\Настольная книга по оплате труда и ее расчету в программе 1С.pdf","Настольная книга по оплате труда и ее расчету в программе 1С.pdf")</f>
        <v>Настольная книга по оплате труда и ее расчету в программе 1С.pdf</v>
      </c>
      <c r="O2128" s="3" t="s">
        <v>8474</v>
      </c>
    </row>
    <row r="2129" spans="1:15" ht="151.80000000000001" x14ac:dyDescent="0.3">
      <c r="A2129" s="4">
        <v>2128</v>
      </c>
      <c r="B2129" s="5" t="s">
        <v>8475</v>
      </c>
      <c r="C2129" s="5" t="s">
        <v>8476</v>
      </c>
      <c r="D2129" s="5" t="s">
        <v>32</v>
      </c>
      <c r="E2129" s="5"/>
      <c r="F2129" s="5" t="s">
        <v>8457</v>
      </c>
      <c r="G2129" s="5" t="s">
        <v>8458</v>
      </c>
      <c r="H2129" s="5" t="s">
        <v>8459</v>
      </c>
      <c r="I2129" s="5" t="s">
        <v>20</v>
      </c>
      <c r="J2129" s="5">
        <v>26.05</v>
      </c>
      <c r="K2129" s="5" t="s">
        <v>21</v>
      </c>
      <c r="L2129" s="5" t="s">
        <v>8477</v>
      </c>
      <c r="M2129" s="5" t="s">
        <v>8461</v>
      </c>
      <c r="N2129" s="7" t="str">
        <f>HYPERLINK("C:\Users\alexa\YandexDisk\Книги\Программирование\1С\Программировать в 1С за 11 шагов.pdf","Программировать в 1С за 11 шагов.pdf")</f>
        <v>Программировать в 1С за 11 шагов.pdf</v>
      </c>
      <c r="O2129" s="5" t="s">
        <v>8478</v>
      </c>
    </row>
    <row r="2130" spans="1:15" ht="220.8" x14ac:dyDescent="0.3">
      <c r="A2130" s="2">
        <v>2129</v>
      </c>
      <c r="B2130" s="3" t="s">
        <v>8479</v>
      </c>
      <c r="C2130" s="3" t="s">
        <v>8480</v>
      </c>
      <c r="D2130" s="3" t="s">
        <v>59</v>
      </c>
      <c r="E2130" s="3" t="s">
        <v>8481</v>
      </c>
      <c r="F2130" s="3" t="s">
        <v>8457</v>
      </c>
      <c r="G2130" s="3" t="s">
        <v>8458</v>
      </c>
      <c r="H2130" s="3" t="s">
        <v>8459</v>
      </c>
      <c r="I2130" s="3" t="s">
        <v>20</v>
      </c>
      <c r="J2130" s="3">
        <v>8.9</v>
      </c>
      <c r="K2130" s="3" t="s">
        <v>21</v>
      </c>
      <c r="L2130" s="3" t="s">
        <v>8482</v>
      </c>
      <c r="M2130" s="3" t="s">
        <v>8461</v>
      </c>
      <c r="N2130" s="6" t="str">
        <f>HYPERLINK("C:\Users\alexa\YandexDisk\Книги\Программирование\1С\Разработка_и_реализация_конфигураций_в_системе_1СПредприятие.pdf","Разработка_и_реализация_конфигураций_в_системе_1СПредприятие.pdf")</f>
        <v>Разработка_и_реализация_конфигураций_в_системе_1СПредприятие.pdf</v>
      </c>
      <c r="O2130" s="3" t="s">
        <v>8483</v>
      </c>
    </row>
    <row r="2131" spans="1:15" ht="220.8" x14ac:dyDescent="0.3">
      <c r="A2131" s="4">
        <v>2130</v>
      </c>
      <c r="B2131" s="5" t="s">
        <v>8484</v>
      </c>
      <c r="C2131" s="5" t="s">
        <v>8485</v>
      </c>
      <c r="D2131" s="5" t="s">
        <v>32</v>
      </c>
      <c r="E2131" s="5" t="s">
        <v>924</v>
      </c>
      <c r="F2131" s="5" t="s">
        <v>8457</v>
      </c>
      <c r="G2131" s="5" t="s">
        <v>8458</v>
      </c>
      <c r="H2131" s="5" t="s">
        <v>8459</v>
      </c>
      <c r="I2131" s="5" t="s">
        <v>20</v>
      </c>
      <c r="J2131" s="5">
        <v>36.520000000000003</v>
      </c>
      <c r="K2131" s="5" t="s">
        <v>21</v>
      </c>
      <c r="L2131" s="5" t="s">
        <v>8486</v>
      </c>
      <c r="M2131" s="5" t="s">
        <v>8461</v>
      </c>
      <c r="N2131" s="7" t="str">
        <f>HYPERLINK("C:\Users\alexa\YandexDisk\Книги\Программирование\1С\Разработка_интерфейса_прикладных_решений_на_платформе_1С.pdf","Разработка_интерфейса_прикладных_решений_на_платформе_1С.pdf")</f>
        <v>Разработка_интерфейса_прикладных_решений_на_платформе_1С.pdf</v>
      </c>
      <c r="O2131" s="5" t="s">
        <v>8487</v>
      </c>
    </row>
    <row r="2132" spans="1:15" ht="110.4" x14ac:dyDescent="0.3">
      <c r="A2132" s="2">
        <v>2131</v>
      </c>
      <c r="B2132" s="3" t="s">
        <v>8488</v>
      </c>
      <c r="C2132" s="3" t="s">
        <v>8489</v>
      </c>
      <c r="D2132" s="3"/>
      <c r="E2132" s="3"/>
      <c r="F2132" s="3" t="s">
        <v>8457</v>
      </c>
      <c r="G2132" s="3" t="s">
        <v>8458</v>
      </c>
      <c r="H2132" s="3" t="s">
        <v>8459</v>
      </c>
      <c r="I2132" s="3" t="s">
        <v>20</v>
      </c>
      <c r="J2132" s="3">
        <v>55.45</v>
      </c>
      <c r="K2132" s="3" t="s">
        <v>21</v>
      </c>
      <c r="L2132" s="3" t="s">
        <v>8490</v>
      </c>
      <c r="M2132" s="3" t="s">
        <v>8461</v>
      </c>
      <c r="N2132" s="6" t="str">
        <f>HYPERLINK("C:\Users\alexa\YandexDisk\Книги\Программирование\1С\Сборник_задач_про_разработке_на_платформе_1СПредприятие.pdf","Сборник_задач_про_разработке_на_платформе_1СПредприятие.pdf")</f>
        <v>Сборник_задач_про_разработке_на_платформе_1СПредприятие.pdf</v>
      </c>
      <c r="O2132" s="3" t="s">
        <v>8491</v>
      </c>
    </row>
    <row r="2133" spans="1:15" ht="151.80000000000001" x14ac:dyDescent="0.3">
      <c r="A2133" s="4">
        <v>2132</v>
      </c>
      <c r="B2133" s="5" t="s">
        <v>8492</v>
      </c>
      <c r="C2133" s="5"/>
      <c r="D2133" s="5"/>
      <c r="E2133" s="5"/>
      <c r="F2133" s="5" t="s">
        <v>8457</v>
      </c>
      <c r="G2133" s="5" t="s">
        <v>8458</v>
      </c>
      <c r="H2133" s="5" t="s">
        <v>8459</v>
      </c>
      <c r="I2133" s="5" t="s">
        <v>20</v>
      </c>
      <c r="J2133" s="5">
        <v>48.36</v>
      </c>
      <c r="K2133" s="5" t="s">
        <v>21</v>
      </c>
      <c r="L2133" s="5" t="s">
        <v>8493</v>
      </c>
      <c r="M2133" s="5" t="s">
        <v>8461</v>
      </c>
      <c r="N2133" s="7" t="str">
        <f>HYPERLINK("C:\Users\alexa\YandexDisk\Книги\Программирование\1С\Технологии_интеграции_1С_Предприятия_8_3.pdf","Технологии_интеграции_1С_Предприятия_8_3.pdf")</f>
        <v>Технологии_интеграции_1С_Предприятия_8_3.pdf</v>
      </c>
      <c r="O2133" s="5" t="s">
        <v>8494</v>
      </c>
    </row>
    <row r="2134" spans="1:15" ht="165.6" x14ac:dyDescent="0.3">
      <c r="A2134" s="2">
        <v>2133</v>
      </c>
      <c r="B2134" s="3" t="s">
        <v>8495</v>
      </c>
      <c r="C2134" s="3" t="s">
        <v>8496</v>
      </c>
      <c r="D2134" s="3" t="s">
        <v>71</v>
      </c>
      <c r="E2134" s="3"/>
      <c r="F2134" s="3" t="s">
        <v>8497</v>
      </c>
      <c r="G2134" s="3" t="s">
        <v>8458</v>
      </c>
      <c r="H2134" s="3" t="s">
        <v>8498</v>
      </c>
      <c r="I2134" s="3" t="s">
        <v>20</v>
      </c>
      <c r="J2134" s="3">
        <v>2.35</v>
      </c>
      <c r="K2134" s="3" t="s">
        <v>21</v>
      </c>
      <c r="L2134" s="3" t="s">
        <v>8499</v>
      </c>
      <c r="M2134" s="3" t="s">
        <v>8500</v>
      </c>
      <c r="N2134" s="6" t="str">
        <f>HYPERLINK("C:\Users\alexa\YandexDisk\Книги\Программирование\Ada\Введение_в_язык_программирования_Ada.pdf","Введение_в_язык_программирования_Ada.pdf")</f>
        <v>Введение_в_язык_программирования_Ada.pdf</v>
      </c>
      <c r="O2134" s="3" t="s">
        <v>8501</v>
      </c>
    </row>
    <row r="2135" spans="1:15" ht="179.4" x14ac:dyDescent="0.3">
      <c r="A2135" s="4">
        <v>2134</v>
      </c>
      <c r="B2135" s="5" t="s">
        <v>8502</v>
      </c>
      <c r="C2135" s="5" t="s">
        <v>8503</v>
      </c>
      <c r="D2135" s="5" t="s">
        <v>50</v>
      </c>
      <c r="E2135" s="5" t="s">
        <v>8504</v>
      </c>
      <c r="F2135" s="5" t="s">
        <v>8505</v>
      </c>
      <c r="G2135" s="5" t="s">
        <v>8458</v>
      </c>
      <c r="H2135" s="5" t="s">
        <v>8506</v>
      </c>
      <c r="I2135" s="5" t="s">
        <v>20</v>
      </c>
      <c r="J2135" s="5">
        <v>1.38</v>
      </c>
      <c r="K2135" s="5" t="s">
        <v>21</v>
      </c>
      <c r="L2135" s="5" t="s">
        <v>8507</v>
      </c>
      <c r="M2135" s="5" t="s">
        <v>8508</v>
      </c>
      <c r="N2135" s="7" t="str">
        <f>HYPERLINK("C:\Users\alexa\YandexDisk\Книги\Программирование\Assembler\Черкасова_Н_И_Основы_программирования_на_Ассемблере_для_OS_Windows.pdf","Черкасова_Н_И_Основы_программирования_на_Ассемблере_для_OS_Windows.pdf")</f>
        <v>Черкасова_Н_И_Основы_программирования_на_Ассемблере_для_OS_Windows.pdf</v>
      </c>
      <c r="O2135" s="5" t="s">
        <v>8509</v>
      </c>
    </row>
    <row r="2136" spans="1:15" ht="165.6" x14ac:dyDescent="0.3">
      <c r="A2136" s="2">
        <v>2135</v>
      </c>
      <c r="B2136" s="3" t="s">
        <v>8510</v>
      </c>
      <c r="C2136" s="3" t="s">
        <v>8511</v>
      </c>
      <c r="D2136" s="3" t="s">
        <v>186</v>
      </c>
      <c r="E2136" s="3" t="s">
        <v>102</v>
      </c>
      <c r="F2136" s="3" t="s">
        <v>8512</v>
      </c>
      <c r="G2136" s="3" t="s">
        <v>8458</v>
      </c>
      <c r="H2136" s="3" t="s">
        <v>8513</v>
      </c>
      <c r="I2136" s="3" t="s">
        <v>20</v>
      </c>
      <c r="J2136" s="3">
        <v>11.82</v>
      </c>
      <c r="K2136" s="3" t="s">
        <v>21</v>
      </c>
      <c r="L2136" s="3" t="s">
        <v>8514</v>
      </c>
      <c r="M2136" s="3" t="s">
        <v>8515</v>
      </c>
      <c r="N2136" s="6" t="str">
        <f>HYPERLINK("C:\Users\alexa\YandexDisk\Книги\Программирование\C\!С_для_программистов_с_введением_в_С11 2014.pdf","!С_для_программистов_с_введением_в_С11 2014.pdf")</f>
        <v>!С_для_программистов_с_введением_в_С11 2014.pdf</v>
      </c>
      <c r="O2136" s="3" t="s">
        <v>8516</v>
      </c>
    </row>
    <row r="2137" spans="1:15" ht="193.2" x14ac:dyDescent="0.3">
      <c r="A2137" s="4">
        <v>2136</v>
      </c>
      <c r="B2137" s="5" t="s">
        <v>8517</v>
      </c>
      <c r="C2137" s="5" t="s">
        <v>8518</v>
      </c>
      <c r="D2137" s="5" t="s">
        <v>17</v>
      </c>
      <c r="E2137" s="5" t="s">
        <v>18</v>
      </c>
      <c r="F2137" s="5" t="s">
        <v>8512</v>
      </c>
      <c r="G2137" s="5" t="s">
        <v>8458</v>
      </c>
      <c r="H2137" s="5" t="s">
        <v>8513</v>
      </c>
      <c r="I2137" s="5" t="s">
        <v>20</v>
      </c>
      <c r="J2137" s="5">
        <v>8.0299999999999994</v>
      </c>
      <c r="K2137" s="5" t="s">
        <v>21</v>
      </c>
      <c r="L2137" s="5" t="s">
        <v>8519</v>
      </c>
      <c r="M2137" s="5" t="s">
        <v>8515</v>
      </c>
      <c r="N2137" s="7" t="str">
        <f>HYPERLINK("C:\Users\alexa\YandexDisk\Книги\Программирование\C\!Экстремальный_Cи_Параллелизм,ООП_продвинутые_возможности_2021.pdf","!Экстремальный_Cи_Параллелизм,ООП_продвинутые_возможности_2021.pdf")</f>
        <v>!Экстремальный_Cи_Параллелизм,ООП_продвинутые_возможности_2021.pdf</v>
      </c>
      <c r="O2137" s="5" t="s">
        <v>8520</v>
      </c>
    </row>
    <row r="2138" spans="1:15" ht="165.6" x14ac:dyDescent="0.3">
      <c r="A2138" s="2">
        <v>2137</v>
      </c>
      <c r="B2138" s="3" t="s">
        <v>8521</v>
      </c>
      <c r="C2138" s="3" t="s">
        <v>8522</v>
      </c>
      <c r="D2138" s="3" t="s">
        <v>109</v>
      </c>
      <c r="E2138" s="3" t="s">
        <v>908</v>
      </c>
      <c r="F2138" s="3" t="s">
        <v>8512</v>
      </c>
      <c r="G2138" s="3" t="s">
        <v>8458</v>
      </c>
      <c r="H2138" s="3" t="s">
        <v>8513</v>
      </c>
      <c r="I2138" s="3" t="s">
        <v>20</v>
      </c>
      <c r="J2138" s="3">
        <v>33.369999999999997</v>
      </c>
      <c r="K2138" s="3" t="s">
        <v>21</v>
      </c>
      <c r="L2138" s="3" t="s">
        <v>8523</v>
      </c>
      <c r="M2138" s="3" t="s">
        <v>8515</v>
      </c>
      <c r="N2138" s="6" t="str">
        <f>HYPERLINK("C:\Users\alexa\YandexDisk\Книги\Программирование\C\C Programming 2024.pdf","C Programming 2024.pdf")</f>
        <v>C Programming 2024.pdf</v>
      </c>
      <c r="O2138" s="3" t="s">
        <v>8524</v>
      </c>
    </row>
    <row r="2139" spans="1:15" ht="165.6" x14ac:dyDescent="0.3">
      <c r="A2139" s="4">
        <v>2138</v>
      </c>
      <c r="B2139" s="5" t="s">
        <v>8525</v>
      </c>
      <c r="C2139" s="5" t="s">
        <v>8526</v>
      </c>
      <c r="D2139" s="5" t="s">
        <v>32</v>
      </c>
      <c r="E2139" s="5" t="s">
        <v>938</v>
      </c>
      <c r="F2139" s="5" t="s">
        <v>8512</v>
      </c>
      <c r="G2139" s="5" t="s">
        <v>8458</v>
      </c>
      <c r="H2139" s="5" t="s">
        <v>8513</v>
      </c>
      <c r="I2139" s="5" t="s">
        <v>20</v>
      </c>
      <c r="J2139" s="5">
        <v>3.97</v>
      </c>
      <c r="K2139" s="5" t="s">
        <v>21</v>
      </c>
      <c r="L2139" s="5" t="s">
        <v>8527</v>
      </c>
      <c r="M2139" s="5" t="s">
        <v>8515</v>
      </c>
      <c r="N2139" s="7" t="str">
        <f>HYPERLINK("C:\Users\alexa\YandexDisk\Книги\Программирование\C\Chopra_R_-_C_Programming_A_Self-Teaching_Introduction_-_2018.pdf","Chopra_R_-_C_Programming_A_Self-Teaching_Introduction_-_2018.pdf")</f>
        <v>Chopra_R_-_C_Programming_A_Self-Teaching_Introduction_-_2018.pdf</v>
      </c>
      <c r="O2139" s="5" t="s">
        <v>8528</v>
      </c>
    </row>
    <row r="2140" spans="1:15" ht="207" x14ac:dyDescent="0.3">
      <c r="A2140" s="2">
        <v>2139</v>
      </c>
      <c r="B2140" s="3" t="s">
        <v>8529</v>
      </c>
      <c r="C2140" s="3" t="s">
        <v>8511</v>
      </c>
      <c r="D2140" s="3" t="s">
        <v>27</v>
      </c>
      <c r="E2140" s="3" t="s">
        <v>8530</v>
      </c>
      <c r="F2140" s="3" t="s">
        <v>8512</v>
      </c>
      <c r="G2140" s="3" t="s">
        <v>8458</v>
      </c>
      <c r="H2140" s="3" t="s">
        <v>8513</v>
      </c>
      <c r="I2140" s="3" t="s">
        <v>20</v>
      </c>
      <c r="J2140" s="3">
        <v>31.85</v>
      </c>
      <c r="K2140" s="3" t="s">
        <v>21</v>
      </c>
      <c r="L2140" s="3" t="s">
        <v>8531</v>
      </c>
      <c r="M2140" s="3" t="s">
        <v>8515</v>
      </c>
      <c r="N2140" s="6" t="str">
        <f>HYPERLINK("C:\Users\alexa\YandexDisk\Книги\Программирование\C\C_How_to_Program_Case_Studies_in_Applications_and_Systems_2023.pdf","C_How_to_Program_Case_Studies_in_Applications_and_Systems_2023.pdf")</f>
        <v>C_How_to_Program_Case_Studies_in_Applications_and_Systems_2023.pdf</v>
      </c>
      <c r="O2140" s="3" t="s">
        <v>8532</v>
      </c>
    </row>
    <row r="2141" spans="1:15" ht="165.6" x14ac:dyDescent="0.3">
      <c r="A2141" s="4">
        <v>2140</v>
      </c>
      <c r="B2141" s="5" t="s">
        <v>8533</v>
      </c>
      <c r="C2141" s="5" t="s">
        <v>8534</v>
      </c>
      <c r="D2141" s="5" t="s">
        <v>77</v>
      </c>
      <c r="E2141" s="5" t="s">
        <v>8535</v>
      </c>
      <c r="F2141" s="5" t="s">
        <v>8512</v>
      </c>
      <c r="G2141" s="5" t="s">
        <v>8458</v>
      </c>
      <c r="H2141" s="5" t="s">
        <v>8513</v>
      </c>
      <c r="I2141" s="5" t="s">
        <v>20</v>
      </c>
      <c r="J2141" s="5">
        <v>9.11</v>
      </c>
      <c r="K2141" s="5" t="s">
        <v>21</v>
      </c>
      <c r="L2141" s="5" t="s">
        <v>8536</v>
      </c>
      <c r="M2141" s="5" t="s">
        <v>8515</v>
      </c>
      <c r="N2141" s="7" t="str">
        <f>HYPERLINK("C:\Users\alexa\YandexDisk\Книги\Программирование\C\Introduction to C &amp; GUI Programming -2019.pdf","Introduction to C &amp; GUI Programming -2019.pdf")</f>
        <v>Introduction to C &amp; GUI Programming -2019.pdf</v>
      </c>
      <c r="O2141" s="5" t="s">
        <v>8537</v>
      </c>
    </row>
    <row r="2142" spans="1:15" ht="220.8" x14ac:dyDescent="0.3">
      <c r="A2142" s="2">
        <v>2141</v>
      </c>
      <c r="B2142" s="3" t="s">
        <v>8538</v>
      </c>
      <c r="C2142" s="3" t="s">
        <v>8539</v>
      </c>
      <c r="D2142" s="3" t="s">
        <v>59</v>
      </c>
      <c r="E2142" s="3" t="s">
        <v>536</v>
      </c>
      <c r="F2142" s="3" t="s">
        <v>8512</v>
      </c>
      <c r="G2142" s="3" t="s">
        <v>8458</v>
      </c>
      <c r="H2142" s="3" t="s">
        <v>8513</v>
      </c>
      <c r="I2142" s="3" t="s">
        <v>20</v>
      </c>
      <c r="J2142" s="3">
        <v>4.83</v>
      </c>
      <c r="K2142" s="3" t="s">
        <v>21</v>
      </c>
      <c r="L2142" s="3" t="s">
        <v>8540</v>
      </c>
      <c r="M2142" s="3" t="s">
        <v>8515</v>
      </c>
      <c r="N2142" s="6" t="str">
        <f>HYPERLINK("C:\Users\alexa\YandexDisk\Книги\Программирование\C\Modern C [2020].pdf","Modern C [2020].pdf")</f>
        <v>Modern C [2020].pdf</v>
      </c>
      <c r="O2142" s="3" t="s">
        <v>8541</v>
      </c>
    </row>
    <row r="2143" spans="1:15" ht="193.2" x14ac:dyDescent="0.3">
      <c r="A2143" s="4">
        <v>2142</v>
      </c>
      <c r="B2143" s="5" t="s">
        <v>8542</v>
      </c>
      <c r="C2143" s="5" t="s">
        <v>8543</v>
      </c>
      <c r="D2143" s="5" t="s">
        <v>17</v>
      </c>
      <c r="E2143" s="5" t="s">
        <v>227</v>
      </c>
      <c r="F2143" s="5" t="s">
        <v>8512</v>
      </c>
      <c r="G2143" s="5" t="s">
        <v>8458</v>
      </c>
      <c r="H2143" s="5" t="s">
        <v>8513</v>
      </c>
      <c r="I2143" s="5" t="s">
        <v>20</v>
      </c>
      <c r="J2143" s="5">
        <v>13.03</v>
      </c>
      <c r="K2143" s="5" t="s">
        <v>21</v>
      </c>
      <c r="L2143" s="5" t="s">
        <v>8544</v>
      </c>
      <c r="M2143" s="5" t="s">
        <v>8515</v>
      </c>
      <c r="N2143" s="7" t="str">
        <f>HYPERLINK("C:\Users\alexa\YandexDisk\Книги\Программирование\C\Pointers in C Programming [2021] Mailund Thomas.pdf","Pointers in C Programming [2021] Mailund Thomas.pdf")</f>
        <v>Pointers in C Programming [2021] Mailund Thomas.pdf</v>
      </c>
      <c r="O2143" s="5" t="s">
        <v>8545</v>
      </c>
    </row>
    <row r="2144" spans="1:15" ht="124.2" x14ac:dyDescent="0.3">
      <c r="A2144" s="2">
        <v>2143</v>
      </c>
      <c r="B2144" s="3" t="s">
        <v>8546</v>
      </c>
      <c r="C2144" s="3" t="s">
        <v>8547</v>
      </c>
      <c r="D2144" s="3" t="s">
        <v>17</v>
      </c>
      <c r="E2144" s="3" t="s">
        <v>227</v>
      </c>
      <c r="F2144" s="3" t="s">
        <v>8512</v>
      </c>
      <c r="G2144" s="3" t="s">
        <v>8458</v>
      </c>
      <c r="H2144" s="3" t="s">
        <v>8513</v>
      </c>
      <c r="I2144" s="3" t="s">
        <v>20</v>
      </c>
      <c r="J2144" s="3">
        <v>8.7799999999999994</v>
      </c>
      <c r="K2144" s="3" t="s">
        <v>21</v>
      </c>
      <c r="L2144" s="3" t="s">
        <v>8548</v>
      </c>
      <c r="M2144" s="3" t="s">
        <v>8515</v>
      </c>
      <c r="N2144" s="6" t="str">
        <f>HYPERLINK("C:\Users\alexa\YandexDisk\Книги\Программирование\C\Practical_System Linux Programming_with_C-2021.pdf","Practical_System Linux Programming_with_C-2021.pdf")</f>
        <v>Practical_System Linux Programming_with_C-2021.pdf</v>
      </c>
      <c r="O2144" s="3" t="s">
        <v>8549</v>
      </c>
    </row>
    <row r="2145" spans="1:15" ht="151.80000000000001" x14ac:dyDescent="0.3">
      <c r="A2145" s="4">
        <v>2144</v>
      </c>
      <c r="B2145" s="5" t="s">
        <v>8550</v>
      </c>
      <c r="C2145" s="5" t="s">
        <v>8551</v>
      </c>
      <c r="D2145" s="5" t="s">
        <v>17</v>
      </c>
      <c r="E2145" s="5" t="s">
        <v>260</v>
      </c>
      <c r="F2145" s="5" t="s">
        <v>8512</v>
      </c>
      <c r="G2145" s="5" t="s">
        <v>8458</v>
      </c>
      <c r="H2145" s="5" t="s">
        <v>8513</v>
      </c>
      <c r="I2145" s="5" t="s">
        <v>20</v>
      </c>
      <c r="J2145" s="5">
        <v>20.85</v>
      </c>
      <c r="K2145" s="5" t="s">
        <v>21</v>
      </c>
      <c r="L2145" s="5" t="s">
        <v>8552</v>
      </c>
      <c r="M2145" s="5" t="s">
        <v>8515</v>
      </c>
      <c r="N2145" s="7" t="str">
        <f>HYPERLINK("C:\Users\alexa\YandexDisk\Книги\Программирование\C\Smaller C Lean Code for Small Machines -2021.pdf","Smaller C Lean Code for Small Machines -2021.pdf")</f>
        <v>Smaller C Lean Code for Small Machines -2021.pdf</v>
      </c>
      <c r="O2145" s="5" t="s">
        <v>8553</v>
      </c>
    </row>
    <row r="2146" spans="1:15" ht="151.80000000000001" x14ac:dyDescent="0.3">
      <c r="A2146" s="2">
        <v>2145</v>
      </c>
      <c r="B2146" s="3" t="s">
        <v>8554</v>
      </c>
      <c r="C2146" s="3" t="s">
        <v>8555</v>
      </c>
      <c r="D2146" s="3" t="s">
        <v>71</v>
      </c>
      <c r="E2146" s="3" t="s">
        <v>72</v>
      </c>
      <c r="F2146" s="3" t="s">
        <v>8512</v>
      </c>
      <c r="G2146" s="3" t="s">
        <v>8458</v>
      </c>
      <c r="H2146" s="3" t="s">
        <v>8513</v>
      </c>
      <c r="I2146" s="3" t="s">
        <v>20</v>
      </c>
      <c r="J2146" s="3">
        <v>7.31</v>
      </c>
      <c r="K2146" s="3" t="s">
        <v>21</v>
      </c>
      <c r="L2146" s="3" t="s">
        <v>8556</v>
      </c>
      <c r="M2146" s="3" t="s">
        <v>8515</v>
      </c>
      <c r="N2146" s="6" t="str">
        <f>HYPERLINK("C:\Users\alexa\YandexDisk\Книги\Программирование\C\Writing_a_C_Compiler_Build_a_Real_Programming_Language.pdf","Writing_a_C_Compiler_Build_a_Real_Programming_Language.pdf")</f>
        <v>Writing_a_C_Compiler_Build_a_Real_Programming_Language.pdf</v>
      </c>
      <c r="O2146" s="3" t="s">
        <v>8557</v>
      </c>
    </row>
    <row r="2147" spans="1:15" ht="41.4" x14ac:dyDescent="0.3">
      <c r="A2147" s="4">
        <v>2146</v>
      </c>
      <c r="B2147" s="5" t="s">
        <v>8558</v>
      </c>
      <c r="C2147" s="5" t="s">
        <v>1965</v>
      </c>
      <c r="D2147" s="5" t="s">
        <v>1022</v>
      </c>
      <c r="E2147" s="5"/>
      <c r="F2147" s="5" t="s">
        <v>8512</v>
      </c>
      <c r="G2147" s="5" t="s">
        <v>8458</v>
      </c>
      <c r="H2147" s="5" t="s">
        <v>8513</v>
      </c>
      <c r="I2147" s="5" t="s">
        <v>20</v>
      </c>
      <c r="J2147" s="5">
        <v>12.93</v>
      </c>
      <c r="K2147" s="5" t="s">
        <v>21</v>
      </c>
      <c r="L2147" s="5" t="s">
        <v>8559</v>
      </c>
      <c r="M2147" s="5" t="s">
        <v>8515</v>
      </c>
      <c r="N2147" s="7" t="str">
        <f>HYPERLINK("C:\Users\alexa\YandexDisk\Книги\Программирование\C\Безопасное_программирование_на_C_и_C++ 2015.pdf","Безопасное_программирование_на_C_и_C++ 2015.pdf")</f>
        <v>Безопасное_программирование_на_C_и_C++ 2015.pdf</v>
      </c>
      <c r="O2147" s="5" t="s">
        <v>930</v>
      </c>
    </row>
    <row r="2148" spans="1:15" ht="151.80000000000001" x14ac:dyDescent="0.3">
      <c r="A2148" s="2">
        <v>2147</v>
      </c>
      <c r="B2148" s="3" t="s">
        <v>8560</v>
      </c>
      <c r="C2148" s="3" t="s">
        <v>8561</v>
      </c>
      <c r="D2148" s="3" t="s">
        <v>1022</v>
      </c>
      <c r="E2148" s="3" t="s">
        <v>102</v>
      </c>
      <c r="F2148" s="3" t="s">
        <v>8512</v>
      </c>
      <c r="G2148" s="3" t="s">
        <v>8458</v>
      </c>
      <c r="H2148" s="3" t="s">
        <v>8513</v>
      </c>
      <c r="I2148" s="3" t="s">
        <v>20</v>
      </c>
      <c r="J2148" s="3">
        <v>6.65</v>
      </c>
      <c r="K2148" s="3" t="s">
        <v>21</v>
      </c>
      <c r="L2148" s="3" t="s">
        <v>8562</v>
      </c>
      <c r="M2148" s="3" t="s">
        <v>8515</v>
      </c>
      <c r="N2148" s="6" t="str">
        <f>HYPERLINK("C:\Users\alexa\YandexDisk\Книги\Программирование\C\Бен_Клеменс_Авт_А_Слинкин_Пер_Язык_С_в_XXI_веке_ДМК_Пресс_2015.pdf","Бен_Клеменс_Авт_А_Слинкин_Пер_Язык_С_в_XXI_веке_ДМК_Пресс_2015.pdf")</f>
        <v>Бен_Клеменс_Авт_А_Слинкин_Пер_Язык_С_в_XXI_веке_ДМК_Пресс_2015.pdf</v>
      </c>
      <c r="O2148" s="3" t="s">
        <v>8563</v>
      </c>
    </row>
    <row r="2149" spans="1:15" ht="138" x14ac:dyDescent="0.3">
      <c r="A2149" s="4">
        <v>2148</v>
      </c>
      <c r="B2149" s="5" t="s">
        <v>8564</v>
      </c>
      <c r="C2149" s="5" t="s">
        <v>8565</v>
      </c>
      <c r="D2149" s="5" t="s">
        <v>476</v>
      </c>
      <c r="E2149" s="5"/>
      <c r="F2149" s="5" t="s">
        <v>8512</v>
      </c>
      <c r="G2149" s="5" t="s">
        <v>8458</v>
      </c>
      <c r="H2149" s="5" t="s">
        <v>8513</v>
      </c>
      <c r="I2149" s="5" t="s">
        <v>721</v>
      </c>
      <c r="J2149" s="5">
        <v>67.77</v>
      </c>
      <c r="K2149" s="5" t="s">
        <v>21</v>
      </c>
      <c r="L2149" s="5" t="s">
        <v>8566</v>
      </c>
      <c r="M2149" s="5" t="s">
        <v>8515</v>
      </c>
      <c r="N2149" s="7" t="str">
        <f>HYPERLINK("C:\Users\alexa\YandexDisk\Книги\Программирование\C\Изучаем программирование на C [2013] Дэвид Гриффитс, Дон Гриффитс.djvu","Изучаем программирование на C [2013] Дэвид Гриффитс, Дон Гриффитс.djvu")</f>
        <v>Изучаем программирование на C [2013] Дэвид Гриффитс, Дон Гриффитс.djvu</v>
      </c>
      <c r="O2149" s="5" t="s">
        <v>8567</v>
      </c>
    </row>
    <row r="2150" spans="1:15" ht="179.4" x14ac:dyDescent="0.3">
      <c r="A2150" s="2">
        <v>2149</v>
      </c>
      <c r="B2150" s="3" t="s">
        <v>8568</v>
      </c>
      <c r="C2150" s="3" t="s">
        <v>8569</v>
      </c>
      <c r="D2150" s="3" t="s">
        <v>2824</v>
      </c>
      <c r="E2150" s="3"/>
      <c r="F2150" s="3" t="s">
        <v>8512</v>
      </c>
      <c r="G2150" s="3" t="s">
        <v>8458</v>
      </c>
      <c r="H2150" s="3" t="s">
        <v>8513</v>
      </c>
      <c r="I2150" s="3" t="s">
        <v>20</v>
      </c>
      <c r="J2150" s="3">
        <v>53.35</v>
      </c>
      <c r="K2150" s="3" t="s">
        <v>21</v>
      </c>
      <c r="L2150" s="3" t="s">
        <v>8570</v>
      </c>
      <c r="M2150" s="3" t="s">
        <v>8515</v>
      </c>
      <c r="N2150" s="6" t="str">
        <f>HYPERLINK("C:\Users\alexa\YandexDisk\Книги\Программирование\C\Поный справочник по языку_C-2002.pdf","Поный справочник по языку_C-2002.pdf")</f>
        <v>Поный справочник по языку_C-2002.pdf</v>
      </c>
      <c r="O2150" s="3" t="s">
        <v>8571</v>
      </c>
    </row>
    <row r="2151" spans="1:15" ht="165.6" x14ac:dyDescent="0.3">
      <c r="A2151" s="4">
        <v>2150</v>
      </c>
      <c r="B2151" s="5" t="s">
        <v>8572</v>
      </c>
      <c r="C2151" s="5" t="s">
        <v>8573</v>
      </c>
      <c r="D2151" s="5" t="s">
        <v>71</v>
      </c>
      <c r="E2151" s="5" t="s">
        <v>148</v>
      </c>
      <c r="F2151" s="5" t="s">
        <v>8512</v>
      </c>
      <c r="G2151" s="5" t="s">
        <v>8458</v>
      </c>
      <c r="H2151" s="5" t="s">
        <v>8513</v>
      </c>
      <c r="I2151" s="5" t="s">
        <v>20</v>
      </c>
      <c r="J2151" s="5">
        <v>2.31</v>
      </c>
      <c r="K2151" s="5" t="s">
        <v>21</v>
      </c>
      <c r="L2151" s="5" t="s">
        <v>8574</v>
      </c>
      <c r="M2151" s="5" t="s">
        <v>8515</v>
      </c>
      <c r="N2151" s="7" t="str">
        <f>HYPERLINK("C:\Users\alexa\YandexDisk\Книги\Программирование\C\Программирование на языке Си. Учебник ВУЗ-2022.pdf","Программирование на языке Си. Учебник ВУЗ-2022.pdf")</f>
        <v>Программирование на языке Си. Учебник ВУЗ-2022.pdf</v>
      </c>
      <c r="O2151" s="5" t="s">
        <v>8575</v>
      </c>
    </row>
    <row r="2152" spans="1:15" ht="193.2" x14ac:dyDescent="0.3">
      <c r="A2152" s="2">
        <v>2151</v>
      </c>
      <c r="B2152" s="3" t="s">
        <v>8576</v>
      </c>
      <c r="C2152" s="3" t="s">
        <v>8577</v>
      </c>
      <c r="D2152" s="3" t="s">
        <v>50</v>
      </c>
      <c r="E2152" s="3" t="s">
        <v>8578</v>
      </c>
      <c r="F2152" s="3" t="s">
        <v>8512</v>
      </c>
      <c r="G2152" s="3" t="s">
        <v>8458</v>
      </c>
      <c r="H2152" s="3" t="s">
        <v>8513</v>
      </c>
      <c r="I2152" s="3" t="s">
        <v>20</v>
      </c>
      <c r="J2152" s="3">
        <v>42.25</v>
      </c>
      <c r="K2152" s="3" t="s">
        <v>21</v>
      </c>
      <c r="L2152" s="3" t="s">
        <v>8579</v>
      </c>
      <c r="M2152" s="3" t="s">
        <v>8515</v>
      </c>
      <c r="N2152" s="6" t="str">
        <f>HYPERLINK("C:\Users\alexa\YandexDisk\Книги\Программирование\C\Решение задач на C.pdf","Решение задач на C.pdf")</f>
        <v>Решение задач на C.pdf</v>
      </c>
      <c r="O2152" s="3" t="s">
        <v>8580</v>
      </c>
    </row>
    <row r="2153" spans="1:15" ht="151.80000000000001" x14ac:dyDescent="0.3">
      <c r="A2153" s="4">
        <v>2152</v>
      </c>
      <c r="B2153" s="5" t="s">
        <v>8581</v>
      </c>
      <c r="C2153" s="5"/>
      <c r="D2153" s="5" t="s">
        <v>77</v>
      </c>
      <c r="E2153" s="5"/>
      <c r="F2153" s="5" t="s">
        <v>8512</v>
      </c>
      <c r="G2153" s="5" t="s">
        <v>8458</v>
      </c>
      <c r="H2153" s="5" t="s">
        <v>8513</v>
      </c>
      <c r="I2153" s="5" t="s">
        <v>20</v>
      </c>
      <c r="J2153" s="5">
        <v>71.099999999999994</v>
      </c>
      <c r="K2153" s="5" t="s">
        <v>21</v>
      </c>
      <c r="L2153" s="5" t="s">
        <v>8582</v>
      </c>
      <c r="M2153" s="5" t="s">
        <v>8515</v>
      </c>
      <c r="N2153" s="7" t="str">
        <f>HYPERLINK("C:\Users\alexa\YandexDisk\Книги\Программирование\C\Си на примерах -2019.pdf","Си на примерах -2019.pdf")</f>
        <v>Си на примерах -2019.pdf</v>
      </c>
      <c r="O2153" s="5" t="s">
        <v>8583</v>
      </c>
    </row>
    <row r="2154" spans="1:15" ht="220.8" x14ac:dyDescent="0.3">
      <c r="A2154" s="2">
        <v>2153</v>
      </c>
      <c r="B2154" s="3" t="s">
        <v>8584</v>
      </c>
      <c r="C2154" s="3" t="s">
        <v>8585</v>
      </c>
      <c r="D2154" s="3" t="s">
        <v>27</v>
      </c>
      <c r="E2154" s="3"/>
      <c r="F2154" s="3" t="s">
        <v>8512</v>
      </c>
      <c r="G2154" s="3" t="s">
        <v>8458</v>
      </c>
      <c r="H2154" s="3" t="s">
        <v>8513</v>
      </c>
      <c r="I2154" s="3" t="s">
        <v>20</v>
      </c>
      <c r="J2154" s="3">
        <v>7.55</v>
      </c>
      <c r="K2154" s="3" t="s">
        <v>21</v>
      </c>
      <c r="L2154" s="3" t="s">
        <v>8586</v>
      </c>
      <c r="M2154" s="3" t="s">
        <v>8515</v>
      </c>
      <c r="N2154" s="6" t="str">
        <f>HYPERLINK("C:\Users\alexa\YandexDisk\Книги\Программирование\C\Усовершенствованные_структуры_данных(примеры кода на С).pdf","Усовершенствованные_структуры_данных(примеры кода на С).pdf")</f>
        <v>Усовершенствованные_структуры_данных(примеры кода на С).pdf</v>
      </c>
      <c r="O2154" s="3" t="s">
        <v>8587</v>
      </c>
    </row>
    <row r="2155" spans="1:15" ht="138" x14ac:dyDescent="0.3">
      <c r="A2155" s="4">
        <v>2154</v>
      </c>
      <c r="B2155" s="5" t="s">
        <v>8588</v>
      </c>
      <c r="C2155" s="5" t="s">
        <v>8589</v>
      </c>
      <c r="D2155" s="5" t="s">
        <v>2849</v>
      </c>
      <c r="E2155" s="5"/>
      <c r="F2155" s="5" t="s">
        <v>8512</v>
      </c>
      <c r="G2155" s="5" t="s">
        <v>8458</v>
      </c>
      <c r="H2155" s="5" t="s">
        <v>8513</v>
      </c>
      <c r="I2155" s="5" t="s">
        <v>721</v>
      </c>
      <c r="J2155" s="5">
        <v>31.81</v>
      </c>
      <c r="K2155" s="5" t="s">
        <v>21</v>
      </c>
      <c r="L2155" s="5" t="s">
        <v>8590</v>
      </c>
      <c r="M2155" s="5" t="s">
        <v>8515</v>
      </c>
      <c r="N2155" s="7" t="str">
        <f>HYPERLINK("C:\Users\alexa\YandexDisk\Книги\Программирование\C\Фундаментальные алгоритмы, структуры данных и примеры приложений на C [2001] Хэзфилд.djvu","Фундаментальные алгоритмы, структуры данных и примеры приложений на C [2001] Хэзфилд.djvu")</f>
        <v>Фундаментальные алгоритмы, структуры данных и примеры приложений на C [2001] Хэзфилд.djvu</v>
      </c>
      <c r="O2155" s="5" t="s">
        <v>8591</v>
      </c>
    </row>
    <row r="2156" spans="1:15" ht="165.6" x14ac:dyDescent="0.3">
      <c r="A2156" s="2">
        <v>2155</v>
      </c>
      <c r="B2156" s="3" t="s">
        <v>8592</v>
      </c>
      <c r="C2156" s="3" t="s">
        <v>8593</v>
      </c>
      <c r="D2156" s="3" t="s">
        <v>71</v>
      </c>
      <c r="E2156" s="3" t="s">
        <v>18</v>
      </c>
      <c r="F2156" s="3" t="s">
        <v>8512</v>
      </c>
      <c r="G2156" s="3" t="s">
        <v>8458</v>
      </c>
      <c r="H2156" s="3" t="s">
        <v>8513</v>
      </c>
      <c r="I2156" s="3" t="s">
        <v>20</v>
      </c>
      <c r="J2156" s="3">
        <v>6.5</v>
      </c>
      <c r="K2156" s="3" t="s">
        <v>21</v>
      </c>
      <c r="L2156" s="3" t="s">
        <v>8594</v>
      </c>
      <c r="M2156" s="3" t="s">
        <v>8515</v>
      </c>
      <c r="N2156" s="6" t="str">
        <f>HYPERLINK("C:\Users\alexa\YandexDisk\Книги\Программирование\C\Эффективный C Профессиональное_программирование 2022.pdf","Эффективный C Профессиональное_программирование 2022.pdf")</f>
        <v>Эффективный C Профессиональное_программирование 2022.pdf</v>
      </c>
      <c r="O2156" s="3" t="s">
        <v>8595</v>
      </c>
    </row>
    <row r="2157" spans="1:15" ht="165.6" x14ac:dyDescent="0.3">
      <c r="A2157" s="4">
        <v>2156</v>
      </c>
      <c r="B2157" s="5" t="s">
        <v>8596</v>
      </c>
      <c r="C2157" s="5" t="s">
        <v>8597</v>
      </c>
      <c r="D2157" s="5" t="s">
        <v>1022</v>
      </c>
      <c r="E2157" s="5" t="s">
        <v>92</v>
      </c>
      <c r="F2157" s="5" t="s">
        <v>8512</v>
      </c>
      <c r="G2157" s="5" t="s">
        <v>8458</v>
      </c>
      <c r="H2157" s="5" t="s">
        <v>8513</v>
      </c>
      <c r="I2157" s="5" t="s">
        <v>20</v>
      </c>
      <c r="J2157" s="5">
        <v>15.25</v>
      </c>
      <c r="K2157" s="5" t="s">
        <v>21</v>
      </c>
      <c r="L2157" s="5" t="s">
        <v>8598</v>
      </c>
      <c r="M2157" s="5" t="s">
        <v>8515</v>
      </c>
      <c r="N2157" s="7" t="str">
        <f>HYPERLINK("C:\Users\alexa\YandexDisk\Книги\Программирование\C\Язык программирования C 6 изд Прата.pdf","Язык программирования C 6 изд Прата.pdf")</f>
        <v>Язык программирования C 6 изд Прата.pdf</v>
      </c>
      <c r="O2157" s="5" t="s">
        <v>8599</v>
      </c>
    </row>
    <row r="2158" spans="1:15" ht="151.80000000000001" x14ac:dyDescent="0.3">
      <c r="A2158" s="2">
        <v>2157</v>
      </c>
      <c r="B2158" s="3" t="s">
        <v>8600</v>
      </c>
      <c r="C2158" s="3" t="s">
        <v>8601</v>
      </c>
      <c r="D2158" s="3" t="s">
        <v>27</v>
      </c>
      <c r="E2158" s="3" t="s">
        <v>102</v>
      </c>
      <c r="F2158" s="3" t="s">
        <v>8512</v>
      </c>
      <c r="G2158" s="3" t="s">
        <v>8458</v>
      </c>
      <c r="H2158" s="3" t="s">
        <v>8513</v>
      </c>
      <c r="I2158" s="3" t="s">
        <v>20</v>
      </c>
      <c r="J2158" s="3">
        <v>6.65</v>
      </c>
      <c r="K2158" s="3" t="s">
        <v>21</v>
      </c>
      <c r="L2158" s="3" t="s">
        <v>8602</v>
      </c>
      <c r="M2158" s="3" t="s">
        <v>8515</v>
      </c>
      <c r="N2158" s="6" t="str">
        <f>HYPERLINK("C:\Users\alexa\YandexDisk\Книги\Программирование\C\Язык С. Патерны. Мастерство программирования-2023.pdf","Язык С. Патерны. Мастерство программирования-2023.pdf")</f>
        <v>Язык С. Патерны. Мастерство программирования-2023.pdf</v>
      </c>
      <c r="O2158" s="3" t="s">
        <v>8603</v>
      </c>
    </row>
    <row r="2159" spans="1:15" ht="220.8" x14ac:dyDescent="0.3">
      <c r="A2159" s="4">
        <v>2158</v>
      </c>
      <c r="B2159" s="5" t="s">
        <v>8604</v>
      </c>
      <c r="C2159" s="5" t="s">
        <v>3561</v>
      </c>
      <c r="D2159" s="5" t="s">
        <v>59</v>
      </c>
      <c r="E2159" s="5" t="s">
        <v>402</v>
      </c>
      <c r="F2159" s="5" t="s">
        <v>8512</v>
      </c>
      <c r="G2159" s="5" t="s">
        <v>8458</v>
      </c>
      <c r="H2159" s="5" t="s">
        <v>8513</v>
      </c>
      <c r="I2159" s="5" t="s">
        <v>20</v>
      </c>
      <c r="J2159" s="5">
        <v>40.729999999999997</v>
      </c>
      <c r="K2159" s="5" t="s">
        <v>21</v>
      </c>
      <c r="L2159" s="5" t="s">
        <v>8605</v>
      </c>
      <c r="M2159" s="5" t="s">
        <v>8515</v>
      </c>
      <c r="N2159" s="7" t="str">
        <f>HYPERLINK("C:\Users\alexa\YandexDisk\Книги\Программирование\C\Язык С. Самое необходимое 2020.pdf","Язык С. Самое необходимое 2020.pdf")</f>
        <v>Язык С. Самое необходимое 2020.pdf</v>
      </c>
      <c r="O2159" s="5" t="s">
        <v>8606</v>
      </c>
    </row>
    <row r="2160" spans="1:15" ht="124.2" x14ac:dyDescent="0.3">
      <c r="A2160" s="2">
        <v>2159</v>
      </c>
      <c r="B2160" s="3" t="s">
        <v>8607</v>
      </c>
      <c r="C2160" s="3"/>
      <c r="D2160" s="3" t="s">
        <v>27</v>
      </c>
      <c r="E2160" s="3"/>
      <c r="F2160" s="3" t="s">
        <v>8512</v>
      </c>
      <c r="G2160" s="3" t="s">
        <v>8458</v>
      </c>
      <c r="H2160" s="3" t="s">
        <v>8513</v>
      </c>
      <c r="I2160" s="3" t="s">
        <v>20</v>
      </c>
      <c r="J2160" s="3">
        <v>68.95</v>
      </c>
      <c r="K2160" s="3" t="s">
        <v>21</v>
      </c>
      <c r="L2160" s="3" t="s">
        <v>8608</v>
      </c>
      <c r="M2160" s="3" t="s">
        <v>8515</v>
      </c>
      <c r="N2160" s="6" t="str">
        <f>HYPERLINK("C:\Users\alexa\YandexDisk\Книги\Программирование\C\Язык С. Учебник ВУЗ. Кратко и ясно-2023.pdf","Язык С. Учебник ВУЗ. Кратко и ясно-2023.pdf")</f>
        <v>Язык С. Учебник ВУЗ. Кратко и ясно-2023.pdf</v>
      </c>
      <c r="O2160" s="3" t="s">
        <v>8609</v>
      </c>
    </row>
    <row r="2161" spans="1:15" ht="207" x14ac:dyDescent="0.3">
      <c r="A2161" s="4">
        <v>2160</v>
      </c>
      <c r="B2161" s="5" t="s">
        <v>8610</v>
      </c>
      <c r="C2161" s="5" t="s">
        <v>8611</v>
      </c>
      <c r="D2161" s="5" t="s">
        <v>27</v>
      </c>
      <c r="E2161" s="5" t="s">
        <v>18</v>
      </c>
      <c r="F2161" s="5" t="s">
        <v>8612</v>
      </c>
      <c r="G2161" s="5" t="s">
        <v>8458</v>
      </c>
      <c r="H2161" s="5" t="s">
        <v>8613</v>
      </c>
      <c r="I2161" s="5" t="s">
        <v>20</v>
      </c>
      <c r="J2161" s="5">
        <v>9.9499999999999993</v>
      </c>
      <c r="K2161" s="5" t="s">
        <v>21</v>
      </c>
      <c r="L2161" s="5" t="s">
        <v>8614</v>
      </c>
      <c r="M2161" s="5" t="s">
        <v>8615</v>
      </c>
      <c r="N2161" s="7" t="str">
        <f>HYPERLINK("C:\Users\alexa\YandexDisk\Книги\Программирование\C#\!!!Код,_который_умещается_в_голове_Эвристики_для_разработчиков_2023.pdf","!!!Код,_который_умещается_в_голове_Эвристики_для_разработчиков_2023.pdf")</f>
        <v>!!!Код,_который_умещается_в_голове_Эвристики_для_разработчиков_2023.pdf</v>
      </c>
      <c r="O2161" s="5" t="s">
        <v>8616</v>
      </c>
    </row>
    <row r="2162" spans="1:15" ht="179.4" x14ac:dyDescent="0.3">
      <c r="A2162" s="2">
        <v>2161</v>
      </c>
      <c r="B2162" s="3" t="s">
        <v>8617</v>
      </c>
      <c r="C2162" s="3" t="s">
        <v>8618</v>
      </c>
      <c r="D2162" s="3" t="s">
        <v>17</v>
      </c>
      <c r="E2162" s="3" t="s">
        <v>102</v>
      </c>
      <c r="F2162" s="3" t="s">
        <v>8612</v>
      </c>
      <c r="G2162" s="3" t="s">
        <v>8458</v>
      </c>
      <c r="H2162" s="3" t="s">
        <v>8613</v>
      </c>
      <c r="I2162" s="3" t="s">
        <v>20</v>
      </c>
      <c r="J2162" s="3">
        <v>36.94</v>
      </c>
      <c r="K2162" s="3" t="s">
        <v>21</v>
      </c>
      <c r="L2162" s="3" t="s">
        <v>8619</v>
      </c>
      <c r="M2162" s="3" t="s">
        <v>8615</v>
      </c>
      <c r="N2162" s="6" t="str">
        <f>HYPERLINK("C:\Users\alexa\YandexDisk\Книги\Программирование\C#\ASP.Net Core в действии [2021] Эндрю Лок.pdf","ASP.Net Core в действии [2021] Эндрю Лок.pdf")</f>
        <v>ASP.Net Core в действии [2021] Эндрю Лок.pdf</v>
      </c>
      <c r="O2162" s="3" t="s">
        <v>8620</v>
      </c>
    </row>
    <row r="2163" spans="1:15" ht="193.2" x14ac:dyDescent="0.3">
      <c r="A2163" s="4">
        <v>2162</v>
      </c>
      <c r="B2163" s="5" t="s">
        <v>8621</v>
      </c>
      <c r="C2163" s="5" t="s">
        <v>8622</v>
      </c>
      <c r="D2163" s="5" t="s">
        <v>71</v>
      </c>
      <c r="E2163" s="5" t="s">
        <v>260</v>
      </c>
      <c r="F2163" s="5" t="s">
        <v>8612</v>
      </c>
      <c r="G2163" s="5" t="s">
        <v>8458</v>
      </c>
      <c r="H2163" s="5" t="s">
        <v>8613</v>
      </c>
      <c r="I2163" s="5" t="s">
        <v>20</v>
      </c>
      <c r="J2163" s="5">
        <v>2.17</v>
      </c>
      <c r="K2163" s="5" t="s">
        <v>21</v>
      </c>
      <c r="L2163" s="5" t="s">
        <v>8623</v>
      </c>
      <c r="M2163" s="5" t="s">
        <v>8615</v>
      </c>
      <c r="N2163" s="7" t="str">
        <f>HYPERLINK("C:\Users\alexa\YandexDisk\Книги\Программирование\C#\C# 10 Pocket Reference.pdf","C# 10 Pocket Reference.pdf")</f>
        <v>C# 10 Pocket Reference.pdf</v>
      </c>
      <c r="O2163" s="5" t="s">
        <v>8624</v>
      </c>
    </row>
    <row r="2164" spans="1:15" ht="124.2" x14ac:dyDescent="0.3">
      <c r="A2164" s="2">
        <v>2163</v>
      </c>
      <c r="B2164" s="3" t="s">
        <v>8625</v>
      </c>
      <c r="C2164" s="3" t="s">
        <v>8622</v>
      </c>
      <c r="D2164" s="3" t="s">
        <v>17</v>
      </c>
      <c r="E2164" s="3" t="s">
        <v>442</v>
      </c>
      <c r="F2164" s="3" t="s">
        <v>8612</v>
      </c>
      <c r="G2164" s="3" t="s">
        <v>8458</v>
      </c>
      <c r="H2164" s="3" t="s">
        <v>8613</v>
      </c>
      <c r="I2164" s="3" t="s">
        <v>20</v>
      </c>
      <c r="J2164" s="3">
        <v>1.27</v>
      </c>
      <c r="K2164" s="3" t="s">
        <v>21</v>
      </c>
      <c r="L2164" s="3" t="s">
        <v>8626</v>
      </c>
      <c r="M2164" s="3" t="s">
        <v>8615</v>
      </c>
      <c r="N2164" s="6" t="str">
        <f>HYPERLINK("C:\Users\alexa\YandexDisk\Книги\Программирование\C#\C# 9.0. Карманный справочник.pdf","C# 9.0. Карманный справочник.pdf")</f>
        <v>C# 9.0. Карманный справочник.pdf</v>
      </c>
      <c r="O2164" s="3" t="s">
        <v>8627</v>
      </c>
    </row>
    <row r="2165" spans="1:15" ht="234.6" x14ac:dyDescent="0.3">
      <c r="A2165" s="4">
        <v>2164</v>
      </c>
      <c r="B2165" s="5" t="s">
        <v>8628</v>
      </c>
      <c r="C2165" s="5" t="s">
        <v>8629</v>
      </c>
      <c r="D2165" s="5" t="s">
        <v>71</v>
      </c>
      <c r="E2165" s="5" t="s">
        <v>18</v>
      </c>
      <c r="F2165" s="5" t="s">
        <v>8612</v>
      </c>
      <c r="G2165" s="5" t="s">
        <v>8458</v>
      </c>
      <c r="H2165" s="5" t="s">
        <v>8613</v>
      </c>
      <c r="I2165" s="5" t="s">
        <v>20</v>
      </c>
      <c r="J2165" s="5">
        <v>15.72</v>
      </c>
      <c r="K2165" s="5" t="s">
        <v>21</v>
      </c>
      <c r="L2165" s="5" t="s">
        <v>8630</v>
      </c>
      <c r="M2165" s="5" t="s">
        <v>8615</v>
      </c>
      <c r="N2165" s="7" t="str">
        <f>HYPERLINK("C:\Users\alexa\YandexDisk\Книги\Программирование\C#\C#_9_и_NET_5_Разработка_и_оптимизация.pdf","C#_9_и_NET_5_Разработка_и_оптимизация.pdf")</f>
        <v>C#_9_и_NET_5_Разработка_и_оптимизация.pdf</v>
      </c>
      <c r="O2165" s="5" t="s">
        <v>8631</v>
      </c>
    </row>
    <row r="2166" spans="1:15" ht="151.80000000000001" x14ac:dyDescent="0.3">
      <c r="A2166" s="2">
        <v>2165</v>
      </c>
      <c r="B2166" s="3" t="s">
        <v>8632</v>
      </c>
      <c r="C2166" s="3" t="s">
        <v>8633</v>
      </c>
      <c r="D2166" s="3" t="s">
        <v>2624</v>
      </c>
      <c r="E2166" s="3" t="s">
        <v>402</v>
      </c>
      <c r="F2166" s="3" t="s">
        <v>8612</v>
      </c>
      <c r="G2166" s="3" t="s">
        <v>8458</v>
      </c>
      <c r="H2166" s="3" t="s">
        <v>8613</v>
      </c>
      <c r="I2166" s="3" t="s">
        <v>20</v>
      </c>
      <c r="J2166" s="3">
        <v>12.66</v>
      </c>
      <c r="K2166" s="3" t="s">
        <v>21</v>
      </c>
      <c r="L2166" s="3" t="s">
        <v>8634</v>
      </c>
      <c r="M2166" s="3" t="s">
        <v>8615</v>
      </c>
      <c r="N2166" s="6" t="str">
        <f>HYPERLINK("C:\Users\alexa\YandexDisk\Книги\Программирование\C#\LINQ. Карманный справочник.pdf","LINQ. Карманный справочник.pdf")</f>
        <v>LINQ. Карманный справочник.pdf</v>
      </c>
      <c r="O2166" s="3" t="s">
        <v>8635</v>
      </c>
    </row>
    <row r="2167" spans="1:15" ht="179.4" x14ac:dyDescent="0.3">
      <c r="A2167" s="4">
        <v>2166</v>
      </c>
      <c r="B2167" s="5" t="s">
        <v>8636</v>
      </c>
      <c r="C2167" s="5" t="s">
        <v>8637</v>
      </c>
      <c r="D2167" s="5" t="s">
        <v>71</v>
      </c>
      <c r="E2167" s="5" t="s">
        <v>205</v>
      </c>
      <c r="F2167" s="5" t="s">
        <v>8612</v>
      </c>
      <c r="G2167" s="5" t="s">
        <v>8458</v>
      </c>
      <c r="H2167" s="5" t="s">
        <v>8613</v>
      </c>
      <c r="I2167" s="5" t="s">
        <v>20</v>
      </c>
      <c r="J2167" s="5">
        <v>6.1</v>
      </c>
      <c r="K2167" s="5" t="s">
        <v>21</v>
      </c>
      <c r="L2167" s="5" t="s">
        <v>8638</v>
      </c>
      <c r="M2167" s="5" t="s">
        <v>8615</v>
      </c>
      <c r="N2167" s="7" t="str">
        <f>HYPERLINK("C:\Users\alexa\YandexDisk\Книги\Программирование\C#\Mastering ABP Framework by Halil Ibrahim Kalkan.pdf","Mastering ABP Framework by Halil Ibrahim Kalkan.pdf")</f>
        <v>Mastering ABP Framework by Halil Ibrahim Kalkan.pdf</v>
      </c>
      <c r="O2167" s="5" t="s">
        <v>8639</v>
      </c>
    </row>
    <row r="2168" spans="1:15" ht="151.80000000000001" x14ac:dyDescent="0.3">
      <c r="A2168" s="2">
        <v>2167</v>
      </c>
      <c r="B2168" s="3" t="s">
        <v>8640</v>
      </c>
      <c r="C2168" s="3" t="s">
        <v>8641</v>
      </c>
      <c r="D2168" s="3" t="s">
        <v>71</v>
      </c>
      <c r="E2168" s="3" t="s">
        <v>18</v>
      </c>
      <c r="F2168" s="3" t="s">
        <v>8612</v>
      </c>
      <c r="G2168" s="3" t="s">
        <v>8458</v>
      </c>
      <c r="H2168" s="3" t="s">
        <v>8613</v>
      </c>
      <c r="I2168" s="3" t="s">
        <v>20</v>
      </c>
      <c r="J2168" s="3">
        <v>10.5</v>
      </c>
      <c r="K2168" s="3" t="s">
        <v>21</v>
      </c>
      <c r="L2168" s="3" t="s">
        <v>8642</v>
      </c>
      <c r="M2168" s="3" t="s">
        <v>8615</v>
      </c>
      <c r="N2168" s="6" t="str">
        <f>HYPERLINK("C:\Users\alexa\YandexDisk\Книги\Программирование\C#\Изучаем_C#_через_разработку_игр_на_Unity 2022.pdf","Изучаем_C#_через_разработку_игр_на_Unity 2022.pdf")</f>
        <v>Изучаем_C#_через_разработку_игр_на_Unity 2022.pdf</v>
      </c>
      <c r="O2168" s="3" t="s">
        <v>8643</v>
      </c>
    </row>
    <row r="2169" spans="1:15" ht="193.2" x14ac:dyDescent="0.3">
      <c r="A2169" s="4">
        <v>2168</v>
      </c>
      <c r="B2169" s="5" t="s">
        <v>8644</v>
      </c>
      <c r="C2169" s="5" t="s">
        <v>8645</v>
      </c>
      <c r="D2169" s="5" t="s">
        <v>186</v>
      </c>
      <c r="E2169" s="5" t="s">
        <v>102</v>
      </c>
      <c r="F2169" s="5" t="s">
        <v>8612</v>
      </c>
      <c r="G2169" s="5" t="s">
        <v>8458</v>
      </c>
      <c r="H2169" s="5" t="s">
        <v>8613</v>
      </c>
      <c r="I2169" s="5" t="s">
        <v>20</v>
      </c>
      <c r="J2169" s="5">
        <v>2.16</v>
      </c>
      <c r="K2169" s="5" t="s">
        <v>21</v>
      </c>
      <c r="L2169" s="5" t="s">
        <v>8646</v>
      </c>
      <c r="M2169" s="5" t="s">
        <v>8615</v>
      </c>
      <c r="N2169" s="7" t="str">
        <f>HYPERLINK("C:\Users\alexa\YandexDisk\Книги\Программирование\C#\Ошероув_Рой_Искусство_автономного_тестирования_с_примерами_на_С# (2).pdf","Ошероув_Рой_Искусство_автономного_тестирования_с_примерами_на_С# (2).pdf")</f>
        <v>Ошероув_Рой_Искусство_автономного_тестирования_с_примерами_на_С# (2).pdf</v>
      </c>
      <c r="O2169" s="5" t="s">
        <v>8647</v>
      </c>
    </row>
    <row r="2170" spans="1:15" ht="124.2" x14ac:dyDescent="0.3">
      <c r="A2170" s="2">
        <v>2169</v>
      </c>
      <c r="B2170" s="3" t="s">
        <v>8648</v>
      </c>
      <c r="C2170" s="3" t="s">
        <v>8649</v>
      </c>
      <c r="D2170" s="3" t="s">
        <v>71</v>
      </c>
      <c r="E2170" s="3" t="s">
        <v>2547</v>
      </c>
      <c r="F2170" s="3" t="s">
        <v>8612</v>
      </c>
      <c r="G2170" s="3" t="s">
        <v>8458</v>
      </c>
      <c r="H2170" s="3" t="s">
        <v>8613</v>
      </c>
      <c r="I2170" s="3" t="s">
        <v>20</v>
      </c>
      <c r="J2170" s="3">
        <v>15.35</v>
      </c>
      <c r="K2170" s="3" t="s">
        <v>21</v>
      </c>
      <c r="L2170" s="3" t="s">
        <v>8650</v>
      </c>
      <c r="M2170" s="3" t="s">
        <v>8615</v>
      </c>
      <c r="N2170" s="6" t="str">
        <f>HYPERLINK("C:\Users\alexa\YandexDisk\Книги\Программирование\C#\Программирование_Базовый_курс_С#.pdf","Программирование_Базовый_курс_С#.pdf")</f>
        <v>Программирование_Базовый_курс_С#.pdf</v>
      </c>
      <c r="O2170" s="3" t="s">
        <v>8651</v>
      </c>
    </row>
    <row r="2171" spans="1:15" ht="138" x14ac:dyDescent="0.3">
      <c r="A2171" s="4">
        <v>2170</v>
      </c>
      <c r="B2171" s="5" t="s">
        <v>8652</v>
      </c>
      <c r="C2171" s="5" t="s">
        <v>8653</v>
      </c>
      <c r="D2171" s="5" t="s">
        <v>77</v>
      </c>
      <c r="E2171" s="5" t="s">
        <v>1023</v>
      </c>
      <c r="F2171" s="5" t="s">
        <v>8612</v>
      </c>
      <c r="G2171" s="5" t="s">
        <v>8458</v>
      </c>
      <c r="H2171" s="5" t="s">
        <v>8613</v>
      </c>
      <c r="I2171" s="5" t="s">
        <v>20</v>
      </c>
      <c r="J2171" s="5">
        <v>5.66</v>
      </c>
      <c r="K2171" s="5" t="s">
        <v>21</v>
      </c>
      <c r="L2171" s="5" t="s">
        <v>8654</v>
      </c>
      <c r="M2171" s="5" t="s">
        <v>8615</v>
      </c>
      <c r="N2171" s="7" t="str">
        <f>HYPERLINK("C:\Users\alexa\YandexDisk\Книги\Программирование\C#\Программирование_на_С#_для_начинающих 2019.pdf","Программирование_на_С#_для_начинающих 2019.pdf")</f>
        <v>Программирование_на_С#_для_начинающих 2019.pdf</v>
      </c>
      <c r="O2171" s="5" t="s">
        <v>8655</v>
      </c>
    </row>
    <row r="2172" spans="1:15" ht="193.2" x14ac:dyDescent="0.3">
      <c r="A2172" s="2">
        <v>2171</v>
      </c>
      <c r="B2172" s="3" t="s">
        <v>8656</v>
      </c>
      <c r="C2172" s="3" t="s">
        <v>8657</v>
      </c>
      <c r="D2172" s="3" t="s">
        <v>71</v>
      </c>
      <c r="E2172" s="3" t="s">
        <v>18</v>
      </c>
      <c r="F2172" s="3" t="s">
        <v>8612</v>
      </c>
      <c r="G2172" s="3" t="s">
        <v>8458</v>
      </c>
      <c r="H2172" s="3" t="s">
        <v>8613</v>
      </c>
      <c r="I2172" s="3" t="s">
        <v>20</v>
      </c>
      <c r="J2172" s="3">
        <v>8.64</v>
      </c>
      <c r="K2172" s="3" t="s">
        <v>21</v>
      </c>
      <c r="L2172" s="3" t="s">
        <v>8658</v>
      </c>
      <c r="M2172" s="3" t="s">
        <v>8615</v>
      </c>
      <c r="N2172" s="6" t="str">
        <f>HYPERLINK("C:\Users\alexa\YandexDisk\Книги\Программирование\C#\Профессиональный бенчмарк 2022.pdf","Профессиональный бенчмарк 2022.pdf")</f>
        <v>Профессиональный бенчмарк 2022.pdf</v>
      </c>
      <c r="O2172" s="3" t="s">
        <v>8659</v>
      </c>
    </row>
    <row r="2173" spans="1:15" ht="151.80000000000001" x14ac:dyDescent="0.3">
      <c r="A2173" s="4">
        <v>2172</v>
      </c>
      <c r="B2173" s="5" t="s">
        <v>8660</v>
      </c>
      <c r="C2173" s="5" t="s">
        <v>8661</v>
      </c>
      <c r="D2173" s="5" t="s">
        <v>71</v>
      </c>
      <c r="E2173" s="5" t="s">
        <v>205</v>
      </c>
      <c r="F2173" s="5" t="s">
        <v>8662</v>
      </c>
      <c r="G2173" s="5" t="s">
        <v>8458</v>
      </c>
      <c r="H2173" s="5" t="s">
        <v>8663</v>
      </c>
      <c r="I2173" s="5" t="s">
        <v>20</v>
      </c>
      <c r="J2173" s="5">
        <v>10.88</v>
      </c>
      <c r="K2173" s="5" t="s">
        <v>21</v>
      </c>
      <c r="L2173" s="5" t="s">
        <v>8664</v>
      </c>
      <c r="M2173" s="5" t="s">
        <v>8665</v>
      </c>
      <c r="N2173" s="7" t="str">
        <f>HYPERLINK("C:\Users\alexa\YandexDisk\Книги\Программирование\C++\!_Modern_CMake_for_C++_Discover_a_better_approach_to_building,_tes.pdf","!_Modern_CMake_for_C++_Discover_a_better_approach_to_building,_tes.pdf")</f>
        <v>!_Modern_CMake_for_C++_Discover_a_better_approach_to_building,_tes.pdf</v>
      </c>
      <c r="O2173" s="5" t="s">
        <v>8666</v>
      </c>
    </row>
    <row r="2174" spans="1:15" ht="165.6" x14ac:dyDescent="0.3">
      <c r="A2174" s="2">
        <v>2173</v>
      </c>
      <c r="B2174" s="3" t="s">
        <v>8667</v>
      </c>
      <c r="C2174" s="3" t="s">
        <v>8668</v>
      </c>
      <c r="D2174" s="3" t="s">
        <v>1022</v>
      </c>
      <c r="E2174" s="3" t="s">
        <v>8669</v>
      </c>
      <c r="F2174" s="3" t="s">
        <v>8662</v>
      </c>
      <c r="G2174" s="3" t="s">
        <v>8458</v>
      </c>
      <c r="H2174" s="3" t="s">
        <v>8663</v>
      </c>
      <c r="I2174" s="3" t="s">
        <v>20</v>
      </c>
      <c r="J2174" s="3">
        <v>5.35</v>
      </c>
      <c r="K2174" s="3" t="s">
        <v>21</v>
      </c>
      <c r="L2174" s="3" t="s">
        <v>8670</v>
      </c>
      <c r="M2174" s="3" t="s">
        <v>8665</v>
      </c>
      <c r="N2174" s="6" t="str">
        <f>HYPERLINK("C:\Users\alexa\YandexDisk\Книги\Программирование\C++\!Программирование_на_С++_в_среде_Qt_Creator 2015.pdf","!Программирование_на_С++_в_среде_Qt_Creator 2015.pdf")</f>
        <v>!Программирование_на_С++_в_среде_Qt_Creator 2015.pdf</v>
      </c>
      <c r="O2174" s="3" t="s">
        <v>8671</v>
      </c>
    </row>
    <row r="2175" spans="1:15" ht="110.4" x14ac:dyDescent="0.3">
      <c r="A2175" s="4">
        <v>2174</v>
      </c>
      <c r="B2175" s="5" t="s">
        <v>8672</v>
      </c>
      <c r="C2175" s="5" t="s">
        <v>8673</v>
      </c>
      <c r="D2175" s="5" t="s">
        <v>27</v>
      </c>
      <c r="E2175" s="5" t="s">
        <v>227</v>
      </c>
      <c r="F2175" s="5" t="s">
        <v>8662</v>
      </c>
      <c r="G2175" s="5" t="s">
        <v>8458</v>
      </c>
      <c r="H2175" s="5" t="s">
        <v>8663</v>
      </c>
      <c r="I2175" s="5" t="s">
        <v>20</v>
      </c>
      <c r="J2175" s="5">
        <v>3.52</v>
      </c>
      <c r="K2175" s="5" t="s">
        <v>21</v>
      </c>
      <c r="L2175" s="5" t="s">
        <v>8674</v>
      </c>
      <c r="M2175" s="5" t="s">
        <v>8665</v>
      </c>
      <c r="N2175" s="7" t="str">
        <f>HYPERLINK("C:\Users\alexa\YandexDisk\Книги\Программирование\C++\Apress.Modern.Cplusplus.for.Absolute.Beginners.pdf","Apress.Modern.Cplusplus.for.Absolute.Beginners.pdf")</f>
        <v>Apress.Modern.Cplusplus.for.Absolute.Beginners.pdf</v>
      </c>
      <c r="O2175" s="5" t="s">
        <v>8675</v>
      </c>
    </row>
    <row r="2176" spans="1:15" ht="179.4" x14ac:dyDescent="0.3">
      <c r="A2176" s="2">
        <v>2175</v>
      </c>
      <c r="B2176" s="3" t="s">
        <v>8676</v>
      </c>
      <c r="C2176" s="3" t="s">
        <v>8677</v>
      </c>
      <c r="D2176" s="3"/>
      <c r="E2176" s="3"/>
      <c r="F2176" s="3" t="s">
        <v>8662</v>
      </c>
      <c r="G2176" s="3" t="s">
        <v>8458</v>
      </c>
      <c r="H2176" s="3" t="s">
        <v>8663</v>
      </c>
      <c r="I2176" s="3" t="s">
        <v>20</v>
      </c>
      <c r="J2176" s="3">
        <v>36.03</v>
      </c>
      <c r="K2176" s="3" t="s">
        <v>21</v>
      </c>
      <c r="L2176" s="3" t="s">
        <v>8678</v>
      </c>
      <c r="M2176" s="3" t="s">
        <v>8665</v>
      </c>
      <c r="N2176" s="6" t="str">
        <f>HYPERLINK("C:\Users\alexa\YandexDisk\Книги\Программирование\C++\AW.Programming.Principles.and.Practice.Using.Cplusplus.pdf","AW.Programming.Principles.and.Practice.Using.Cplusplus.pdf")</f>
        <v>AW.Programming.Principles.and.Practice.Using.Cplusplus.pdf</v>
      </c>
      <c r="O2176" s="3" t="s">
        <v>8679</v>
      </c>
    </row>
    <row r="2177" spans="1:15" ht="151.80000000000001" x14ac:dyDescent="0.3">
      <c r="A2177" s="4">
        <v>2176</v>
      </c>
      <c r="B2177" s="5" t="s">
        <v>8680</v>
      </c>
      <c r="C2177" s="5" t="s">
        <v>8681</v>
      </c>
      <c r="D2177" s="5" t="s">
        <v>71</v>
      </c>
      <c r="E2177" s="5" t="s">
        <v>205</v>
      </c>
      <c r="F2177" s="5" t="s">
        <v>8662</v>
      </c>
      <c r="G2177" s="5" t="s">
        <v>8458</v>
      </c>
      <c r="H2177" s="5" t="s">
        <v>8663</v>
      </c>
      <c r="I2177" s="5" t="s">
        <v>20</v>
      </c>
      <c r="J2177" s="5">
        <v>3.21</v>
      </c>
      <c r="K2177" s="5" t="s">
        <v>21</v>
      </c>
      <c r="L2177" s="5" t="s">
        <v>8682</v>
      </c>
      <c r="M2177" s="5" t="s">
        <v>8665</v>
      </c>
      <c r="N2177" s="7" t="str">
        <f>HYPERLINK("C:\Users\alexa\YandexDisk\Книги\Программирование\C++\C++ Cookbook STL 2022.pdf","C++ Cookbook STL 2022.pdf")</f>
        <v>C++ Cookbook STL 2022.pdf</v>
      </c>
      <c r="O2177" s="5" t="s">
        <v>8683</v>
      </c>
    </row>
    <row r="2178" spans="1:15" ht="151.80000000000001" x14ac:dyDescent="0.3">
      <c r="A2178" s="2">
        <v>2177</v>
      </c>
      <c r="B2178" s="3" t="s">
        <v>8684</v>
      </c>
      <c r="C2178" s="3"/>
      <c r="D2178" s="3"/>
      <c r="E2178" s="3"/>
      <c r="F2178" s="3" t="s">
        <v>8662</v>
      </c>
      <c r="G2178" s="3" t="s">
        <v>8458</v>
      </c>
      <c r="H2178" s="3" t="s">
        <v>8663</v>
      </c>
      <c r="I2178" s="3" t="s">
        <v>20</v>
      </c>
      <c r="J2178" s="3">
        <v>70.31</v>
      </c>
      <c r="K2178" s="3" t="s">
        <v>21</v>
      </c>
      <c r="L2178" s="3" t="s">
        <v>8685</v>
      </c>
      <c r="M2178" s="3" t="s">
        <v>8665</v>
      </c>
      <c r="N2178" s="6" t="str">
        <f>HYPERLINK("C:\Users\alexa\YandexDisk\Книги\Программирование\C++\C++ на примерах.pdf","C++ на примерах.pdf")</f>
        <v>C++ на примерах.pdf</v>
      </c>
      <c r="O2178" s="3" t="s">
        <v>8686</v>
      </c>
    </row>
    <row r="2179" spans="1:15" ht="207" x14ac:dyDescent="0.3">
      <c r="A2179" s="4">
        <v>2178</v>
      </c>
      <c r="B2179" s="5" t="s">
        <v>8687</v>
      </c>
      <c r="C2179" s="5" t="s">
        <v>8688</v>
      </c>
      <c r="D2179" s="5" t="s">
        <v>32</v>
      </c>
      <c r="E2179" s="5" t="s">
        <v>18</v>
      </c>
      <c r="F2179" s="5" t="s">
        <v>8662</v>
      </c>
      <c r="G2179" s="5" t="s">
        <v>8458</v>
      </c>
      <c r="H2179" s="5" t="s">
        <v>8663</v>
      </c>
      <c r="I2179" s="5" t="s">
        <v>20</v>
      </c>
      <c r="J2179" s="5">
        <v>9.3000000000000007</v>
      </c>
      <c r="K2179" s="5" t="s">
        <v>21</v>
      </c>
      <c r="L2179" s="5" t="s">
        <v>8689</v>
      </c>
      <c r="M2179" s="5" t="s">
        <v>8665</v>
      </c>
      <c r="N2179" s="7" t="str">
        <f>HYPERLINK("C:\Users\alexa\YandexDisk\Книги\Программирование\C++\C++17_STL_Стандартная_библиотека_шаблонов.pdf","C++17_STL_Стандартная_библиотека_шаблонов.pdf")</f>
        <v>C++17_STL_Стандартная_библиотека_шаблонов.pdf</v>
      </c>
      <c r="O2179" s="5" t="s">
        <v>8690</v>
      </c>
    </row>
    <row r="2180" spans="1:15" ht="193.2" x14ac:dyDescent="0.3">
      <c r="A2180" s="2">
        <v>2179</v>
      </c>
      <c r="B2180" s="3" t="s">
        <v>8691</v>
      </c>
      <c r="C2180" s="3" t="s">
        <v>8692</v>
      </c>
      <c r="D2180" s="3" t="s">
        <v>59</v>
      </c>
      <c r="E2180" s="3" t="s">
        <v>2124</v>
      </c>
      <c r="F2180" s="3" t="s">
        <v>8662</v>
      </c>
      <c r="G2180" s="3" t="s">
        <v>8458</v>
      </c>
      <c r="H2180" s="3" t="s">
        <v>8663</v>
      </c>
      <c r="I2180" s="3" t="s">
        <v>20</v>
      </c>
      <c r="J2180" s="3">
        <v>33.07</v>
      </c>
      <c r="K2180" s="3" t="s">
        <v>21</v>
      </c>
      <c r="L2180" s="3" t="s">
        <v>8693</v>
      </c>
      <c r="M2180" s="3" t="s">
        <v>8665</v>
      </c>
      <c r="N2180" s="6" t="str">
        <f>HYPERLINK("C:\Users\alexa\YandexDisk\Книги\Программирование\C++\C++_для_инженерных_и_научных_расчетов.pdf","C++_для_инженерных_и_научных_расчетов.pdf")</f>
        <v>C++_для_инженерных_и_научных_расчетов.pdf</v>
      </c>
      <c r="O2180" s="3" t="s">
        <v>8694</v>
      </c>
    </row>
    <row r="2181" spans="1:15" ht="151.80000000000001" x14ac:dyDescent="0.3">
      <c r="A2181" s="4">
        <v>2180</v>
      </c>
      <c r="B2181" s="5" t="s">
        <v>8695</v>
      </c>
      <c r="C2181" s="5" t="s">
        <v>8696</v>
      </c>
      <c r="D2181" s="5" t="s">
        <v>59</v>
      </c>
      <c r="E2181" s="5" t="s">
        <v>18</v>
      </c>
      <c r="F2181" s="5" t="s">
        <v>8662</v>
      </c>
      <c r="G2181" s="5" t="s">
        <v>8458</v>
      </c>
      <c r="H2181" s="5" t="s">
        <v>8663</v>
      </c>
      <c r="I2181" s="5" t="s">
        <v>20</v>
      </c>
      <c r="J2181" s="5">
        <v>39.880000000000003</v>
      </c>
      <c r="K2181" s="5" t="s">
        <v>21</v>
      </c>
      <c r="L2181" s="5" t="s">
        <v>8697</v>
      </c>
      <c r="M2181" s="5" t="s">
        <v>8665</v>
      </c>
      <c r="N2181" s="7" t="str">
        <f>HYPERLINK("C:\Users\alexa\YandexDisk\Книги\Программирование\C++\C++_Практика_многопоточного_программирования.pdf","C++_Практика_многопоточного_программирования.pdf")</f>
        <v>C++_Практика_многопоточного_программирования.pdf</v>
      </c>
      <c r="O2181" s="5" t="s">
        <v>8698</v>
      </c>
    </row>
    <row r="2182" spans="1:15" ht="165.6" x14ac:dyDescent="0.3">
      <c r="A2182" s="2">
        <v>2181</v>
      </c>
      <c r="B2182" s="3" t="s">
        <v>8699</v>
      </c>
      <c r="C2182" s="3" t="s">
        <v>8700</v>
      </c>
      <c r="D2182" s="3"/>
      <c r="E2182" s="3" t="s">
        <v>8701</v>
      </c>
      <c r="F2182" s="3" t="s">
        <v>8662</v>
      </c>
      <c r="G2182" s="3" t="s">
        <v>8458</v>
      </c>
      <c r="H2182" s="3" t="s">
        <v>8663</v>
      </c>
      <c r="I2182" s="3" t="s">
        <v>20</v>
      </c>
      <c r="J2182" s="3">
        <v>24.14</v>
      </c>
      <c r="K2182" s="3" t="s">
        <v>21</v>
      </c>
      <c r="L2182" s="3" t="s">
        <v>8702</v>
      </c>
      <c r="M2182" s="3" t="s">
        <v>8665</v>
      </c>
      <c r="N2182" s="6" t="str">
        <f>HYPERLINK("C:\Users\alexa\YandexDisk\Книги\Программирование\C++\C++Полное руководство.pdf","C++Полное руководство.pdf")</f>
        <v>C++Полное руководство.pdf</v>
      </c>
      <c r="O2182" s="3" t="s">
        <v>8703</v>
      </c>
    </row>
    <row r="2183" spans="1:15" ht="27.6" x14ac:dyDescent="0.3">
      <c r="A2183" s="4">
        <v>2182</v>
      </c>
      <c r="B2183" s="5" t="s">
        <v>8704</v>
      </c>
      <c r="C2183" s="5"/>
      <c r="D2183" s="5"/>
      <c r="E2183" s="5"/>
      <c r="F2183" s="5" t="s">
        <v>8662</v>
      </c>
      <c r="G2183" s="5" t="s">
        <v>8458</v>
      </c>
      <c r="H2183" s="5" t="s">
        <v>8663</v>
      </c>
      <c r="I2183" s="5" t="s">
        <v>519</v>
      </c>
      <c r="J2183" s="5">
        <v>49.98</v>
      </c>
      <c r="K2183" s="5" t="s">
        <v>21</v>
      </c>
      <c r="L2183" s="5" t="s">
        <v>8705</v>
      </c>
      <c r="M2183" s="5" t="s">
        <v>8665</v>
      </c>
      <c r="N2183" s="7" t="str">
        <f>HYPERLINK("C:\Users\alexa\YandexDisk\Книги\Программирование\C++\Coursera-CPP-White belt.zip","Coursera-CPP-White belt.zip")</f>
        <v>Coursera-CPP-White belt.zip</v>
      </c>
      <c r="O2183" s="5" t="s">
        <v>930</v>
      </c>
    </row>
    <row r="2184" spans="1:15" ht="27.6" x14ac:dyDescent="0.3">
      <c r="A2184" s="2">
        <v>2183</v>
      </c>
      <c r="B2184" s="3" t="s">
        <v>8706</v>
      </c>
      <c r="C2184" s="3"/>
      <c r="D2184" s="3"/>
      <c r="E2184" s="3"/>
      <c r="F2184" s="3" t="s">
        <v>8662</v>
      </c>
      <c r="G2184" s="3" t="s">
        <v>8458</v>
      </c>
      <c r="H2184" s="3" t="s">
        <v>8663</v>
      </c>
      <c r="I2184" s="3" t="s">
        <v>519</v>
      </c>
      <c r="J2184" s="3">
        <v>0.17</v>
      </c>
      <c r="K2184" s="3" t="s">
        <v>21</v>
      </c>
      <c r="L2184" s="3" t="s">
        <v>8707</v>
      </c>
      <c r="M2184" s="3" t="s">
        <v>8665</v>
      </c>
      <c r="N2184" s="6" t="str">
        <f>HYPERLINK("C:\Users\alexa\YandexDisk\Книги\Программирование\C++\Examples CPP.zip","Examples CPP.zip")</f>
        <v>Examples CPP.zip</v>
      </c>
      <c r="O2184" s="3" t="s">
        <v>930</v>
      </c>
    </row>
    <row r="2185" spans="1:15" ht="165.6" x14ac:dyDescent="0.3">
      <c r="A2185" s="4">
        <v>2184</v>
      </c>
      <c r="B2185" s="5" t="s">
        <v>8708</v>
      </c>
      <c r="C2185" s="5" t="s">
        <v>8709</v>
      </c>
      <c r="D2185" s="5" t="s">
        <v>32</v>
      </c>
      <c r="E2185" s="5" t="s">
        <v>205</v>
      </c>
      <c r="F2185" s="5" t="s">
        <v>8662</v>
      </c>
      <c r="G2185" s="5" t="s">
        <v>8458</v>
      </c>
      <c r="H2185" s="5" t="s">
        <v>8663</v>
      </c>
      <c r="I2185" s="5" t="s">
        <v>20</v>
      </c>
      <c r="J2185" s="5">
        <v>13.93</v>
      </c>
      <c r="K2185" s="5" t="s">
        <v>21</v>
      </c>
      <c r="L2185" s="5" t="s">
        <v>8710</v>
      </c>
      <c r="M2185" s="5" t="s">
        <v>8665</v>
      </c>
      <c r="N2185" s="7" t="str">
        <f>HYPERLINK("C:\Users\alexa\YandexDisk\Книги\Программирование\C++\Hands_On_GUI_Programming_with_C++_and_Qt5_Packt_Publishing.pdf","Hands_On_GUI_Programming_with_C++_and_Qt5_Packt_Publishing.pdf")</f>
        <v>Hands_On_GUI_Programming_with_C++_and_Qt5_Packt_Publishing.pdf</v>
      </c>
      <c r="O2185" s="5" t="s">
        <v>8711</v>
      </c>
    </row>
    <row r="2186" spans="1:15" ht="138" x14ac:dyDescent="0.3">
      <c r="A2186" s="2">
        <v>2185</v>
      </c>
      <c r="B2186" s="3" t="s">
        <v>8712</v>
      </c>
      <c r="C2186" s="3" t="s">
        <v>8713</v>
      </c>
      <c r="D2186" s="3" t="s">
        <v>114</v>
      </c>
      <c r="E2186" s="3" t="s">
        <v>205</v>
      </c>
      <c r="F2186" s="3" t="s">
        <v>8662</v>
      </c>
      <c r="G2186" s="3" t="s">
        <v>8458</v>
      </c>
      <c r="H2186" s="3" t="s">
        <v>8663</v>
      </c>
      <c r="I2186" s="3" t="s">
        <v>20</v>
      </c>
      <c r="J2186" s="3">
        <v>26.45</v>
      </c>
      <c r="K2186" s="3" t="s">
        <v>21</v>
      </c>
      <c r="L2186" s="3" t="s">
        <v>8714</v>
      </c>
      <c r="M2186" s="3" t="s">
        <v>8665</v>
      </c>
      <c r="N2186" s="6" t="str">
        <f>HYPERLINK("C:\Users\alexa\YandexDisk\Книги\Программирование\C++\Horton J. - Beginning C++ Game Programming - 2016.pdf","Horton J. - Beginning C++ Game Programming - 2016.pdf")</f>
        <v>Horton J. - Beginning C++ Game Programming - 2016.pdf</v>
      </c>
      <c r="O2186" s="3" t="s">
        <v>8715</v>
      </c>
    </row>
    <row r="2187" spans="1:15" ht="234.6" x14ac:dyDescent="0.3">
      <c r="A2187" s="4">
        <v>2186</v>
      </c>
      <c r="B2187" s="5" t="s">
        <v>8716</v>
      </c>
      <c r="C2187" s="5" t="s">
        <v>8717</v>
      </c>
      <c r="D2187" s="5"/>
      <c r="E2187" s="5"/>
      <c r="F2187" s="5" t="s">
        <v>8662</v>
      </c>
      <c r="G2187" s="5" t="s">
        <v>8458</v>
      </c>
      <c r="H2187" s="5" t="s">
        <v>8663</v>
      </c>
      <c r="I2187" s="5" t="s">
        <v>20</v>
      </c>
      <c r="J2187" s="5">
        <v>15.65</v>
      </c>
      <c r="K2187" s="5" t="s">
        <v>21</v>
      </c>
      <c r="L2187" s="5" t="s">
        <v>8718</v>
      </c>
      <c r="M2187" s="5" t="s">
        <v>8665</v>
      </c>
      <c r="N2187" s="7" t="str">
        <f>HYPERLINK("C:\Users\alexa\YandexDisk\Книги\Программирование\C++\Introduction_to_CPP_Difficulty_Scaled_Solved_Programming.pdf","Introduction_to_CPP_Difficulty_Scaled_Solved_Programming.pdf")</f>
        <v>Introduction_to_CPP_Difficulty_Scaled_Solved_Programming.pdf</v>
      </c>
      <c r="O2187" s="5" t="s">
        <v>8719</v>
      </c>
    </row>
    <row r="2188" spans="1:15" ht="124.2" x14ac:dyDescent="0.3">
      <c r="A2188" s="2">
        <v>2187</v>
      </c>
      <c r="B2188" s="3" t="s">
        <v>8720</v>
      </c>
      <c r="C2188" s="3" t="s">
        <v>8721</v>
      </c>
      <c r="D2188" s="3"/>
      <c r="E2188" s="3" t="s">
        <v>269</v>
      </c>
      <c r="F2188" s="3" t="s">
        <v>8662</v>
      </c>
      <c r="G2188" s="3" t="s">
        <v>8458</v>
      </c>
      <c r="H2188" s="3" t="s">
        <v>8663</v>
      </c>
      <c r="I2188" s="3" t="s">
        <v>20</v>
      </c>
      <c r="J2188" s="3">
        <v>3.06</v>
      </c>
      <c r="K2188" s="3" t="s">
        <v>21</v>
      </c>
      <c r="L2188" s="3" t="s">
        <v>8722</v>
      </c>
      <c r="M2188" s="3" t="s">
        <v>8665</v>
      </c>
      <c r="N2188" s="6" t="str">
        <f>HYPERLINK("C:\Users\alexa\YandexDisk\Книги\Программирование\C++\Learn C++ by Example.pdf","Learn C++ by Example.pdf")</f>
        <v>Learn C++ by Example.pdf</v>
      </c>
      <c r="O2188" s="3" t="s">
        <v>8723</v>
      </c>
    </row>
    <row r="2189" spans="1:15" ht="110.4" x14ac:dyDescent="0.3">
      <c r="A2189" s="4">
        <v>2188</v>
      </c>
      <c r="B2189" s="5" t="s">
        <v>8672</v>
      </c>
      <c r="C2189" s="5" t="s">
        <v>8673</v>
      </c>
      <c r="D2189" s="5" t="s">
        <v>27</v>
      </c>
      <c r="E2189" s="5" t="s">
        <v>227</v>
      </c>
      <c r="F2189" s="5" t="s">
        <v>8662</v>
      </c>
      <c r="G2189" s="5" t="s">
        <v>8458</v>
      </c>
      <c r="H2189" s="5" t="s">
        <v>8663</v>
      </c>
      <c r="I2189" s="5" t="s">
        <v>20</v>
      </c>
      <c r="J2189" s="5">
        <v>3.53</v>
      </c>
      <c r="K2189" s="5" t="s">
        <v>21</v>
      </c>
      <c r="L2189" s="5" t="s">
        <v>8724</v>
      </c>
      <c r="M2189" s="5" t="s">
        <v>8665</v>
      </c>
      <c r="N2189" s="7" t="str">
        <f>HYPERLINK("C:\Users\alexa\YandexDisk\Книги\Программирование\C++\Modern.C++ for.Absolute.Beginners.pdf","Modern.C++ for.Absolute.Beginners.pdf")</f>
        <v>Modern.C++ for.Absolute.Beginners.pdf</v>
      </c>
      <c r="O2189" s="5" t="s">
        <v>8725</v>
      </c>
    </row>
    <row r="2190" spans="1:15" ht="248.4" x14ac:dyDescent="0.3">
      <c r="A2190" s="2">
        <v>2189</v>
      </c>
      <c r="B2190" s="3" t="s">
        <v>8726</v>
      </c>
      <c r="C2190" s="3" t="s">
        <v>8727</v>
      </c>
      <c r="D2190" s="3"/>
      <c r="E2190" s="3" t="s">
        <v>8728</v>
      </c>
      <c r="F2190" s="3" t="s">
        <v>8662</v>
      </c>
      <c r="G2190" s="3" t="s">
        <v>8458</v>
      </c>
      <c r="H2190" s="3" t="s">
        <v>8663</v>
      </c>
      <c r="I2190" s="3" t="s">
        <v>20</v>
      </c>
      <c r="J2190" s="3">
        <v>8.6199999999999992</v>
      </c>
      <c r="K2190" s="3" t="s">
        <v>21</v>
      </c>
      <c r="L2190" s="3" t="s">
        <v>8729</v>
      </c>
      <c r="M2190" s="3" t="s">
        <v>8665</v>
      </c>
      <c r="N2190" s="6" t="str">
        <f>HYPERLINK("C:\Users\alexa\YandexDisk\Книги\Программирование\C++\Qt 6 QML.pdf","Qt 6 QML.pdf")</f>
        <v>Qt 6 QML.pdf</v>
      </c>
      <c r="O2190" s="3" t="s">
        <v>8730</v>
      </c>
    </row>
    <row r="2191" spans="1:15" ht="193.2" x14ac:dyDescent="0.3">
      <c r="A2191" s="4">
        <v>2190</v>
      </c>
      <c r="B2191" s="5" t="s">
        <v>8731</v>
      </c>
      <c r="C2191" s="5" t="s">
        <v>8732</v>
      </c>
      <c r="D2191" s="5" t="s">
        <v>71</v>
      </c>
      <c r="E2191" s="5" t="s">
        <v>402</v>
      </c>
      <c r="F2191" s="5" t="s">
        <v>8662</v>
      </c>
      <c r="G2191" s="5" t="s">
        <v>8458</v>
      </c>
      <c r="H2191" s="5" t="s">
        <v>8663</v>
      </c>
      <c r="I2191" s="5" t="s">
        <v>20</v>
      </c>
      <c r="J2191" s="5">
        <v>4.76</v>
      </c>
      <c r="K2191" s="5" t="s">
        <v>21</v>
      </c>
      <c r="L2191" s="5" t="s">
        <v>8733</v>
      </c>
      <c r="M2191" s="5" t="s">
        <v>8665</v>
      </c>
      <c r="N2191" s="7" t="str">
        <f>HYPERLINK("C:\Users\alexa\YandexDisk\Книги\Программирование\C++\Qt 6. Разработка оконных приложений на C++.pdf","Qt 6. Разработка оконных приложений на C++.pdf")</f>
        <v>Qt 6. Разработка оконных приложений на C++.pdf</v>
      </c>
      <c r="O2191" s="5" t="s">
        <v>8734</v>
      </c>
    </row>
    <row r="2192" spans="1:15" ht="179.4" x14ac:dyDescent="0.3">
      <c r="A2192" s="2">
        <v>2191</v>
      </c>
      <c r="B2192" s="3" t="s">
        <v>8735</v>
      </c>
      <c r="C2192" s="3" t="s">
        <v>8736</v>
      </c>
      <c r="D2192" s="3" t="s">
        <v>17</v>
      </c>
      <c r="E2192" s="3" t="s">
        <v>296</v>
      </c>
      <c r="F2192" s="3" t="s">
        <v>8662</v>
      </c>
      <c r="G2192" s="3" t="s">
        <v>8458</v>
      </c>
      <c r="H2192" s="3" t="s">
        <v>8663</v>
      </c>
      <c r="I2192" s="3" t="s">
        <v>20</v>
      </c>
      <c r="J2192" s="3">
        <v>11.27</v>
      </c>
      <c r="K2192" s="3" t="s">
        <v>21</v>
      </c>
      <c r="L2192" s="3" t="s">
        <v>8737</v>
      </c>
      <c r="M2192" s="3" t="s">
        <v>8665</v>
      </c>
      <c r="N2192" s="6" t="str">
        <f>HYPERLINK("C:\Users\alexa\YandexDisk\Книги\Программирование\C++\Rainer Grimm - C++20. Get the Details-Leanpub (2021).pdf","Rainer Grimm - C++20. Get the Details-Leanpub (2021).pdf")</f>
        <v>Rainer Grimm - C++20. Get the Details-Leanpub (2021).pdf</v>
      </c>
      <c r="O2192" s="3" t="s">
        <v>8738</v>
      </c>
    </row>
    <row r="2193" spans="1:15" ht="138" x14ac:dyDescent="0.3">
      <c r="A2193" s="4">
        <v>2192</v>
      </c>
      <c r="B2193" s="5" t="s">
        <v>8739</v>
      </c>
      <c r="C2193" s="5" t="s">
        <v>8740</v>
      </c>
      <c r="D2193" s="5" t="s">
        <v>32</v>
      </c>
      <c r="E2193" s="5" t="s">
        <v>402</v>
      </c>
      <c r="F2193" s="5" t="s">
        <v>8662</v>
      </c>
      <c r="G2193" s="5" t="s">
        <v>8458</v>
      </c>
      <c r="H2193" s="5" t="s">
        <v>8663</v>
      </c>
      <c r="I2193" s="5" t="s">
        <v>20</v>
      </c>
      <c r="J2193" s="5">
        <v>99.04</v>
      </c>
      <c r="K2193" s="5" t="s">
        <v>21</v>
      </c>
      <c r="L2193" s="5" t="s">
        <v>8741</v>
      </c>
      <c r="M2193" s="5" t="s">
        <v>8665</v>
      </c>
      <c r="N2193" s="7" t="str">
        <f>HYPERLINK("C:\Users\alexa\YandexDisk\Книги\Программирование\C++\Shlee_M_-_Qt_5_10_Professionalnoe_programmirovanie_na_C.pdf","Shlee_M_-_Qt_5_10_Professionalnoe_programmirovanie_na_C.pdf")</f>
        <v>Shlee_M_-_Qt_5_10_Professionalnoe_programmirovanie_na_C.pdf</v>
      </c>
      <c r="O2193" s="5" t="s">
        <v>8742</v>
      </c>
    </row>
    <row r="2194" spans="1:15" ht="193.2" x14ac:dyDescent="0.3">
      <c r="A2194" s="2">
        <v>2193</v>
      </c>
      <c r="B2194" s="3" t="s">
        <v>8743</v>
      </c>
      <c r="C2194" s="3" t="s">
        <v>8744</v>
      </c>
      <c r="D2194" s="3" t="s">
        <v>71</v>
      </c>
      <c r="E2194" s="3" t="s">
        <v>18</v>
      </c>
      <c r="F2194" s="3" t="s">
        <v>8662</v>
      </c>
      <c r="G2194" s="3" t="s">
        <v>8458</v>
      </c>
      <c r="H2194" s="3" t="s">
        <v>8663</v>
      </c>
      <c r="I2194" s="3" t="s">
        <v>20</v>
      </c>
      <c r="J2194" s="3">
        <v>36.340000000000003</v>
      </c>
      <c r="K2194" s="3" t="s">
        <v>21</v>
      </c>
      <c r="L2194" s="3" t="s">
        <v>8745</v>
      </c>
      <c r="M2194" s="3" t="s">
        <v>8665</v>
      </c>
      <c r="N2194" s="6" t="str">
        <f>HYPERLINK("C:\Users\alexa\YandexDisk\Книги\Программирование\C++\WebAssembly в действии -2022.pdf","WebAssembly в действии -2022.pdf")</f>
        <v>WebAssembly в действии -2022.pdf</v>
      </c>
      <c r="O2194" s="3" t="s">
        <v>8746</v>
      </c>
    </row>
    <row r="2195" spans="1:15" ht="151.80000000000001" x14ac:dyDescent="0.3">
      <c r="A2195" s="4">
        <v>2194</v>
      </c>
      <c r="B2195" s="5" t="s">
        <v>8747</v>
      </c>
      <c r="C2195" s="5" t="s">
        <v>8748</v>
      </c>
      <c r="D2195" s="5" t="s">
        <v>17</v>
      </c>
      <c r="E2195" s="5" t="s">
        <v>227</v>
      </c>
      <c r="F2195" s="5" t="s">
        <v>8662</v>
      </c>
      <c r="G2195" s="5" t="s">
        <v>8458</v>
      </c>
      <c r="H2195" s="5" t="s">
        <v>8663</v>
      </c>
      <c r="I2195" s="5" t="s">
        <v>20</v>
      </c>
      <c r="J2195" s="5">
        <v>13.79</v>
      </c>
      <c r="K2195" s="5" t="s">
        <v>21</v>
      </c>
      <c r="L2195" s="5" t="s">
        <v>8749</v>
      </c>
      <c r="M2195" s="5" t="s">
        <v>8665</v>
      </c>
      <c r="N2195" s="7" t="str">
        <f>HYPERLINK("C:\Users\alexa\YandexDisk\Книги\Программирование\C++\Will_Briggs_C++20_for_Lazy_Programmers_Quick,_Easy,_and_Fun_C++.pdf","Will_Briggs_C++20_for_Lazy_Programmers_Quick,_Easy,_and_Fun_C++.pdf")</f>
        <v>Will_Briggs_C++20_for_Lazy_Programmers_Quick,_Easy,_and_Fun_C++.pdf</v>
      </c>
      <c r="O2195" s="5" t="s">
        <v>8750</v>
      </c>
    </row>
    <row r="2196" spans="1:15" ht="165.6" x14ac:dyDescent="0.3">
      <c r="A2196" s="2">
        <v>2195</v>
      </c>
      <c r="B2196" s="3" t="s">
        <v>8751</v>
      </c>
      <c r="C2196" s="3" t="s">
        <v>8752</v>
      </c>
      <c r="D2196" s="3" t="s">
        <v>50</v>
      </c>
      <c r="E2196" s="3" t="s">
        <v>148</v>
      </c>
      <c r="F2196" s="3" t="s">
        <v>8662</v>
      </c>
      <c r="G2196" s="3" t="s">
        <v>8458</v>
      </c>
      <c r="H2196" s="3" t="s">
        <v>8663</v>
      </c>
      <c r="I2196" s="3" t="s">
        <v>20</v>
      </c>
      <c r="J2196" s="3">
        <v>10.42</v>
      </c>
      <c r="K2196" s="3" t="s">
        <v>21</v>
      </c>
      <c r="L2196" s="3" t="s">
        <v>8753</v>
      </c>
      <c r="M2196" s="3" t="s">
        <v>8665</v>
      </c>
      <c r="N2196" s="6" t="str">
        <f>HYPERLINK("C:\Users\alexa\YandexDisk\Книги\Программирование\C++\Алгоритмы и программы. Язык C++. Учебное пособие (2017).pdf","Алгоритмы и программы. Язык C++. Учебное пособие (2017).pdf")</f>
        <v>Алгоритмы и программы. Язык C++. Учебное пособие (2017).pdf</v>
      </c>
      <c r="O2196" s="3" t="s">
        <v>8754</v>
      </c>
    </row>
    <row r="2197" spans="1:15" ht="207" x14ac:dyDescent="0.3">
      <c r="A2197" s="4">
        <v>2196</v>
      </c>
      <c r="B2197" s="5" t="s">
        <v>8755</v>
      </c>
      <c r="C2197" s="5" t="s">
        <v>8752</v>
      </c>
      <c r="D2197" s="5" t="s">
        <v>71</v>
      </c>
      <c r="E2197" s="5" t="s">
        <v>148</v>
      </c>
      <c r="F2197" s="5" t="s">
        <v>8662</v>
      </c>
      <c r="G2197" s="5" t="s">
        <v>8458</v>
      </c>
      <c r="H2197" s="5" t="s">
        <v>8663</v>
      </c>
      <c r="I2197" s="5" t="s">
        <v>20</v>
      </c>
      <c r="J2197" s="5">
        <v>2.33</v>
      </c>
      <c r="K2197" s="5" t="s">
        <v>21</v>
      </c>
      <c r="L2197" s="5" t="s">
        <v>8756</v>
      </c>
      <c r="M2197" s="5" t="s">
        <v>8665</v>
      </c>
      <c r="N2197" s="7" t="str">
        <f>HYPERLINK("C:\Users\alexa\YandexDisk\Книги\Программирование\C++\Алгоритмы и программы. Язык С++.pdf","Алгоритмы и программы. Язык С++.pdf")</f>
        <v>Алгоритмы и программы. Язык С++.pdf</v>
      </c>
      <c r="O2197" s="5" t="s">
        <v>8757</v>
      </c>
    </row>
    <row r="2198" spans="1:15" ht="27.6" x14ac:dyDescent="0.3">
      <c r="A2198" s="2">
        <v>2197</v>
      </c>
      <c r="B2198" s="3" t="s">
        <v>8758</v>
      </c>
      <c r="C2198" s="3" t="s">
        <v>8759</v>
      </c>
      <c r="D2198" s="3"/>
      <c r="E2198" s="3"/>
      <c r="F2198" s="3" t="s">
        <v>8662</v>
      </c>
      <c r="G2198" s="3" t="s">
        <v>8458</v>
      </c>
      <c r="H2198" s="3" t="s">
        <v>8663</v>
      </c>
      <c r="I2198" s="3" t="s">
        <v>20</v>
      </c>
      <c r="J2198" s="3">
        <v>19.510000000000002</v>
      </c>
      <c r="K2198" s="3" t="s">
        <v>21</v>
      </c>
      <c r="L2198" s="3" t="s">
        <v>8758</v>
      </c>
      <c r="M2198" s="3" t="s">
        <v>8665</v>
      </c>
      <c r="N2198" s="6" t="str">
        <f>HYPERLINK("C:\Users\alexa\YandexDisk\Книги\Программирование\C++\Алгоритмы С++.pdf","Алгоритмы С++.pdf")</f>
        <v>Алгоритмы С++.pdf</v>
      </c>
      <c r="O2198" s="3" t="s">
        <v>930</v>
      </c>
    </row>
    <row r="2199" spans="1:15" ht="179.4" x14ac:dyDescent="0.3">
      <c r="A2199" s="4">
        <v>2198</v>
      </c>
      <c r="B2199" s="5" t="s">
        <v>667</v>
      </c>
      <c r="C2199" s="5" t="s">
        <v>668</v>
      </c>
      <c r="D2199" s="5" t="s">
        <v>17</v>
      </c>
      <c r="E2199" s="5" t="s">
        <v>148</v>
      </c>
      <c r="F2199" s="5" t="s">
        <v>8662</v>
      </c>
      <c r="G2199" s="5" t="s">
        <v>8458</v>
      </c>
      <c r="H2199" s="5" t="s">
        <v>8663</v>
      </c>
      <c r="I2199" s="5" t="s">
        <v>20</v>
      </c>
      <c r="J2199" s="5">
        <v>1.19</v>
      </c>
      <c r="K2199" s="5" t="s">
        <v>21</v>
      </c>
      <c r="L2199" s="5" t="s">
        <v>671</v>
      </c>
      <c r="M2199" s="5" t="s">
        <v>8665</v>
      </c>
      <c r="N2199" s="7" t="str">
        <f>HYPERLINK("C:\Users\alexa\YandexDisk\Книги\Программирование\C++\Алгоритмы_сжатия_данных_без_потерь_2021_Пантелеев,_Алыкова.pdf","Алгоритмы_сжатия_данных_без_потерь_2021_Пантелеев,_Алыкова.pdf")</f>
        <v>Алгоритмы_сжатия_данных_без_потерь_2021_Пантелеев,_Алыкова.pdf</v>
      </c>
      <c r="O2199" s="5" t="s">
        <v>8760</v>
      </c>
    </row>
    <row r="2200" spans="1:15" ht="220.8" x14ac:dyDescent="0.3">
      <c r="A2200" s="2">
        <v>2199</v>
      </c>
      <c r="B2200" s="3" t="s">
        <v>8761</v>
      </c>
      <c r="C2200" s="3" t="s">
        <v>8762</v>
      </c>
      <c r="D2200" s="3" t="s">
        <v>837</v>
      </c>
      <c r="E2200" s="3"/>
      <c r="F2200" s="3" t="s">
        <v>8662</v>
      </c>
      <c r="G2200" s="3" t="s">
        <v>8458</v>
      </c>
      <c r="H2200" s="3" t="s">
        <v>8663</v>
      </c>
      <c r="I2200" s="3" t="s">
        <v>20</v>
      </c>
      <c r="J2200" s="3">
        <v>5.42</v>
      </c>
      <c r="K2200" s="3" t="s">
        <v>21</v>
      </c>
      <c r="L2200" s="3" t="s">
        <v>8763</v>
      </c>
      <c r="M2200" s="3" t="s">
        <v>8665</v>
      </c>
      <c r="N2200" s="6" t="str">
        <f>HYPERLINK("C:\Users\alexa\YandexDisk\Книги\Программирование\C++\Базовый Курс C++ 2011.pdf","Базовый Курс C++ 2011.pdf")</f>
        <v>Базовый Курс C++ 2011.pdf</v>
      </c>
      <c r="O2200" s="3" t="s">
        <v>8764</v>
      </c>
    </row>
    <row r="2201" spans="1:15" ht="27.6" x14ac:dyDescent="0.3">
      <c r="A2201" s="4">
        <v>2200</v>
      </c>
      <c r="B2201" s="5" t="s">
        <v>8765</v>
      </c>
      <c r="C2201" s="5"/>
      <c r="D2201" s="5" t="s">
        <v>59</v>
      </c>
      <c r="E2201" s="5"/>
      <c r="F2201" s="5" t="s">
        <v>8662</v>
      </c>
      <c r="G2201" s="5" t="s">
        <v>8458</v>
      </c>
      <c r="H2201" s="5" t="s">
        <v>8663</v>
      </c>
      <c r="I2201" s="5" t="s">
        <v>20</v>
      </c>
      <c r="J2201" s="5">
        <v>1.32</v>
      </c>
      <c r="K2201" s="5" t="s">
        <v>21</v>
      </c>
      <c r="L2201" s="5" t="s">
        <v>8766</v>
      </c>
      <c r="M2201" s="5" t="s">
        <v>8665</v>
      </c>
      <c r="N2201" s="7" t="str">
        <f>HYPERLINK("C:\Users\alexa\YandexDisk\Книги\Программирование\C++\Введение в язык Си++ 2020.pdf","Введение в язык Си++ 2020.pdf")</f>
        <v>Введение в язык Си++ 2020.pdf</v>
      </c>
      <c r="O2201" s="5" t="s">
        <v>930</v>
      </c>
    </row>
    <row r="2202" spans="1:15" ht="165.6" x14ac:dyDescent="0.3">
      <c r="A2202" s="2">
        <v>2201</v>
      </c>
      <c r="B2202" s="3" t="s">
        <v>8767</v>
      </c>
      <c r="C2202" s="3" t="s">
        <v>8768</v>
      </c>
      <c r="D2202" s="3"/>
      <c r="E2202" s="3"/>
      <c r="F2202" s="3" t="s">
        <v>8662</v>
      </c>
      <c r="G2202" s="3" t="s">
        <v>8458</v>
      </c>
      <c r="H2202" s="3" t="s">
        <v>8663</v>
      </c>
      <c r="I2202" s="3" t="s">
        <v>20</v>
      </c>
      <c r="J2202" s="3">
        <v>1.95</v>
      </c>
      <c r="K2202" s="3" t="s">
        <v>21</v>
      </c>
      <c r="L2202" s="3" t="s">
        <v>8769</v>
      </c>
      <c r="M2202" s="3" t="s">
        <v>8665</v>
      </c>
      <c r="N2202" s="6" t="str">
        <f>HYPERLINK("C:\Users\alexa\YandexDisk\Книги\Программирование\C++\Джефф Элджер CPP.pdf","Джефф Элджер CPP.pdf")</f>
        <v>Джефф Элджер CPP.pdf</v>
      </c>
      <c r="O2202" s="3" t="s">
        <v>8770</v>
      </c>
    </row>
    <row r="2203" spans="1:15" ht="179.4" x14ac:dyDescent="0.3">
      <c r="A2203" s="4">
        <v>2202</v>
      </c>
      <c r="B2203" s="5" t="s">
        <v>8771</v>
      </c>
      <c r="C2203" s="5" t="s">
        <v>8772</v>
      </c>
      <c r="D2203" s="5" t="s">
        <v>17</v>
      </c>
      <c r="E2203" s="5" t="s">
        <v>18</v>
      </c>
      <c r="F2203" s="5" t="s">
        <v>8662</v>
      </c>
      <c r="G2203" s="5" t="s">
        <v>8458</v>
      </c>
      <c r="H2203" s="5" t="s">
        <v>8663</v>
      </c>
      <c r="I2203" s="5" t="s">
        <v>20</v>
      </c>
      <c r="J2203" s="5">
        <v>6.82</v>
      </c>
      <c r="K2203" s="5" t="s">
        <v>21</v>
      </c>
      <c r="L2203" s="5" t="s">
        <v>8773</v>
      </c>
      <c r="M2203" s="5" t="s">
        <v>8665</v>
      </c>
      <c r="N2203" s="7" t="str">
        <f>HYPERLINK("C:\Users\alexa\YandexDisk\Книги\Программирование\C++\Для_профессионалов_Джош_Лоспинозо_C++_для_профи_2021.pdf","Для_профессионалов_Джош_Лоспинозо_C++_для_профи_2021.pdf")</f>
        <v>Для_профессионалов_Джош_Лоспинозо_C++_для_профи_2021.pdf</v>
      </c>
      <c r="O2203" s="5" t="s">
        <v>8774</v>
      </c>
    </row>
    <row r="2204" spans="1:15" ht="165.6" x14ac:dyDescent="0.3">
      <c r="A2204" s="2">
        <v>2203</v>
      </c>
      <c r="B2204" s="3" t="s">
        <v>8775</v>
      </c>
      <c r="C2204" s="3" t="s">
        <v>8776</v>
      </c>
      <c r="D2204" s="3" t="s">
        <v>65</v>
      </c>
      <c r="E2204" s="3" t="s">
        <v>72</v>
      </c>
      <c r="F2204" s="3" t="s">
        <v>8662</v>
      </c>
      <c r="G2204" s="3" t="s">
        <v>8458</v>
      </c>
      <c r="H2204" s="3" t="s">
        <v>8663</v>
      </c>
      <c r="I2204" s="3" t="s">
        <v>20</v>
      </c>
      <c r="J2204" s="3">
        <v>2.2000000000000002</v>
      </c>
      <c r="K2204" s="3" t="s">
        <v>21</v>
      </c>
      <c r="L2204" s="3" t="s">
        <v>8777</v>
      </c>
      <c r="M2204" s="3" t="s">
        <v>8665</v>
      </c>
      <c r="N2204" s="6" t="str">
        <f>HYPERLINK("C:\Users\alexa\YandexDisk\Книги\Программирование\C++\Думай_как_программист_Креативный_подход_к_созданию_кода_C++_версия.pdf","Думай_как_программист_Креативный_подход_к_созданию_кода_C++_версия.pdf")</f>
        <v>Думай_как_программист_Креативный_подход_к_созданию_кода_C++_версия.pdf</v>
      </c>
      <c r="O2204" s="3" t="s">
        <v>8778</v>
      </c>
    </row>
    <row r="2205" spans="1:15" ht="138" x14ac:dyDescent="0.3">
      <c r="A2205" s="4">
        <v>2204</v>
      </c>
      <c r="B2205" s="5" t="s">
        <v>8779</v>
      </c>
      <c r="C2205" s="5" t="s">
        <v>8780</v>
      </c>
      <c r="D2205" s="5" t="s">
        <v>114</v>
      </c>
      <c r="E2205" s="5" t="s">
        <v>66</v>
      </c>
      <c r="F2205" s="5" t="s">
        <v>8662</v>
      </c>
      <c r="G2205" s="5" t="s">
        <v>8458</v>
      </c>
      <c r="H2205" s="5" t="s">
        <v>8663</v>
      </c>
      <c r="I2205" s="5" t="s">
        <v>20</v>
      </c>
      <c r="J2205" s="5">
        <v>20.52</v>
      </c>
      <c r="K2205" s="5" t="s">
        <v>21</v>
      </c>
      <c r="L2205" s="5" t="s">
        <v>8781</v>
      </c>
      <c r="M2205" s="5" t="s">
        <v>8665</v>
      </c>
      <c r="N2205" s="7" t="str">
        <f>HYPERLINK("C:\Users\alexa\YandexDisk\Книги\Программирование\C++\Изучаем_С++_через_программирование_игр.pdf","Изучаем_С++_через_программирование_игр.pdf")</f>
        <v>Изучаем_С++_через_программирование_игр.pdf</v>
      </c>
      <c r="O2205" s="5" t="s">
        <v>8782</v>
      </c>
    </row>
    <row r="2206" spans="1:15" ht="179.4" x14ac:dyDescent="0.3">
      <c r="A2206" s="2">
        <v>2205</v>
      </c>
      <c r="B2206" s="3" t="s">
        <v>8783</v>
      </c>
      <c r="C2206" s="3" t="s">
        <v>8784</v>
      </c>
      <c r="D2206" s="3" t="s">
        <v>27</v>
      </c>
      <c r="E2206" s="3" t="s">
        <v>18</v>
      </c>
      <c r="F2206" s="3" t="s">
        <v>8662</v>
      </c>
      <c r="G2206" s="3" t="s">
        <v>8458</v>
      </c>
      <c r="H2206" s="3" t="s">
        <v>8663</v>
      </c>
      <c r="I2206" s="3" t="s">
        <v>20</v>
      </c>
      <c r="J2206" s="3">
        <v>5.18</v>
      </c>
      <c r="K2206" s="3" t="s">
        <v>21</v>
      </c>
      <c r="L2206" s="3" t="s">
        <v>8785</v>
      </c>
      <c r="M2206" s="3" t="s">
        <v>8665</v>
      </c>
      <c r="N2206" s="6" t="str">
        <f>HYPERLINK("C:\Users\alexa\YandexDisk\Книги\Программирование\C++\Красивый_C++_30_главных_правил_чистого,_безопасного_и_быстрого_кода.pdf","Красивый_C++_30_главных_правил_чистого,_безопасного_и_быстрого_кода.pdf")</f>
        <v>Красивый_C++_30_главных_правил_чистого,_безопасного_и_быстрого_кода.pdf</v>
      </c>
      <c r="O2206" s="3" t="s">
        <v>8786</v>
      </c>
    </row>
    <row r="2207" spans="1:15" ht="179.4" x14ac:dyDescent="0.3">
      <c r="A2207" s="4">
        <v>2206</v>
      </c>
      <c r="B2207" s="5" t="s">
        <v>8787</v>
      </c>
      <c r="C2207" s="5" t="s">
        <v>8788</v>
      </c>
      <c r="D2207" s="5" t="s">
        <v>161</v>
      </c>
      <c r="E2207" s="5"/>
      <c r="F2207" s="5" t="s">
        <v>8662</v>
      </c>
      <c r="G2207" s="5" t="s">
        <v>8458</v>
      </c>
      <c r="H2207" s="5" t="s">
        <v>8663</v>
      </c>
      <c r="I2207" s="5" t="s">
        <v>20</v>
      </c>
      <c r="J2207" s="5">
        <v>12.86</v>
      </c>
      <c r="K2207" s="5" t="s">
        <v>21</v>
      </c>
      <c r="L2207" s="5" t="s">
        <v>8789</v>
      </c>
      <c r="M2207" s="5" t="s">
        <v>8665</v>
      </c>
      <c r="N2207" s="7" t="str">
        <f>HYPERLINK("C:\Users\alexa\YandexDisk\Книги\Программирование\C++\Лафоре_Р_Объектно_ориентированное прог C++.pdf","Лафоре_Р_Объектно_ориентированное прог C++.pdf")</f>
        <v>Лафоре_Р_Объектно_ориентированное прог C++.pdf</v>
      </c>
      <c r="O2207" s="5" t="s">
        <v>8790</v>
      </c>
    </row>
    <row r="2208" spans="1:15" ht="151.80000000000001" x14ac:dyDescent="0.3">
      <c r="A2208" s="2">
        <v>2207</v>
      </c>
      <c r="B2208" s="3" t="s">
        <v>8791</v>
      </c>
      <c r="C2208" s="3" t="s">
        <v>8792</v>
      </c>
      <c r="D2208" s="3" t="s">
        <v>114</v>
      </c>
      <c r="E2208" s="3" t="s">
        <v>442</v>
      </c>
      <c r="F2208" s="3" t="s">
        <v>8662</v>
      </c>
      <c r="G2208" s="3" t="s">
        <v>8458</v>
      </c>
      <c r="H2208" s="3" t="s">
        <v>8663</v>
      </c>
      <c r="I2208" s="3" t="s">
        <v>20</v>
      </c>
      <c r="J2208" s="3">
        <v>12.86</v>
      </c>
      <c r="K2208" s="3" t="s">
        <v>21</v>
      </c>
      <c r="L2208" s="3" t="s">
        <v>8793</v>
      </c>
      <c r="M2208" s="3" t="s">
        <v>8665</v>
      </c>
      <c r="N2208" s="6" t="str">
        <f>HYPERLINK("C:\Users\alexa\YandexDisk\Книги\Программирование\C++\Мейерс С. - Эффективный и современный C++ 2016.pdf","Мейерс С. - Эффективный и современный C++ 2016.pdf")</f>
        <v>Мейерс С. - Эффективный и современный C++ 2016.pdf</v>
      </c>
      <c r="O2208" s="3" t="s">
        <v>8794</v>
      </c>
    </row>
    <row r="2209" spans="1:15" ht="193.2" x14ac:dyDescent="0.3">
      <c r="A2209" s="4">
        <v>2208</v>
      </c>
      <c r="B2209" s="5" t="s">
        <v>8795</v>
      </c>
      <c r="C2209" s="5" t="s">
        <v>8796</v>
      </c>
      <c r="D2209" s="5" t="s">
        <v>27</v>
      </c>
      <c r="E2209" s="5" t="s">
        <v>8797</v>
      </c>
      <c r="F2209" s="5" t="s">
        <v>8662</v>
      </c>
      <c r="G2209" s="5" t="s">
        <v>8458</v>
      </c>
      <c r="H2209" s="5" t="s">
        <v>8663</v>
      </c>
      <c r="I2209" s="5" t="s">
        <v>20</v>
      </c>
      <c r="J2209" s="5">
        <v>17.13</v>
      </c>
      <c r="K2209" s="5" t="s">
        <v>21</v>
      </c>
      <c r="L2209" s="5" t="s">
        <v>8798</v>
      </c>
      <c r="M2209" s="5" t="s">
        <v>8665</v>
      </c>
      <c r="N2209" s="7" t="str">
        <f>HYPERLINK("C:\Users\alexa\YandexDisk\Книги\Программирование\C++\Методы программирования в задачах и примерах на C,C++.pdf","Методы программирования в задачах и примерах на C,C++.pdf")</f>
        <v>Методы программирования в задачах и примерах на C,C++.pdf</v>
      </c>
      <c r="O2209" s="5" t="s">
        <v>8799</v>
      </c>
    </row>
    <row r="2210" spans="1:15" ht="234.6" x14ac:dyDescent="0.3">
      <c r="A2210" s="2">
        <v>2209</v>
      </c>
      <c r="B2210" s="3" t="s">
        <v>8800</v>
      </c>
      <c r="C2210" s="3" t="s">
        <v>8801</v>
      </c>
      <c r="D2210" s="3" t="s">
        <v>59</v>
      </c>
      <c r="E2210" s="3" t="s">
        <v>8452</v>
      </c>
      <c r="F2210" s="3" t="s">
        <v>8662</v>
      </c>
      <c r="G2210" s="3" t="s">
        <v>8458</v>
      </c>
      <c r="H2210" s="3" t="s">
        <v>8663</v>
      </c>
      <c r="I2210" s="3" t="s">
        <v>20</v>
      </c>
      <c r="J2210" s="3">
        <v>1.18</v>
      </c>
      <c r="K2210" s="3" t="s">
        <v>21</v>
      </c>
      <c r="L2210" s="3" t="s">
        <v>8802</v>
      </c>
      <c r="M2210" s="3" t="s">
        <v>8665</v>
      </c>
      <c r="N2210" s="6" t="str">
        <f>HYPERLINK("C:\Users\alexa\YandexDisk\Книги\Программирование\C++\Обратные вызовы в C++.pdf","Обратные вызовы в C++.pdf")</f>
        <v>Обратные вызовы в C++.pdf</v>
      </c>
      <c r="O2210" s="3" t="s">
        <v>8803</v>
      </c>
    </row>
    <row r="2211" spans="1:15" ht="179.4" x14ac:dyDescent="0.3">
      <c r="A2211" s="4">
        <v>2210</v>
      </c>
      <c r="B2211" s="5" t="s">
        <v>8804</v>
      </c>
      <c r="C2211" s="5" t="s">
        <v>8805</v>
      </c>
      <c r="D2211" s="5" t="s">
        <v>17</v>
      </c>
      <c r="E2211" s="5" t="s">
        <v>8806</v>
      </c>
      <c r="F2211" s="5" t="s">
        <v>8662</v>
      </c>
      <c r="G2211" s="5" t="s">
        <v>8458</v>
      </c>
      <c r="H2211" s="5" t="s">
        <v>8663</v>
      </c>
      <c r="I2211" s="5" t="s">
        <v>20</v>
      </c>
      <c r="J2211" s="5">
        <v>4.57</v>
      </c>
      <c r="K2211" s="5" t="s">
        <v>21</v>
      </c>
      <c r="L2211" s="5" t="s">
        <v>8807</v>
      </c>
      <c r="M2211" s="5" t="s">
        <v>8665</v>
      </c>
      <c r="N2211" s="7" t="str">
        <f>HYPERLINK("C:\Users\alexa\YandexDisk\Книги\Программирование\C++\Объектно-ориентированное программирование в C++.pdf","Объектно-ориентированное программирование в C++.pdf")</f>
        <v>Объектно-ориентированное программирование в C++.pdf</v>
      </c>
      <c r="O2211" s="5" t="s">
        <v>8808</v>
      </c>
    </row>
    <row r="2212" spans="1:15" ht="234.6" x14ac:dyDescent="0.3">
      <c r="A2212" s="2">
        <v>2211</v>
      </c>
      <c r="B2212" s="3" t="s">
        <v>789</v>
      </c>
      <c r="C2212" s="3" t="s">
        <v>790</v>
      </c>
      <c r="D2212" s="3" t="s">
        <v>59</v>
      </c>
      <c r="E2212" s="3" t="s">
        <v>102</v>
      </c>
      <c r="F2212" s="3" t="s">
        <v>8662</v>
      </c>
      <c r="G2212" s="3" t="s">
        <v>8458</v>
      </c>
      <c r="H2212" s="3" t="s">
        <v>8663</v>
      </c>
      <c r="I2212" s="3" t="s">
        <v>20</v>
      </c>
      <c r="J2212" s="3">
        <v>2.42</v>
      </c>
      <c r="K2212" s="3" t="s">
        <v>21</v>
      </c>
      <c r="L2212" s="3" t="s">
        <v>8809</v>
      </c>
      <c r="M2212" s="3" t="s">
        <v>8665</v>
      </c>
      <c r="N2212" s="6" t="str">
        <f>HYPERLINK("C:\Users\alexa\YandexDisk\Книги\Программирование\C++\Олимпиадное программирование С++.pdf","Олимпиадное программирование С++.pdf")</f>
        <v>Олимпиадное программирование С++.pdf</v>
      </c>
      <c r="O2212" s="3" t="s">
        <v>8810</v>
      </c>
    </row>
    <row r="2213" spans="1:15" ht="151.80000000000001" x14ac:dyDescent="0.3">
      <c r="A2213" s="4">
        <v>2212</v>
      </c>
      <c r="B2213" s="5" t="s">
        <v>8811</v>
      </c>
      <c r="C2213" s="5" t="s">
        <v>8812</v>
      </c>
      <c r="D2213" s="5" t="s">
        <v>50</v>
      </c>
      <c r="E2213" s="5" t="s">
        <v>187</v>
      </c>
      <c r="F2213" s="5" t="s">
        <v>8662</v>
      </c>
      <c r="G2213" s="5" t="s">
        <v>8458</v>
      </c>
      <c r="H2213" s="5" t="s">
        <v>8663</v>
      </c>
      <c r="I2213" s="5" t="s">
        <v>20</v>
      </c>
      <c r="J2213" s="5">
        <v>23.85</v>
      </c>
      <c r="K2213" s="5" t="s">
        <v>21</v>
      </c>
      <c r="L2213" s="5" t="s">
        <v>8813</v>
      </c>
      <c r="M2213" s="5" t="s">
        <v>8665</v>
      </c>
      <c r="N2213" s="7" t="str">
        <f>HYPERLINK("C:\Users\alexa\YandexDisk\Книги\Программирование\C++\Оптимизация программ на C++  2017.pdf","Оптимизация программ на C++  2017.pdf")</f>
        <v>Оптимизация программ на C++  2017.pdf</v>
      </c>
      <c r="O2213" s="5" t="s">
        <v>8814</v>
      </c>
    </row>
    <row r="2214" spans="1:15" ht="179.4" x14ac:dyDescent="0.3">
      <c r="A2214" s="2">
        <v>2213</v>
      </c>
      <c r="B2214" s="3" t="s">
        <v>8815</v>
      </c>
      <c r="C2214" s="3" t="s">
        <v>8816</v>
      </c>
      <c r="D2214" s="3" t="s">
        <v>71</v>
      </c>
      <c r="E2214" s="3" t="s">
        <v>8817</v>
      </c>
      <c r="F2214" s="3" t="s">
        <v>8662</v>
      </c>
      <c r="G2214" s="3" t="s">
        <v>8458</v>
      </c>
      <c r="H2214" s="3" t="s">
        <v>8663</v>
      </c>
      <c r="I2214" s="3" t="s">
        <v>20</v>
      </c>
      <c r="J2214" s="3">
        <v>19.850000000000001</v>
      </c>
      <c r="K2214" s="3" t="s">
        <v>21</v>
      </c>
      <c r="L2214" s="3" t="s">
        <v>8818</v>
      </c>
      <c r="M2214" s="3" t="s">
        <v>8665</v>
      </c>
      <c r="N2214" s="6" t="str">
        <f>HYPERLINK("C:\Users\alexa\YandexDisk\Книги\Программирование\C++\Основы_программирования_Язык_высокого_уровня_С++_Часть_I.pdf","Основы_программирования_Язык_высокого_уровня_С++_Часть_I.pdf")</f>
        <v>Основы_программирования_Язык_высокого_уровня_С++_Часть_I.pdf</v>
      </c>
      <c r="O2214" s="3" t="s">
        <v>8819</v>
      </c>
    </row>
    <row r="2215" spans="1:15" ht="138" x14ac:dyDescent="0.3">
      <c r="A2215" s="4">
        <v>2214</v>
      </c>
      <c r="B2215" s="5" t="s">
        <v>8820</v>
      </c>
      <c r="C2215" s="5"/>
      <c r="D2215" s="5"/>
      <c r="E2215" s="5"/>
      <c r="F2215" s="5" t="s">
        <v>8662</v>
      </c>
      <c r="G2215" s="5" t="s">
        <v>8458</v>
      </c>
      <c r="H2215" s="5" t="s">
        <v>8663</v>
      </c>
      <c r="I2215" s="5" t="s">
        <v>20</v>
      </c>
      <c r="J2215" s="5">
        <v>21.92</v>
      </c>
      <c r="K2215" s="5" t="s">
        <v>21</v>
      </c>
      <c r="L2215" s="5" t="s">
        <v>8821</v>
      </c>
      <c r="M2215" s="5" t="s">
        <v>8665</v>
      </c>
      <c r="N2215" s="7" t="str">
        <f>HYPERLINK("C:\Users\alexa\YandexDisk\Книги\Программирование\C++\Прикладное программирование на C.C++.pdf","Прикладное программирование на C.C++.pdf")</f>
        <v>Прикладное программирование на C.C++.pdf</v>
      </c>
      <c r="O2215" s="5" t="s">
        <v>8822</v>
      </c>
    </row>
    <row r="2216" spans="1:15" ht="138" x14ac:dyDescent="0.3">
      <c r="A2216" s="2">
        <v>2215</v>
      </c>
      <c r="B2216" s="3" t="s">
        <v>8823</v>
      </c>
      <c r="C2216" s="3" t="s">
        <v>8824</v>
      </c>
      <c r="D2216" s="3" t="s">
        <v>27</v>
      </c>
      <c r="E2216" s="3"/>
      <c r="F2216" s="3" t="s">
        <v>8662</v>
      </c>
      <c r="G2216" s="3" t="s">
        <v>8458</v>
      </c>
      <c r="H2216" s="3" t="s">
        <v>8663</v>
      </c>
      <c r="I2216" s="3" t="s">
        <v>20</v>
      </c>
      <c r="J2216" s="3">
        <v>87.04</v>
      </c>
      <c r="K2216" s="3" t="s">
        <v>21</v>
      </c>
      <c r="L2216" s="3" t="s">
        <v>8825</v>
      </c>
      <c r="M2216" s="3" t="s">
        <v>8665</v>
      </c>
      <c r="N2216" s="6" t="str">
        <f>HYPERLINK("C:\Users\alexa\YandexDisk\Книги\Программирование\C++\Программирование_графики_на_С++_Теория_и_примеры_2023_Корнеев,_Гагарина.pdf","Программирование_графики_на_С++_Теория_и_примеры_2023_Корнеев,_Гагарина.pdf")</f>
        <v>Программирование_графики_на_С++_Теория_и_примеры_2023_Корнеев,_Гагарина.pdf</v>
      </c>
      <c r="O2216" s="3" t="s">
        <v>8826</v>
      </c>
    </row>
    <row r="2217" spans="1:15" ht="138" x14ac:dyDescent="0.3">
      <c r="A2217" s="4">
        <v>2216</v>
      </c>
      <c r="B2217" s="5" t="s">
        <v>8667</v>
      </c>
      <c r="C2217" s="5" t="s">
        <v>8668</v>
      </c>
      <c r="D2217" s="5" t="s">
        <v>1022</v>
      </c>
      <c r="E2217" s="5" t="s">
        <v>8669</v>
      </c>
      <c r="F2217" s="5" t="s">
        <v>8662</v>
      </c>
      <c r="G2217" s="5" t="s">
        <v>8458</v>
      </c>
      <c r="H2217" s="5" t="s">
        <v>8663</v>
      </c>
      <c r="I2217" s="5" t="s">
        <v>20</v>
      </c>
      <c r="J2217" s="5">
        <v>5.35</v>
      </c>
      <c r="K2217" s="5" t="s">
        <v>21</v>
      </c>
      <c r="L2217" s="5" t="s">
        <v>8827</v>
      </c>
      <c r="M2217" s="5" t="s">
        <v>8665</v>
      </c>
      <c r="N2217" s="7" t="str">
        <f>HYPERLINK("C:\Users\alexa\YandexDisk\Книги\Программирование\C++\Программирование_на_С++_в_среде_Qt_Creator.pdf","Программирование_на_С++_в_среде_Qt_Creator.pdf")</f>
        <v>Программирование_на_С++_в_среде_Qt_Creator.pdf</v>
      </c>
      <c r="O2217" s="5" t="s">
        <v>8828</v>
      </c>
    </row>
    <row r="2218" spans="1:15" ht="179.4" x14ac:dyDescent="0.3">
      <c r="A2218" s="2">
        <v>2217</v>
      </c>
      <c r="B2218" s="3" t="s">
        <v>8829</v>
      </c>
      <c r="C2218" s="3" t="s">
        <v>8830</v>
      </c>
      <c r="D2218" s="3" t="s">
        <v>27</v>
      </c>
      <c r="E2218" s="3" t="s">
        <v>2441</v>
      </c>
      <c r="F2218" s="3" t="s">
        <v>8662</v>
      </c>
      <c r="G2218" s="3" t="s">
        <v>8458</v>
      </c>
      <c r="H2218" s="3" t="s">
        <v>8663</v>
      </c>
      <c r="I2218" s="3" t="s">
        <v>20</v>
      </c>
      <c r="J2218" s="3">
        <v>11.25</v>
      </c>
      <c r="K2218" s="3" t="s">
        <v>21</v>
      </c>
      <c r="L2218" s="3" t="s">
        <v>8831</v>
      </c>
      <c r="M2218" s="3" t="s">
        <v>8665</v>
      </c>
      <c r="N2218" s="6" t="str">
        <f>HYPERLINK("C:\Users\alexa\YandexDisk\Книги\Программирование\C++\Разработка кроссплатформенного ПО.pdf","Разработка кроссплатформенного ПО.pdf")</f>
        <v>Разработка кроссплатформенного ПО.pdf</v>
      </c>
      <c r="O2218" s="3" t="s">
        <v>8832</v>
      </c>
    </row>
    <row r="2219" spans="1:15" ht="207" x14ac:dyDescent="0.3">
      <c r="A2219" s="4">
        <v>2218</v>
      </c>
      <c r="B2219" s="5" t="s">
        <v>8833</v>
      </c>
      <c r="C2219" s="5" t="s">
        <v>8834</v>
      </c>
      <c r="D2219" s="5" t="s">
        <v>59</v>
      </c>
      <c r="E2219" s="5" t="s">
        <v>102</v>
      </c>
      <c r="F2219" s="5" t="s">
        <v>8662</v>
      </c>
      <c r="G2219" s="5" t="s">
        <v>8458</v>
      </c>
      <c r="H2219" s="5" t="s">
        <v>8663</v>
      </c>
      <c r="I2219" s="5" t="s">
        <v>20</v>
      </c>
      <c r="J2219" s="5">
        <v>2.35</v>
      </c>
      <c r="K2219" s="5" t="s">
        <v>21</v>
      </c>
      <c r="L2219" s="5" t="s">
        <v>8835</v>
      </c>
      <c r="M2219" s="5" t="s">
        <v>8665</v>
      </c>
      <c r="N2219" s="7" t="str">
        <f>HYPERLINK("C:\Users\alexa\YandexDisk\Книги\Программирование\C++\Разработка_приложений_на_С++_с_использованием_Boost_2020.pdf","Разработка_приложений_на_С++_с_использованием_Boost_2020.pdf")</f>
        <v>Разработка_приложений_на_С++_с_использованием_Boost_2020.pdf</v>
      </c>
      <c r="O2219" s="5" t="s">
        <v>8836</v>
      </c>
    </row>
    <row r="2220" spans="1:15" ht="179.4" x14ac:dyDescent="0.3">
      <c r="A2220" s="2">
        <v>2219</v>
      </c>
      <c r="B2220" s="3" t="s">
        <v>8576</v>
      </c>
      <c r="C2220" s="3" t="s">
        <v>8837</v>
      </c>
      <c r="D2220" s="3" t="s">
        <v>50</v>
      </c>
      <c r="E2220" s="3" t="s">
        <v>8578</v>
      </c>
      <c r="F2220" s="3" t="s">
        <v>8662</v>
      </c>
      <c r="G2220" s="3" t="s">
        <v>8458</v>
      </c>
      <c r="H2220" s="3" t="s">
        <v>8663</v>
      </c>
      <c r="I2220" s="3" t="s">
        <v>20</v>
      </c>
      <c r="J2220" s="3">
        <v>42.25</v>
      </c>
      <c r="K2220" s="3" t="s">
        <v>21</v>
      </c>
      <c r="L2220" s="3" t="s">
        <v>8838</v>
      </c>
      <c r="M2220" s="3" t="s">
        <v>8665</v>
      </c>
      <c r="N2220" s="6" t="str">
        <f>HYPERLINK("C:\Users\alexa\YandexDisk\Книги\Программирование\C++\Решение задач по программированию С и С++i.pdf","Решение задач по программированию С и С++i.pdf")</f>
        <v>Решение задач по программированию С и С++i.pdf</v>
      </c>
      <c r="O2220" s="3" t="s">
        <v>8839</v>
      </c>
    </row>
    <row r="2221" spans="1:15" ht="165.6" x14ac:dyDescent="0.3">
      <c r="A2221" s="4">
        <v>2220</v>
      </c>
      <c r="B2221" s="5" t="s">
        <v>8840</v>
      </c>
      <c r="C2221" s="5" t="s">
        <v>8841</v>
      </c>
      <c r="D2221" s="5"/>
      <c r="E2221" s="5"/>
      <c r="F2221" s="5" t="s">
        <v>8662</v>
      </c>
      <c r="G2221" s="5" t="s">
        <v>8458</v>
      </c>
      <c r="H2221" s="5" t="s">
        <v>8663</v>
      </c>
      <c r="I2221" s="5" t="s">
        <v>721</v>
      </c>
      <c r="J2221" s="5">
        <v>15.01</v>
      </c>
      <c r="K2221" s="5" t="s">
        <v>21</v>
      </c>
      <c r="L2221" s="5" t="s">
        <v>8842</v>
      </c>
      <c r="M2221" s="5" t="s">
        <v>8665</v>
      </c>
      <c r="N2221" s="7" t="str">
        <f>HYPERLINK("C:\Users\alexa\YandexDisk\Книги\Программирование\C++\Роберт Седжвик Алгоритмы С++.djvu","Роберт Седжвик Алгоритмы С++.djvu")</f>
        <v>Роберт Седжвик Алгоритмы С++.djvu</v>
      </c>
      <c r="O2221" s="5" t="s">
        <v>8843</v>
      </c>
    </row>
    <row r="2222" spans="1:15" ht="96.6" x14ac:dyDescent="0.3">
      <c r="A2222" s="2">
        <v>2221</v>
      </c>
      <c r="B2222" s="3" t="s">
        <v>8844</v>
      </c>
      <c r="C2222" s="3" t="s">
        <v>8845</v>
      </c>
      <c r="D2222" s="3" t="s">
        <v>27</v>
      </c>
      <c r="E2222" s="3" t="s">
        <v>102</v>
      </c>
      <c r="F2222" s="3" t="s">
        <v>8662</v>
      </c>
      <c r="G2222" s="3" t="s">
        <v>8458</v>
      </c>
      <c r="H2222" s="3" t="s">
        <v>8663</v>
      </c>
      <c r="I2222" s="3" t="s">
        <v>519</v>
      </c>
      <c r="J2222" s="3">
        <v>35.51</v>
      </c>
      <c r="K2222" s="3" t="s">
        <v>21</v>
      </c>
      <c r="L2222" s="3" t="s">
        <v>8846</v>
      </c>
      <c r="M2222" s="3" t="s">
        <v>8665</v>
      </c>
      <c r="N2222" s="6" t="str">
        <f>HYPERLINK("C:\Users\alexa\YandexDisk\Книги\Программирование\C++\С++ 20 в деталях.zip","С++ 20 в деталях.zip")</f>
        <v>С++ 20 в деталях.zip</v>
      </c>
      <c r="O2222" s="3" t="s">
        <v>8847</v>
      </c>
    </row>
    <row r="2223" spans="1:15" ht="179.4" x14ac:dyDescent="0.3">
      <c r="A2223" s="4">
        <v>2222</v>
      </c>
      <c r="B2223" s="5" t="s">
        <v>8848</v>
      </c>
      <c r="C2223" s="5" t="s">
        <v>8849</v>
      </c>
      <c r="D2223" s="5" t="s">
        <v>59</v>
      </c>
      <c r="E2223" s="5" t="s">
        <v>102</v>
      </c>
      <c r="F2223" s="5" t="s">
        <v>8662</v>
      </c>
      <c r="G2223" s="5" t="s">
        <v>8458</v>
      </c>
      <c r="H2223" s="5" t="s">
        <v>8663</v>
      </c>
      <c r="I2223" s="5" t="s">
        <v>20</v>
      </c>
      <c r="J2223" s="5">
        <v>2.35</v>
      </c>
      <c r="K2223" s="5" t="s">
        <v>21</v>
      </c>
      <c r="L2223" s="5" t="s">
        <v>8850</v>
      </c>
      <c r="M2223" s="5" t="s">
        <v>8665</v>
      </c>
      <c r="N2223" s="7" t="str">
        <f>HYPERLINK("C:\Users\alexa\YandexDisk\Книги\Программирование\C++\С++ Boost 2020.pdf","С++ Boost 2020.pdf")</f>
        <v>С++ Boost 2020.pdf</v>
      </c>
      <c r="O2223" s="5" t="s">
        <v>8851</v>
      </c>
    </row>
    <row r="2224" spans="1:15" ht="179.4" x14ac:dyDescent="0.3">
      <c r="A2224" s="2">
        <v>2223</v>
      </c>
      <c r="B2224" s="3" t="s">
        <v>8852</v>
      </c>
      <c r="C2224" s="3" t="s">
        <v>8853</v>
      </c>
      <c r="D2224" s="3" t="s">
        <v>476</v>
      </c>
      <c r="E2224" s="3" t="s">
        <v>8854</v>
      </c>
      <c r="F2224" s="3" t="s">
        <v>8662</v>
      </c>
      <c r="G2224" s="3" t="s">
        <v>8458</v>
      </c>
      <c r="H2224" s="3" t="s">
        <v>8663</v>
      </c>
      <c r="I2224" s="3" t="s">
        <v>20</v>
      </c>
      <c r="J2224" s="3">
        <v>24.34</v>
      </c>
      <c r="K2224" s="3" t="s">
        <v>21</v>
      </c>
      <c r="L2224" s="3" t="s">
        <v>8855</v>
      </c>
      <c r="M2224" s="3" t="s">
        <v>8665</v>
      </c>
      <c r="N2224" s="6" t="str">
        <f>HYPERLINK("C:\Users\alexa\YandexDisk\Книги\Программирование\C++\С++ для начинающих 2013.pdf","С++ для начинающих 2013.pdf")</f>
        <v>С++ для начинающих 2013.pdf</v>
      </c>
      <c r="O2224" s="3" t="s">
        <v>8856</v>
      </c>
    </row>
    <row r="2225" spans="1:15" ht="165.6" x14ac:dyDescent="0.3">
      <c r="A2225" s="4">
        <v>2224</v>
      </c>
      <c r="B2225" s="5" t="s">
        <v>8857</v>
      </c>
      <c r="C2225" s="5" t="s">
        <v>8858</v>
      </c>
      <c r="D2225" s="5" t="s">
        <v>476</v>
      </c>
      <c r="E2225" s="5" t="s">
        <v>8859</v>
      </c>
      <c r="F2225" s="5" t="s">
        <v>8662</v>
      </c>
      <c r="G2225" s="5" t="s">
        <v>8458</v>
      </c>
      <c r="H2225" s="5" t="s">
        <v>8663</v>
      </c>
      <c r="I2225" s="5" t="s">
        <v>20</v>
      </c>
      <c r="J2225" s="5">
        <v>13.97</v>
      </c>
      <c r="K2225" s="5" t="s">
        <v>21</v>
      </c>
      <c r="L2225" s="5" t="s">
        <v>8860</v>
      </c>
      <c r="M2225" s="5" t="s">
        <v>8665</v>
      </c>
      <c r="N2225" s="7" t="str">
        <f>HYPERLINK("C:\Users\alexa\YandexDisk\Книги\Программирование\C++\С++ за 21 день 2013.pdf","С++ за 21 день 2013.pdf")</f>
        <v>С++ за 21 день 2013.pdf</v>
      </c>
      <c r="O2225" s="5" t="s">
        <v>8861</v>
      </c>
    </row>
    <row r="2226" spans="1:15" ht="124.2" x14ac:dyDescent="0.3">
      <c r="A2226" s="2">
        <v>2225</v>
      </c>
      <c r="B2226" s="3" t="s">
        <v>8862</v>
      </c>
      <c r="C2226" s="3"/>
      <c r="D2226" s="3"/>
      <c r="E2226" s="3"/>
      <c r="F2226" s="3" t="s">
        <v>8662</v>
      </c>
      <c r="G2226" s="3" t="s">
        <v>8458</v>
      </c>
      <c r="H2226" s="3" t="s">
        <v>8663</v>
      </c>
      <c r="I2226" s="3" t="s">
        <v>721</v>
      </c>
      <c r="J2226" s="3">
        <v>4.37</v>
      </c>
      <c r="K2226" s="3" t="s">
        <v>21</v>
      </c>
      <c r="L2226" s="3" t="s">
        <v>8863</v>
      </c>
      <c r="M2226" s="3" t="s">
        <v>8665</v>
      </c>
      <c r="N2226" s="6" t="str">
        <f>HYPERLINK("C:\Users\alexa\YandexDisk\Книги\Программирование\C++\С++ мастер класс 85 нетривиальных задач.djvu","С++ мастер класс 85 нетривиальных задач.djvu")</f>
        <v>С++ мастер класс 85 нетривиальных задач.djvu</v>
      </c>
      <c r="O2226" s="3" t="s">
        <v>8864</v>
      </c>
    </row>
    <row r="2227" spans="1:15" ht="179.4" x14ac:dyDescent="0.3">
      <c r="A2227" s="4">
        <v>2226</v>
      </c>
      <c r="B2227" s="5" t="s">
        <v>8865</v>
      </c>
      <c r="C2227" s="5" t="s">
        <v>8858</v>
      </c>
      <c r="D2227" s="5" t="s">
        <v>50</v>
      </c>
      <c r="E2227" s="5" t="s">
        <v>8806</v>
      </c>
      <c r="F2227" s="5" t="s">
        <v>8662</v>
      </c>
      <c r="G2227" s="5" t="s">
        <v>8458</v>
      </c>
      <c r="H2227" s="5" t="s">
        <v>8663</v>
      </c>
      <c r="I2227" s="5" t="s">
        <v>20</v>
      </c>
      <c r="J2227" s="5">
        <v>44.02</v>
      </c>
      <c r="K2227" s="5" t="s">
        <v>21</v>
      </c>
      <c r="L2227" s="5" t="s">
        <v>8866</v>
      </c>
      <c r="M2227" s="5" t="s">
        <v>8665</v>
      </c>
      <c r="N2227" s="7" t="str">
        <f>HYPERLINK("C:\Users\alexa\YandexDisk\Книги\Программирование\C++\С++ по одному часу в день 8_e_изд_2017.pdf","С++ по одному часу в день 8_e_изд_2017.pdf")</f>
        <v>С++ по одному часу в день 8_e_изд_2017.pdf</v>
      </c>
      <c r="O2227" s="5" t="s">
        <v>8867</v>
      </c>
    </row>
    <row r="2228" spans="1:15" ht="165.6" x14ac:dyDescent="0.3">
      <c r="A2228" s="2">
        <v>2227</v>
      </c>
      <c r="B2228" s="3" t="s">
        <v>8695</v>
      </c>
      <c r="C2228" s="3" t="s">
        <v>8696</v>
      </c>
      <c r="D2228" s="3" t="s">
        <v>59</v>
      </c>
      <c r="E2228" s="3" t="s">
        <v>18</v>
      </c>
      <c r="F2228" s="3" t="s">
        <v>8662</v>
      </c>
      <c r="G2228" s="3" t="s">
        <v>8458</v>
      </c>
      <c r="H2228" s="3" t="s">
        <v>8663</v>
      </c>
      <c r="I2228" s="3" t="s">
        <v>20</v>
      </c>
      <c r="J2228" s="3">
        <v>46.72</v>
      </c>
      <c r="K2228" s="3" t="s">
        <v>21</v>
      </c>
      <c r="L2228" s="3" t="s">
        <v>8868</v>
      </c>
      <c r="M2228" s="3" t="s">
        <v>8665</v>
      </c>
      <c r="N2228" s="6" t="str">
        <f>HYPERLINK("C:\Users\alexa\YandexDisk\Книги\Программирование\C++\С++_Практика_многопоточного_программирования_2020_Энтони_Уильямс.pdf","С++_Практика_многопоточного_программирования_2020_Энтони_Уильямс.pdf")</f>
        <v>С++_Практика_многопоточного_программирования_2020_Энтони_Уильямс.pdf</v>
      </c>
      <c r="O2228" s="3" t="s">
        <v>8869</v>
      </c>
    </row>
    <row r="2229" spans="1:15" ht="55.2" x14ac:dyDescent="0.3">
      <c r="A2229" s="4">
        <v>2228</v>
      </c>
      <c r="B2229" s="5" t="s">
        <v>8558</v>
      </c>
      <c r="C2229" s="5" t="s">
        <v>8870</v>
      </c>
      <c r="D2229" s="5" t="s">
        <v>1022</v>
      </c>
      <c r="E2229" s="5" t="s">
        <v>4397</v>
      </c>
      <c r="F2229" s="5" t="s">
        <v>8662</v>
      </c>
      <c r="G2229" s="5" t="s">
        <v>8458</v>
      </c>
      <c r="H2229" s="5" t="s">
        <v>8663</v>
      </c>
      <c r="I2229" s="5" t="s">
        <v>20</v>
      </c>
      <c r="J2229" s="5">
        <v>12.93</v>
      </c>
      <c r="K2229" s="5" t="s">
        <v>21</v>
      </c>
      <c r="L2229" s="5" t="s">
        <v>8871</v>
      </c>
      <c r="M2229" s="5" t="s">
        <v>8665</v>
      </c>
      <c r="N2229" s="7" t="str">
        <f>HYPERLINK("C:\Users\alexa\YandexDisk\Книги\Программирование\C++\Сикорд_Роберт_Безопасное_программирование_на_C_и_C++_Вильямс_2015.pdf","Сикорд_Роберт_Безопасное_программирование_на_C_и_C++_Вильямс_2015.pdf")</f>
        <v>Сикорд_Роберт_Безопасное_программирование_на_C_и_C++_Вильямс_2015.pdf</v>
      </c>
      <c r="O2229" s="5" t="s">
        <v>930</v>
      </c>
    </row>
    <row r="2230" spans="1:15" ht="179.4" x14ac:dyDescent="0.3">
      <c r="A2230" s="2">
        <v>2229</v>
      </c>
      <c r="B2230" s="3" t="s">
        <v>8872</v>
      </c>
      <c r="C2230" s="3" t="s">
        <v>8873</v>
      </c>
      <c r="D2230" s="3" t="s">
        <v>1022</v>
      </c>
      <c r="E2230" s="3" t="s">
        <v>8874</v>
      </c>
      <c r="F2230" s="3" t="s">
        <v>8662</v>
      </c>
      <c r="G2230" s="3" t="s">
        <v>8458</v>
      </c>
      <c r="H2230" s="3" t="s">
        <v>8663</v>
      </c>
      <c r="I2230" s="3" t="s">
        <v>20</v>
      </c>
      <c r="J2230" s="3">
        <v>1.56</v>
      </c>
      <c r="K2230" s="3" t="s">
        <v>21</v>
      </c>
      <c r="L2230" s="3" t="s">
        <v>8875</v>
      </c>
      <c r="M2230" s="3" t="s">
        <v>8665</v>
      </c>
      <c r="N2230" s="6" t="str">
        <f>HYPERLINK("C:\Users\alexa\YandexDisk\Книги\Программирование\C++\Система_построения_проектов_CMake_2015_Д_В_Дубров-2015.pdf","Система_построения_проектов_CMake_2015_Д_В_Дубров-2015.pdf")</f>
        <v>Система_построения_проектов_CMake_2015_Д_В_Дубров-2015.pdf</v>
      </c>
      <c r="O2230" s="3" t="s">
        <v>8876</v>
      </c>
    </row>
    <row r="2231" spans="1:15" ht="165.6" x14ac:dyDescent="0.3">
      <c r="A2231" s="4">
        <v>2230</v>
      </c>
      <c r="B2231" s="5" t="s">
        <v>8877</v>
      </c>
      <c r="C2231" s="5" t="s">
        <v>8878</v>
      </c>
      <c r="D2231" s="5" t="s">
        <v>50</v>
      </c>
      <c r="E2231" s="5" t="s">
        <v>92</v>
      </c>
      <c r="F2231" s="5" t="s">
        <v>8662</v>
      </c>
      <c r="G2231" s="5" t="s">
        <v>8458</v>
      </c>
      <c r="H2231" s="5" t="s">
        <v>8663</v>
      </c>
      <c r="I2231" s="5" t="s">
        <v>20</v>
      </c>
      <c r="J2231" s="5">
        <v>1.1000000000000001</v>
      </c>
      <c r="K2231" s="5" t="s">
        <v>21</v>
      </c>
      <c r="L2231" s="5" t="s">
        <v>8879</v>
      </c>
      <c r="M2231" s="5" t="s">
        <v>8665</v>
      </c>
      <c r="N2231" s="7" t="str">
        <f>HYPERLINK("C:\Users\alexa\YandexDisk\Книги\Программирование\C++\Скользкие места C++.pdf","Скользкие места C++.pdf")</f>
        <v>Скользкие места C++.pdf</v>
      </c>
      <c r="O2231" s="5" t="s">
        <v>8880</v>
      </c>
    </row>
    <row r="2232" spans="1:15" ht="220.8" x14ac:dyDescent="0.3">
      <c r="A2232" s="2">
        <v>2231</v>
      </c>
      <c r="B2232" s="3" t="s">
        <v>8881</v>
      </c>
      <c r="C2232" s="3" t="s">
        <v>8882</v>
      </c>
      <c r="D2232" s="3" t="s">
        <v>27</v>
      </c>
      <c r="E2232" s="3" t="s">
        <v>92</v>
      </c>
      <c r="F2232" s="3" t="s">
        <v>8662</v>
      </c>
      <c r="G2232" s="3" t="s">
        <v>8458</v>
      </c>
      <c r="H2232" s="3" t="s">
        <v>8663</v>
      </c>
      <c r="I2232" s="3" t="s">
        <v>20</v>
      </c>
      <c r="J2232" s="3">
        <v>19.41</v>
      </c>
      <c r="K2232" s="3" t="s">
        <v>21</v>
      </c>
      <c r="L2232" s="3" t="s">
        <v>8883</v>
      </c>
      <c r="M2232" s="3" t="s">
        <v>8665</v>
      </c>
      <c r="N2232" s="6" t="str">
        <f>HYPERLINK("C:\Users\alexa\YandexDisk\Книги\Программирование\C++\Современный C++ 2022.pdf","Современный C++ 2022.pdf")</f>
        <v>Современный C++ 2022.pdf</v>
      </c>
      <c r="O2232" s="3" t="s">
        <v>8884</v>
      </c>
    </row>
    <row r="2233" spans="1:15" ht="165.6" x14ac:dyDescent="0.3">
      <c r="A2233" s="4">
        <v>2232</v>
      </c>
      <c r="B2233" s="5" t="s">
        <v>8775</v>
      </c>
      <c r="C2233" s="5" t="s">
        <v>8776</v>
      </c>
      <c r="D2233" s="5" t="s">
        <v>32</v>
      </c>
      <c r="E2233" s="5" t="s">
        <v>1023</v>
      </c>
      <c r="F2233" s="5" t="s">
        <v>8662</v>
      </c>
      <c r="G2233" s="5" t="s">
        <v>8458</v>
      </c>
      <c r="H2233" s="5" t="s">
        <v>8663</v>
      </c>
      <c r="I2233" s="5" t="s">
        <v>20</v>
      </c>
      <c r="J2233" s="5">
        <v>2.2000000000000002</v>
      </c>
      <c r="K2233" s="5" t="s">
        <v>21</v>
      </c>
      <c r="L2233" s="5" t="s">
        <v>8885</v>
      </c>
      <c r="M2233" s="5" t="s">
        <v>8665</v>
      </c>
      <c r="N2233" s="7" t="str">
        <f>HYPERLINK("C:\Users\alexa\YandexDisk\Книги\Программирование\C++\Спрол_Антон_Думай_как_программист_ CPP 2018.pdf","Спрол_Антон_Думай_как_программист_ CPP 2018.pdf")</f>
        <v>Спрол_Антон_Думай_как_программист_ CPP 2018.pdf</v>
      </c>
      <c r="O2233" s="5" t="s">
        <v>8886</v>
      </c>
    </row>
    <row r="2234" spans="1:15" ht="220.8" x14ac:dyDescent="0.3">
      <c r="A2234" s="2">
        <v>2233</v>
      </c>
      <c r="B2234" s="3" t="s">
        <v>8887</v>
      </c>
      <c r="C2234" s="3" t="s">
        <v>8888</v>
      </c>
      <c r="D2234" s="3" t="s">
        <v>59</v>
      </c>
      <c r="E2234" s="3" t="s">
        <v>8889</v>
      </c>
      <c r="F2234" s="3" t="s">
        <v>8662</v>
      </c>
      <c r="G2234" s="3" t="s">
        <v>8458</v>
      </c>
      <c r="H2234" s="3" t="s">
        <v>8663</v>
      </c>
      <c r="I2234" s="3" t="s">
        <v>20</v>
      </c>
      <c r="J2234" s="3">
        <v>0.63</v>
      </c>
      <c r="K2234" s="3" t="s">
        <v>21</v>
      </c>
      <c r="L2234" s="3" t="s">
        <v>8890</v>
      </c>
      <c r="M2234" s="3" t="s">
        <v>8665</v>
      </c>
      <c r="N2234" s="6" t="str">
        <f>HYPERLINK("C:\Users\alexa\YandexDisk\Книги\Программирование\C++\Средства динамического Анализа програм.pdf","Средства динамического Анализа програм.pdf")</f>
        <v>Средства динамического Анализа програм.pdf</v>
      </c>
      <c r="O2234" s="3" t="s">
        <v>8891</v>
      </c>
    </row>
    <row r="2235" spans="1:15" ht="165.6" x14ac:dyDescent="0.3">
      <c r="A2235" s="4">
        <v>2234</v>
      </c>
      <c r="B2235" s="5" t="s">
        <v>8892</v>
      </c>
      <c r="C2235" s="5" t="s">
        <v>8845</v>
      </c>
      <c r="D2235" s="5" t="s">
        <v>335</v>
      </c>
      <c r="E2235" s="5" t="s">
        <v>102</v>
      </c>
      <c r="F2235" s="5" t="s">
        <v>8662</v>
      </c>
      <c r="G2235" s="5" t="s">
        <v>8458</v>
      </c>
      <c r="H2235" s="5" t="s">
        <v>8663</v>
      </c>
      <c r="I2235" s="5" t="s">
        <v>20</v>
      </c>
      <c r="J2235" s="5">
        <v>15.79</v>
      </c>
      <c r="K2235" s="5" t="s">
        <v>21</v>
      </c>
      <c r="L2235" s="5" t="s">
        <v>8893</v>
      </c>
      <c r="M2235" s="5" t="s">
        <v>8665</v>
      </c>
      <c r="N2235" s="7" t="str">
        <f>HYPERLINK("C:\Users\alexa\YandexDisk\Книги\Программирование\C++\Стандартная библиотека C++ в примерах и пояснениях.pdf","Стандартная библиотека C++ в примерах и пояснениях.pdf")</f>
        <v>Стандартная библиотека C++ в примерах и пояснениях.pdf</v>
      </c>
      <c r="O2235" s="5" t="s">
        <v>8894</v>
      </c>
    </row>
    <row r="2236" spans="1:15" ht="138" x14ac:dyDescent="0.3">
      <c r="A2236" s="2">
        <v>2235</v>
      </c>
      <c r="B2236" s="3" t="s">
        <v>8895</v>
      </c>
      <c r="C2236" s="3"/>
      <c r="D2236" s="3"/>
      <c r="E2236" s="3"/>
      <c r="F2236" s="3" t="s">
        <v>8662</v>
      </c>
      <c r="G2236" s="3" t="s">
        <v>8458</v>
      </c>
      <c r="H2236" s="3" t="s">
        <v>8663</v>
      </c>
      <c r="I2236" s="3" t="s">
        <v>20</v>
      </c>
      <c r="J2236" s="3">
        <v>18.46</v>
      </c>
      <c r="K2236" s="3" t="s">
        <v>21</v>
      </c>
      <c r="L2236" s="3" t="s">
        <v>8896</v>
      </c>
      <c r="M2236" s="3" t="s">
        <v>8665</v>
      </c>
      <c r="N2236" s="6" t="str">
        <f>HYPERLINK("C:\Users\alexa\YandexDisk\Книги\Программирование\C++\Старт с С++.pdf","Старт с С++.pdf")</f>
        <v>Старт с С++.pdf</v>
      </c>
      <c r="O2236" s="3" t="s">
        <v>8897</v>
      </c>
    </row>
    <row r="2237" spans="1:15" ht="165.6" x14ac:dyDescent="0.3">
      <c r="A2237" s="4">
        <v>2236</v>
      </c>
      <c r="B2237" s="5" t="s">
        <v>8898</v>
      </c>
      <c r="C2237" s="5" t="s">
        <v>8899</v>
      </c>
      <c r="D2237" s="5" t="s">
        <v>837</v>
      </c>
      <c r="E2237" s="5" t="s">
        <v>8900</v>
      </c>
      <c r="F2237" s="5" t="s">
        <v>8662</v>
      </c>
      <c r="G2237" s="5" t="s">
        <v>8458</v>
      </c>
      <c r="H2237" s="5" t="s">
        <v>8663</v>
      </c>
      <c r="I2237" s="5" t="s">
        <v>20</v>
      </c>
      <c r="J2237" s="5">
        <v>31.97</v>
      </c>
      <c r="K2237" s="5" t="s">
        <v>21</v>
      </c>
      <c r="L2237" s="5" t="s">
        <v>8901</v>
      </c>
      <c r="M2237" s="5" t="s">
        <v>8665</v>
      </c>
      <c r="N2237" s="7" t="str">
        <f>HYPERLINK("C:\Users\alexa\YandexDisk\Книги\Программирование\C++\Страуструп - Принципы и практика использования C++ - 2011.pdf","Страуструп - Принципы и практика использования C++ - 2011.pdf")</f>
        <v>Страуструп - Принципы и практика использования C++ - 2011.pdf</v>
      </c>
      <c r="O2237" s="5" t="s">
        <v>8902</v>
      </c>
    </row>
    <row r="2238" spans="1:15" ht="151.80000000000001" x14ac:dyDescent="0.3">
      <c r="A2238" s="2">
        <v>2237</v>
      </c>
      <c r="B2238" s="3" t="s">
        <v>8903</v>
      </c>
      <c r="C2238" s="3" t="s">
        <v>8904</v>
      </c>
      <c r="D2238" s="3" t="s">
        <v>8905</v>
      </c>
      <c r="E2238" s="3"/>
      <c r="F2238" s="3" t="s">
        <v>8662</v>
      </c>
      <c r="G2238" s="3" t="s">
        <v>8458</v>
      </c>
      <c r="H2238" s="3" t="s">
        <v>8663</v>
      </c>
      <c r="I2238" s="3" t="s">
        <v>20</v>
      </c>
      <c r="J2238" s="3">
        <v>2.95</v>
      </c>
      <c r="K2238" s="3" t="s">
        <v>21</v>
      </c>
      <c r="L2238" s="3" t="s">
        <v>8906</v>
      </c>
      <c r="M2238" s="3" t="s">
        <v>8665</v>
      </c>
      <c r="N2238" s="6" t="str">
        <f>HYPERLINK("C:\Users\alexa\YandexDisk\Книги\Программирование\C++\Страуструп- язык программирования С++  1991.pdf","Страуструп- язык программирования С++  1991.pdf")</f>
        <v>Страуструп- язык программирования С++  1991.pdf</v>
      </c>
      <c r="O2238" s="3" t="s">
        <v>8907</v>
      </c>
    </row>
    <row r="2239" spans="1:15" ht="179.4" x14ac:dyDescent="0.3">
      <c r="A2239" s="4">
        <v>2238</v>
      </c>
      <c r="B2239" s="5" t="s">
        <v>8908</v>
      </c>
      <c r="C2239" s="5" t="s">
        <v>8677</v>
      </c>
      <c r="D2239" s="5" t="s">
        <v>77</v>
      </c>
      <c r="E2239" s="5" t="s">
        <v>92</v>
      </c>
      <c r="F2239" s="5" t="s">
        <v>8662</v>
      </c>
      <c r="G2239" s="5" t="s">
        <v>8458</v>
      </c>
      <c r="H2239" s="5" t="s">
        <v>8663</v>
      </c>
      <c r="I2239" s="5" t="s">
        <v>20</v>
      </c>
      <c r="J2239" s="5">
        <v>29.89</v>
      </c>
      <c r="K2239" s="5" t="s">
        <v>21</v>
      </c>
      <c r="L2239" s="5" t="s">
        <v>8909</v>
      </c>
      <c r="M2239" s="5" t="s">
        <v>8665</v>
      </c>
      <c r="N2239" s="7" t="str">
        <f>HYPERLINK("C:\Users\alexa\YandexDisk\Книги\Программирование\C++\Страуструп- язык_программирования_C++_2019.pdf","Страуструп- язык_программирования_C++_2019.pdf")</f>
        <v>Страуструп- язык_программирования_C++_2019.pdf</v>
      </c>
      <c r="O2239" s="5" t="s">
        <v>8910</v>
      </c>
    </row>
    <row r="2240" spans="1:15" ht="151.80000000000001" x14ac:dyDescent="0.3">
      <c r="A2240" s="2">
        <v>2239</v>
      </c>
      <c r="B2240" s="3" t="s">
        <v>8911</v>
      </c>
      <c r="C2240" s="3" t="s">
        <v>8904</v>
      </c>
      <c r="D2240" s="3"/>
      <c r="E2240" s="3" t="s">
        <v>102</v>
      </c>
      <c r="F2240" s="3" t="s">
        <v>8662</v>
      </c>
      <c r="G2240" s="3" t="s">
        <v>8458</v>
      </c>
      <c r="H2240" s="3" t="s">
        <v>8663</v>
      </c>
      <c r="I2240" s="3" t="s">
        <v>20</v>
      </c>
      <c r="J2240" s="3">
        <v>13.13</v>
      </c>
      <c r="K2240" s="3" t="s">
        <v>21</v>
      </c>
      <c r="L2240" s="3" t="s">
        <v>8912</v>
      </c>
      <c r="M2240" s="3" t="s">
        <v>8665</v>
      </c>
      <c r="N2240" s="6" t="str">
        <f>HYPERLINK("C:\Users\alexa\YandexDisk\Книги\Программирование\C++\Страуструп-Дизайн и эволюция языка C++.pdf","Страуструп-Дизайн и эволюция языка C++.pdf")</f>
        <v>Страуструп-Дизайн и эволюция языка C++.pdf</v>
      </c>
      <c r="O2240" s="3" t="s">
        <v>8913</v>
      </c>
    </row>
    <row r="2241" spans="1:15" ht="151.80000000000001" x14ac:dyDescent="0.3">
      <c r="A2241" s="4">
        <v>2240</v>
      </c>
      <c r="B2241" s="5" t="s">
        <v>8914</v>
      </c>
      <c r="C2241" s="5" t="s">
        <v>8915</v>
      </c>
      <c r="D2241" s="5" t="s">
        <v>59</v>
      </c>
      <c r="E2241" s="5" t="s">
        <v>102</v>
      </c>
      <c r="F2241" s="5" t="s">
        <v>8662</v>
      </c>
      <c r="G2241" s="5" t="s">
        <v>8458</v>
      </c>
      <c r="H2241" s="5" t="s">
        <v>8663</v>
      </c>
      <c r="I2241" s="5" t="s">
        <v>20</v>
      </c>
      <c r="J2241" s="5">
        <v>11.31</v>
      </c>
      <c r="K2241" s="5" t="s">
        <v>21</v>
      </c>
      <c r="L2241" s="5" t="s">
        <v>8916</v>
      </c>
      <c r="M2241" s="5" t="s">
        <v>8665</v>
      </c>
      <c r="N2241" s="7" t="str">
        <f>HYPERLINK("C:\Users\alexa\YandexDisk\Книги\Программирование\C++\Функциональное_программирование_на_С++ 2020.pdf","Функциональное_программирование_на_С++ 2020.pdf")</f>
        <v>Функциональное_программирование_на_С++ 2020.pdf</v>
      </c>
      <c r="O2241" s="5" t="s">
        <v>8917</v>
      </c>
    </row>
    <row r="2242" spans="1:15" ht="207" x14ac:dyDescent="0.3">
      <c r="A2242" s="2">
        <v>2241</v>
      </c>
      <c r="B2242" s="3" t="s">
        <v>8918</v>
      </c>
      <c r="C2242" s="3" t="s">
        <v>8919</v>
      </c>
      <c r="D2242" s="3" t="s">
        <v>32</v>
      </c>
      <c r="E2242" s="3" t="s">
        <v>227</v>
      </c>
      <c r="F2242" s="3" t="s">
        <v>8662</v>
      </c>
      <c r="G2242" s="3" t="s">
        <v>8458</v>
      </c>
      <c r="H2242" s="3" t="s">
        <v>8663</v>
      </c>
      <c r="I2242" s="3" t="s">
        <v>20</v>
      </c>
      <c r="J2242" s="3">
        <v>9.68</v>
      </c>
      <c r="K2242" s="3" t="s">
        <v>21</v>
      </c>
      <c r="L2242" s="3" t="s">
        <v>8920</v>
      </c>
      <c r="M2242" s="3" t="s">
        <v>8665</v>
      </c>
      <c r="N2242" s="6" t="str">
        <f>HYPERLINK("C:\Users\alexa\YandexDisk\Книги\Программирование\C++\Хортон Вирт Beginning CPP-17_5th_Edition.pdf","Хортон Вирт Beginning CPP-17_5th_Edition.pdf")</f>
        <v>Хортон Вирт Beginning CPP-17_5th_Edition.pdf</v>
      </c>
      <c r="O2242" s="3" t="s">
        <v>8921</v>
      </c>
    </row>
    <row r="2243" spans="1:15" ht="165.6" x14ac:dyDescent="0.3">
      <c r="A2243" s="4">
        <v>2242</v>
      </c>
      <c r="B2243" s="5" t="s">
        <v>8922</v>
      </c>
      <c r="C2243" s="5" t="s">
        <v>8923</v>
      </c>
      <c r="D2243" s="5"/>
      <c r="E2243" s="5"/>
      <c r="F2243" s="5" t="s">
        <v>8662</v>
      </c>
      <c r="G2243" s="5" t="s">
        <v>8458</v>
      </c>
      <c r="H2243" s="5" t="s">
        <v>8663</v>
      </c>
      <c r="I2243" s="5" t="s">
        <v>280</v>
      </c>
      <c r="J2243" s="5">
        <v>9.6199999999999992</v>
      </c>
      <c r="K2243" s="5" t="s">
        <v>21</v>
      </c>
      <c r="L2243" s="5" t="s">
        <v>8924</v>
      </c>
      <c r="M2243" s="5" t="s">
        <v>8665</v>
      </c>
      <c r="N2243" s="7" t="str">
        <f>HYPERLINK("C:\Users\alexa\YandexDisk\Книги\Программирование\C++\Шоюлоны Метапрограммирования С++.epub","Шоюлоны Метапрограммирования С++.epub")</f>
        <v>Шоюлоны Метапрограммирования С++.epub</v>
      </c>
      <c r="O2243" s="5" t="s">
        <v>8925</v>
      </c>
    </row>
    <row r="2244" spans="1:15" ht="151.80000000000001" x14ac:dyDescent="0.3">
      <c r="A2244" s="2">
        <v>2243</v>
      </c>
      <c r="B2244" s="3" t="s">
        <v>8926</v>
      </c>
      <c r="C2244" s="3" t="s">
        <v>8927</v>
      </c>
      <c r="D2244" s="3" t="s">
        <v>27</v>
      </c>
      <c r="E2244" s="3" t="s">
        <v>8928</v>
      </c>
      <c r="F2244" s="3" t="s">
        <v>8662</v>
      </c>
      <c r="G2244" s="3" t="s">
        <v>8458</v>
      </c>
      <c r="H2244" s="3" t="s">
        <v>8663</v>
      </c>
      <c r="I2244" s="3" t="s">
        <v>20</v>
      </c>
      <c r="J2244" s="3">
        <v>21.63</v>
      </c>
      <c r="K2244" s="3" t="s">
        <v>21</v>
      </c>
      <c r="L2244" s="3" t="s">
        <v>8929</v>
      </c>
      <c r="M2244" s="3" t="s">
        <v>8665</v>
      </c>
      <c r="N2244" s="6" t="str">
        <f>HYPERLINK("C:\Users\alexa\YandexDisk\Книги\Программирование\C++\Язык C++. Императивное программирование.pdf","Язык C++. Императивное программирование.pdf")</f>
        <v>Язык C++. Императивное программирование.pdf</v>
      </c>
      <c r="O2244" s="3" t="s">
        <v>8930</v>
      </c>
    </row>
    <row r="2245" spans="1:15" ht="248.4" x14ac:dyDescent="0.3">
      <c r="A2245" s="4">
        <v>2244</v>
      </c>
      <c r="B2245" s="5" t="s">
        <v>8761</v>
      </c>
      <c r="C2245" s="5" t="s">
        <v>8762</v>
      </c>
      <c r="D2245" s="5"/>
      <c r="E2245" s="5"/>
      <c r="F2245" s="5" t="s">
        <v>8662</v>
      </c>
      <c r="G2245" s="5" t="s">
        <v>8458</v>
      </c>
      <c r="H2245" s="5" t="s">
        <v>8663</v>
      </c>
      <c r="I2245" s="5" t="s">
        <v>20</v>
      </c>
      <c r="J2245" s="5">
        <v>5.42</v>
      </c>
      <c r="K2245" s="5" t="s">
        <v>21</v>
      </c>
      <c r="L2245" s="5" t="s">
        <v>8931</v>
      </c>
      <c r="M2245" s="5" t="s">
        <v>8665</v>
      </c>
      <c r="N2245" s="7" t="str">
        <f>HYPERLINK("C:\Users\alexa\YandexDisk\Книги\Программирование\C++\Язык_программирования_C++_Базовый_курс.pdf","Язык_программирования_C++_Базовый_курс.pdf")</f>
        <v>Язык_программирования_C++_Базовый_курс.pdf</v>
      </c>
      <c r="O2245" s="5" t="s">
        <v>8932</v>
      </c>
    </row>
    <row r="2246" spans="1:15" ht="165.6" x14ac:dyDescent="0.3">
      <c r="A2246" s="2">
        <v>2245</v>
      </c>
      <c r="B2246" s="3" t="s">
        <v>8933</v>
      </c>
      <c r="C2246" s="3" t="s">
        <v>8934</v>
      </c>
      <c r="D2246" s="3" t="s">
        <v>71</v>
      </c>
      <c r="E2246" s="3"/>
      <c r="F2246" s="3" t="s">
        <v>8935</v>
      </c>
      <c r="G2246" s="3" t="s">
        <v>8458</v>
      </c>
      <c r="H2246" s="3" t="s">
        <v>8936</v>
      </c>
      <c r="I2246" s="3" t="s">
        <v>20</v>
      </c>
      <c r="J2246" s="3">
        <v>25.89</v>
      </c>
      <c r="K2246" s="3" t="s">
        <v>21</v>
      </c>
      <c r="L2246" s="3" t="s">
        <v>8937</v>
      </c>
      <c r="M2246" s="3" t="s">
        <v>8938</v>
      </c>
      <c r="N2246" s="6" t="str">
        <f>HYPERLINK("C:\Users\alexa\YandexDisk\Книги\Программирование\Dart\Dart Apprentice - Beyond the Basics-2022.pdf","Dart Apprentice - Beyond the Basics-2022.pdf")</f>
        <v>Dart Apprentice - Beyond the Basics-2022.pdf</v>
      </c>
      <c r="O2246" s="3" t="s">
        <v>8939</v>
      </c>
    </row>
    <row r="2247" spans="1:15" ht="151.80000000000001" x14ac:dyDescent="0.3">
      <c r="A2247" s="4">
        <v>2246</v>
      </c>
      <c r="B2247" s="5" t="s">
        <v>8940</v>
      </c>
      <c r="C2247" s="5" t="s">
        <v>8941</v>
      </c>
      <c r="D2247" s="5" t="s">
        <v>71</v>
      </c>
      <c r="E2247" s="5" t="s">
        <v>308</v>
      </c>
      <c r="F2247" s="5" t="s">
        <v>8942</v>
      </c>
      <c r="G2247" s="5" t="s">
        <v>8458</v>
      </c>
      <c r="H2247" s="5" t="s">
        <v>8943</v>
      </c>
      <c r="I2247" s="5" t="s">
        <v>20</v>
      </c>
      <c r="J2247" s="5">
        <v>8.17</v>
      </c>
      <c r="K2247" s="5" t="s">
        <v>21</v>
      </c>
      <c r="L2247" s="5" t="s">
        <v>8944</v>
      </c>
      <c r="M2247" s="5" t="s">
        <v>8945</v>
      </c>
      <c r="N2247" s="7" t="str">
        <f>HYPERLINK("C:\Users\alexa\YandexDisk\Книги\Программирование\Excel и VBA\!__Excel VBA Programming For Dummies, 6th Edition 2022.pdf","!__Excel VBA Programming For Dummies, 6th Edition 2022.pdf")</f>
        <v>!__Excel VBA Programming For Dummies, 6th Edition 2022.pdf</v>
      </c>
      <c r="O2247" s="5" t="s">
        <v>8946</v>
      </c>
    </row>
    <row r="2248" spans="1:15" ht="234.6" x14ac:dyDescent="0.3">
      <c r="A2248" s="2">
        <v>2247</v>
      </c>
      <c r="B2248" s="3" t="s">
        <v>8947</v>
      </c>
      <c r="C2248" s="3" t="s">
        <v>8948</v>
      </c>
      <c r="D2248" s="3"/>
      <c r="E2248" s="3"/>
      <c r="F2248" s="3" t="s">
        <v>8942</v>
      </c>
      <c r="G2248" s="3" t="s">
        <v>8458</v>
      </c>
      <c r="H2248" s="3" t="s">
        <v>8943</v>
      </c>
      <c r="I2248" s="3" t="s">
        <v>20</v>
      </c>
      <c r="J2248" s="3">
        <v>43.46</v>
      </c>
      <c r="K2248" s="3" t="s">
        <v>21</v>
      </c>
      <c r="L2248" s="3" t="s">
        <v>8949</v>
      </c>
      <c r="M2248" s="3" t="s">
        <v>8945</v>
      </c>
      <c r="N2248" s="6" t="str">
        <f>HYPERLINK("C:\Users\alexa\YandexDisk\Книги\Программирование\Excel и VBA\Data Visualization in Excel_A Guide.pdf","Data Visualization in Excel_A Guide.pdf")</f>
        <v>Data Visualization in Excel_A Guide.pdf</v>
      </c>
      <c r="O2248" s="3" t="s">
        <v>8950</v>
      </c>
    </row>
    <row r="2249" spans="1:15" ht="165.6" x14ac:dyDescent="0.3">
      <c r="A2249" s="4">
        <v>2248</v>
      </c>
      <c r="B2249" s="5" t="s">
        <v>8951</v>
      </c>
      <c r="C2249" s="5" t="s">
        <v>8941</v>
      </c>
      <c r="D2249" s="5"/>
      <c r="E2249" s="5"/>
      <c r="F2249" s="5" t="s">
        <v>8942</v>
      </c>
      <c r="G2249" s="5" t="s">
        <v>8458</v>
      </c>
      <c r="H2249" s="5" t="s">
        <v>8943</v>
      </c>
      <c r="I2249" s="5" t="s">
        <v>20</v>
      </c>
      <c r="J2249" s="5">
        <v>14.15</v>
      </c>
      <c r="K2249" s="5" t="s">
        <v>21</v>
      </c>
      <c r="L2249" s="5" t="s">
        <v>8952</v>
      </c>
      <c r="M2249" s="5" t="s">
        <v>8945</v>
      </c>
      <c r="N2249" s="7" t="str">
        <f>HYPERLINK("C:\Users\alexa\YandexDisk\Книги\Программирование\Excel и VBA\Data Visualization with Excel  Dashboards and Reports.pdf","Data Visualization with Excel  Dashboards and Reports.pdf")</f>
        <v>Data Visualization with Excel  Dashboards and Reports.pdf</v>
      </c>
      <c r="O2249" s="5" t="s">
        <v>8953</v>
      </c>
    </row>
    <row r="2250" spans="1:15" ht="207" x14ac:dyDescent="0.3">
      <c r="A2250" s="2">
        <v>2249</v>
      </c>
      <c r="B2250" s="3" t="s">
        <v>8954</v>
      </c>
      <c r="C2250" s="3" t="s">
        <v>8955</v>
      </c>
      <c r="D2250" s="3" t="s">
        <v>77</v>
      </c>
      <c r="E2250" s="3" t="s">
        <v>2124</v>
      </c>
      <c r="F2250" s="3" t="s">
        <v>8942</v>
      </c>
      <c r="G2250" s="3" t="s">
        <v>8458</v>
      </c>
      <c r="H2250" s="3" t="s">
        <v>8943</v>
      </c>
      <c r="I2250" s="3" t="s">
        <v>519</v>
      </c>
      <c r="J2250" s="3">
        <v>116.21</v>
      </c>
      <c r="K2250" s="3" t="s">
        <v>21</v>
      </c>
      <c r="L2250" s="3" t="s">
        <v>8956</v>
      </c>
      <c r="M2250" s="3" t="s">
        <v>8945</v>
      </c>
      <c r="N2250" s="6" t="str">
        <f>HYPERLINK("C:\Users\alexa\YandexDisk\Книги\Программирование\Excel и VBA\Excel 2019. Библия пользователя.zip","Excel 2019. Библия пользователя.zip")</f>
        <v>Excel 2019. Библия пользователя.zip</v>
      </c>
      <c r="O2250" s="3" t="s">
        <v>8957</v>
      </c>
    </row>
    <row r="2251" spans="1:15" ht="179.4" x14ac:dyDescent="0.3">
      <c r="A2251" s="4">
        <v>2250</v>
      </c>
      <c r="B2251" s="5" t="s">
        <v>8958</v>
      </c>
      <c r="C2251" s="5" t="s">
        <v>8959</v>
      </c>
      <c r="D2251" s="5" t="s">
        <v>335</v>
      </c>
      <c r="E2251" s="5" t="s">
        <v>336</v>
      </c>
      <c r="F2251" s="5" t="s">
        <v>8942</v>
      </c>
      <c r="G2251" s="5" t="s">
        <v>8458</v>
      </c>
      <c r="H2251" s="5" t="s">
        <v>8943</v>
      </c>
      <c r="I2251" s="5" t="s">
        <v>20</v>
      </c>
      <c r="J2251" s="5">
        <v>8.3000000000000007</v>
      </c>
      <c r="K2251" s="5" t="s">
        <v>21</v>
      </c>
      <c r="L2251" s="5" t="s">
        <v>8960</v>
      </c>
      <c r="M2251" s="5" t="s">
        <v>8945</v>
      </c>
      <c r="N2251" s="7" t="str">
        <f>HYPERLINK("C:\Users\alexa\YandexDisk\Книги\Программирование\Excel и VBA\Excel with Python and R.pdf","Excel with Python and R.pdf")</f>
        <v>Excel with Python and R.pdf</v>
      </c>
      <c r="O2251" s="5" t="s">
        <v>8961</v>
      </c>
    </row>
    <row r="2252" spans="1:15" ht="151.80000000000001" x14ac:dyDescent="0.3">
      <c r="A2252" s="2">
        <v>2251</v>
      </c>
      <c r="B2252" s="3" t="s">
        <v>8962</v>
      </c>
      <c r="C2252" s="3" t="s">
        <v>8963</v>
      </c>
      <c r="D2252" s="3" t="s">
        <v>59</v>
      </c>
      <c r="E2252" s="3" t="s">
        <v>6147</v>
      </c>
      <c r="F2252" s="3" t="s">
        <v>8942</v>
      </c>
      <c r="G2252" s="3" t="s">
        <v>8458</v>
      </c>
      <c r="H2252" s="3" t="s">
        <v>8943</v>
      </c>
      <c r="I2252" s="3" t="s">
        <v>20</v>
      </c>
      <c r="J2252" s="3">
        <v>24.4</v>
      </c>
      <c r="K2252" s="3" t="s">
        <v>21</v>
      </c>
      <c r="L2252" s="3" t="s">
        <v>8964</v>
      </c>
      <c r="M2252" s="3" t="s">
        <v>8945</v>
      </c>
      <c r="N2252" s="6" t="str">
        <f>HYPERLINK("C:\Users\alexa\YandexDisk\Книги\Программирование\Excel и VBA\Excel для офисных работников.pdf","Excel для офисных работников.pdf")</f>
        <v>Excel для офисных работников.pdf</v>
      </c>
      <c r="O2252" s="3" t="s">
        <v>8965</v>
      </c>
    </row>
    <row r="2253" spans="1:15" ht="193.2" x14ac:dyDescent="0.3">
      <c r="A2253" s="4">
        <v>2252</v>
      </c>
      <c r="B2253" s="5" t="s">
        <v>8966</v>
      </c>
      <c r="C2253" s="5" t="s">
        <v>8967</v>
      </c>
      <c r="D2253" s="5" t="s">
        <v>17</v>
      </c>
      <c r="E2253" s="5" t="s">
        <v>148</v>
      </c>
      <c r="F2253" s="5" t="s">
        <v>8942</v>
      </c>
      <c r="G2253" s="5" t="s">
        <v>8458</v>
      </c>
      <c r="H2253" s="5" t="s">
        <v>8943</v>
      </c>
      <c r="I2253" s="5" t="s">
        <v>20</v>
      </c>
      <c r="J2253" s="5">
        <v>22.21</v>
      </c>
      <c r="K2253" s="5" t="s">
        <v>21</v>
      </c>
      <c r="L2253" s="5" t="s">
        <v>8968</v>
      </c>
      <c r="M2253" s="5" t="s">
        <v>8945</v>
      </c>
      <c r="N2253" s="7" t="str">
        <f>HYPERLINK("C:\Users\alexa\YandexDisk\Книги\Программирование\Excel и VBA\EXCEL обработка_и_представление_данных.pdf","EXCEL обработка_и_представление_данных.pdf")</f>
        <v>EXCEL обработка_и_представление_данных.pdf</v>
      </c>
      <c r="O2253" s="5" t="s">
        <v>8969</v>
      </c>
    </row>
    <row r="2254" spans="1:15" ht="179.4" x14ac:dyDescent="0.3">
      <c r="A2254" s="2">
        <v>2253</v>
      </c>
      <c r="B2254" s="3" t="s">
        <v>8970</v>
      </c>
      <c r="C2254" s="3" t="s">
        <v>8971</v>
      </c>
      <c r="D2254" s="3" t="s">
        <v>17</v>
      </c>
      <c r="E2254" s="3" t="s">
        <v>18</v>
      </c>
      <c r="F2254" s="3" t="s">
        <v>8942</v>
      </c>
      <c r="G2254" s="3" t="s">
        <v>8458</v>
      </c>
      <c r="H2254" s="3" t="s">
        <v>8943</v>
      </c>
      <c r="I2254" s="3" t="s">
        <v>20</v>
      </c>
      <c r="J2254" s="3">
        <v>36.53</v>
      </c>
      <c r="K2254" s="3" t="s">
        <v>21</v>
      </c>
      <c r="L2254" s="3" t="s">
        <v>8972</v>
      </c>
      <c r="M2254" s="3" t="s">
        <v>8945</v>
      </c>
      <c r="N2254" s="6" t="str">
        <f>HYPERLINK("C:\Users\alexa\YandexDisk\Книги\Программирование\Excel и VBA\EXCEL-Бизнес_моделирование_и_анализ_данных.pdf","EXCEL-Бизнес_моделирование_и_анализ_данных.pdf")</f>
        <v>EXCEL-Бизнес_моделирование_и_анализ_данных.pdf</v>
      </c>
      <c r="O2254" s="3" t="s">
        <v>8973</v>
      </c>
    </row>
    <row r="2255" spans="1:15" ht="151.80000000000001" x14ac:dyDescent="0.3">
      <c r="A2255" s="4">
        <v>2254</v>
      </c>
      <c r="B2255" s="5" t="s">
        <v>8974</v>
      </c>
      <c r="C2255" s="5" t="s">
        <v>8975</v>
      </c>
      <c r="D2255" s="5" t="s">
        <v>837</v>
      </c>
      <c r="E2255" s="5" t="s">
        <v>402</v>
      </c>
      <c r="F2255" s="5" t="s">
        <v>8942</v>
      </c>
      <c r="G2255" s="5" t="s">
        <v>8458</v>
      </c>
      <c r="H2255" s="5" t="s">
        <v>8943</v>
      </c>
      <c r="I2255" s="5" t="s">
        <v>20</v>
      </c>
      <c r="J2255" s="5">
        <v>21.15</v>
      </c>
      <c r="K2255" s="5" t="s">
        <v>21</v>
      </c>
      <c r="L2255" s="5" t="s">
        <v>8976</v>
      </c>
      <c r="M2255" s="5" t="s">
        <v>8945</v>
      </c>
      <c r="N2255" s="7" t="str">
        <f>HYPERLINK("C:\Users\alexa\YandexDisk\Книги\Программирование\Excel и VBA\Garnaev_A._Microsoft_Exel_2010_Razrabotka_prilojeniy.pdf","Garnaev_A._Microsoft_Exel_2010_Razrabotka_prilojeniy.pdf")</f>
        <v>Garnaev_A._Microsoft_Exel_2010_Razrabotka_prilojeniy.pdf</v>
      </c>
      <c r="O2255" s="5" t="s">
        <v>8977</v>
      </c>
    </row>
    <row r="2256" spans="1:15" ht="179.4" x14ac:dyDescent="0.3">
      <c r="A2256" s="2">
        <v>2255</v>
      </c>
      <c r="B2256" s="3" t="s">
        <v>8978</v>
      </c>
      <c r="C2256" s="3" t="s">
        <v>8979</v>
      </c>
      <c r="D2256" s="3" t="s">
        <v>59</v>
      </c>
      <c r="E2256" s="3" t="s">
        <v>402</v>
      </c>
      <c r="F2256" s="3" t="s">
        <v>8942</v>
      </c>
      <c r="G2256" s="3" t="s">
        <v>8458</v>
      </c>
      <c r="H2256" s="3" t="s">
        <v>8943</v>
      </c>
      <c r="I2256" s="3" t="s">
        <v>20</v>
      </c>
      <c r="J2256" s="3">
        <v>22.67</v>
      </c>
      <c r="K2256" s="3" t="s">
        <v>21</v>
      </c>
      <c r="L2256" s="3" t="s">
        <v>8980</v>
      </c>
      <c r="M2256" s="3" t="s">
        <v>8945</v>
      </c>
      <c r="N2256" s="6" t="str">
        <f>HYPERLINK("C:\Users\alexa\YandexDisk\Книги\Программирование\Excel и VBA\Microsoft Office Excel 2019 В подлиннике.pdf","Microsoft Office Excel 2019 В подлиннике.pdf")</f>
        <v>Microsoft Office Excel 2019 В подлиннике.pdf</v>
      </c>
      <c r="O2256" s="3" t="s">
        <v>8981</v>
      </c>
    </row>
    <row r="2257" spans="1:15" ht="207" x14ac:dyDescent="0.3">
      <c r="A2257" s="4">
        <v>2256</v>
      </c>
      <c r="B2257" s="5" t="s">
        <v>8982</v>
      </c>
      <c r="C2257" s="5" t="s">
        <v>8983</v>
      </c>
      <c r="D2257" s="5" t="s">
        <v>65</v>
      </c>
      <c r="E2257" s="5" t="s">
        <v>8043</v>
      </c>
      <c r="F2257" s="5" t="s">
        <v>8942</v>
      </c>
      <c r="G2257" s="5" t="s">
        <v>8458</v>
      </c>
      <c r="H2257" s="5" t="s">
        <v>8943</v>
      </c>
      <c r="I2257" s="5" t="s">
        <v>20</v>
      </c>
      <c r="J2257" s="5">
        <v>21.9</v>
      </c>
      <c r="K2257" s="5" t="s">
        <v>21</v>
      </c>
      <c r="L2257" s="5" t="s">
        <v>8984</v>
      </c>
      <c r="M2257" s="5" t="s">
        <v>8945</v>
      </c>
      <c r="N2257" s="7" t="str">
        <f>HYPERLINK("C:\Users\alexa\YandexDisk\Книги\Программирование\Excel и VBA\uokenbakh_dzh_excel_2010_professional_noe_programmirovanie_n.pdf","uokenbakh_dzh_excel_2010_professional_noe_programmirovanie_n.pdf")</f>
        <v>uokenbakh_dzh_excel_2010_professional_noe_programmirovanie_n.pdf</v>
      </c>
      <c r="O2257" s="5" t="s">
        <v>8985</v>
      </c>
    </row>
    <row r="2258" spans="1:15" ht="165.6" x14ac:dyDescent="0.3">
      <c r="A2258" s="2">
        <v>2257</v>
      </c>
      <c r="B2258" s="3" t="s">
        <v>8986</v>
      </c>
      <c r="C2258" s="3" t="s">
        <v>8987</v>
      </c>
      <c r="D2258" s="3" t="s">
        <v>27</v>
      </c>
      <c r="E2258" s="3" t="s">
        <v>1023</v>
      </c>
      <c r="F2258" s="3" t="s">
        <v>8942</v>
      </c>
      <c r="G2258" s="3" t="s">
        <v>8458</v>
      </c>
      <c r="H2258" s="3" t="s">
        <v>8943</v>
      </c>
      <c r="I2258" s="3" t="s">
        <v>20</v>
      </c>
      <c r="J2258" s="3">
        <v>5.7</v>
      </c>
      <c r="K2258" s="3" t="s">
        <v>21</v>
      </c>
      <c r="L2258" s="3" t="s">
        <v>8988</v>
      </c>
      <c r="M2258" s="3" t="s">
        <v>8945</v>
      </c>
      <c r="N2258" s="6" t="str">
        <f>HYPERLINK("C:\Users\alexa\YandexDisk\Книги\Программирование\Excel и VBA\Автоматизация рутины в Excel VBA.pdf","Автоматизация рутины в Excel VBA.pdf")</f>
        <v>Автоматизация рутины в Excel VBA.pdf</v>
      </c>
      <c r="O2258" s="3" t="s">
        <v>8989</v>
      </c>
    </row>
    <row r="2259" spans="1:15" ht="165.6" x14ac:dyDescent="0.3">
      <c r="A2259" s="4">
        <v>2258</v>
      </c>
      <c r="B2259" s="5" t="s">
        <v>8990</v>
      </c>
      <c r="C2259" s="5" t="s">
        <v>8987</v>
      </c>
      <c r="D2259" s="5" t="s">
        <v>27</v>
      </c>
      <c r="E2259" s="5" t="s">
        <v>1023</v>
      </c>
      <c r="F2259" s="5" t="s">
        <v>8942</v>
      </c>
      <c r="G2259" s="5" t="s">
        <v>8458</v>
      </c>
      <c r="H2259" s="5" t="s">
        <v>8943</v>
      </c>
      <c r="I2259" s="5" t="s">
        <v>20</v>
      </c>
      <c r="J2259" s="5">
        <v>5.7</v>
      </c>
      <c r="K2259" s="5" t="s">
        <v>21</v>
      </c>
      <c r="L2259" s="5" t="s">
        <v>8991</v>
      </c>
      <c r="M2259" s="5" t="s">
        <v>8945</v>
      </c>
      <c r="N2259" s="7" t="str">
        <f>HYPERLINK("C:\Users\alexa\YandexDisk\Книги\Программирование\Excel и VBA\В_Шитов_Автоматизация_рутины_в_Excel_VBA_Лайфхаки_для_облегчения.pdf","В_Шитов_Автоматизация_рутины_в_Excel_VBA_Лайфхаки_для_облегчения.pdf")</f>
        <v>В_Шитов_Автоматизация_рутины_в_Excel_VBA_Лайфхаки_для_облегчения.pdf</v>
      </c>
      <c r="O2259" s="5" t="s">
        <v>8992</v>
      </c>
    </row>
    <row r="2260" spans="1:15" ht="124.2" x14ac:dyDescent="0.3">
      <c r="A2260" s="2">
        <v>2259</v>
      </c>
      <c r="B2260" s="3" t="s">
        <v>8993</v>
      </c>
      <c r="C2260" s="3"/>
      <c r="D2260" s="3"/>
      <c r="E2260" s="3"/>
      <c r="F2260" s="3" t="s">
        <v>8942</v>
      </c>
      <c r="G2260" s="3" t="s">
        <v>8458</v>
      </c>
      <c r="H2260" s="3" t="s">
        <v>8943</v>
      </c>
      <c r="I2260" s="3" t="s">
        <v>20</v>
      </c>
      <c r="J2260" s="3">
        <v>64.209999999999994</v>
      </c>
      <c r="K2260" s="3" t="s">
        <v>21</v>
      </c>
      <c r="L2260" s="3" t="s">
        <v>8994</v>
      </c>
      <c r="M2260" s="3" t="s">
        <v>8945</v>
      </c>
      <c r="N2260" s="6" t="str">
        <f>HYPERLINK("C:\Users\alexa\YandexDisk\Книги\Программирование\Excel и VBA\Введение в программирование на VBA.pdf","Введение в программирование на VBA.pdf")</f>
        <v>Введение в программирование на VBA.pdf</v>
      </c>
      <c r="O2260" s="3" t="s">
        <v>8995</v>
      </c>
    </row>
    <row r="2261" spans="1:15" ht="41.4" x14ac:dyDescent="0.3">
      <c r="A2261" s="4">
        <v>2260</v>
      </c>
      <c r="B2261" s="5" t="s">
        <v>8996</v>
      </c>
      <c r="C2261" s="5" t="s">
        <v>8997</v>
      </c>
      <c r="D2261" s="5"/>
      <c r="E2261" s="5"/>
      <c r="F2261" s="5" t="s">
        <v>8942</v>
      </c>
      <c r="G2261" s="5" t="s">
        <v>8458</v>
      </c>
      <c r="H2261" s="5" t="s">
        <v>8943</v>
      </c>
      <c r="I2261" s="5" t="s">
        <v>20</v>
      </c>
      <c r="J2261" s="5">
        <v>11.92</v>
      </c>
      <c r="K2261" s="5" t="s">
        <v>21</v>
      </c>
      <c r="L2261" s="5" t="s">
        <v>8998</v>
      </c>
      <c r="M2261" s="5" t="s">
        <v>8945</v>
      </c>
      <c r="N2261" s="7" t="str">
        <f>HYPERLINK("C:\Users\alexa\YandexDisk\Книги\Программирование\Excel и VBA\Гайдышев Решение научных и инженерных задач - Exce VBA.pdf","Гайдышев Решение научных и инженерных задач - Exce VBA.pdf")</f>
        <v>Гайдышев Решение научных и инженерных задач - Exce VBA.pdf</v>
      </c>
      <c r="O2261" s="5" t="s">
        <v>930</v>
      </c>
    </row>
    <row r="2262" spans="1:15" ht="151.80000000000001" x14ac:dyDescent="0.3">
      <c r="A2262" s="2">
        <v>2261</v>
      </c>
      <c r="B2262" s="3" t="s">
        <v>8999</v>
      </c>
      <c r="C2262" s="3" t="s">
        <v>9000</v>
      </c>
      <c r="D2262" s="3" t="s">
        <v>114</v>
      </c>
      <c r="E2262" s="3" t="s">
        <v>4397</v>
      </c>
      <c r="F2262" s="3" t="s">
        <v>8942</v>
      </c>
      <c r="G2262" s="3" t="s">
        <v>8458</v>
      </c>
      <c r="H2262" s="3" t="s">
        <v>8943</v>
      </c>
      <c r="I2262" s="3" t="s">
        <v>20</v>
      </c>
      <c r="J2262" s="3">
        <v>31.2</v>
      </c>
      <c r="K2262" s="3" t="s">
        <v>21</v>
      </c>
      <c r="L2262" s="3" t="s">
        <v>9001</v>
      </c>
      <c r="M2262" s="3" t="s">
        <v>8945</v>
      </c>
      <c r="N2262" s="6" t="str">
        <f>HYPERLINK("C:\Users\alexa\YandexDisk\Книги\Программирование\Excel и VBA\Грег_Харвей_Excel_2016_для_чайников_Вильямс_2016.pdf","Грег_Харвей_Excel_2016_для_чайников_Вильямс_2016.pdf")</f>
        <v>Грег_Харвей_Excel_2016_для_чайников_Вильямс_2016.pdf</v>
      </c>
      <c r="O2262" s="3" t="s">
        <v>9002</v>
      </c>
    </row>
    <row r="2263" spans="1:15" ht="179.4" x14ac:dyDescent="0.3">
      <c r="A2263" s="4">
        <v>2262</v>
      </c>
      <c r="B2263" s="5" t="s">
        <v>9003</v>
      </c>
      <c r="C2263" s="5" t="s">
        <v>9004</v>
      </c>
      <c r="D2263" s="5" t="s">
        <v>27</v>
      </c>
      <c r="E2263" s="5" t="s">
        <v>303</v>
      </c>
      <c r="F2263" s="5" t="s">
        <v>8942</v>
      </c>
      <c r="G2263" s="5" t="s">
        <v>8458</v>
      </c>
      <c r="H2263" s="5" t="s">
        <v>8943</v>
      </c>
      <c r="I2263" s="5" t="s">
        <v>20</v>
      </c>
      <c r="J2263" s="5">
        <v>34.08</v>
      </c>
      <c r="K2263" s="5" t="s">
        <v>21</v>
      </c>
      <c r="L2263" s="5" t="s">
        <v>9005</v>
      </c>
      <c r="M2263" s="5" t="s">
        <v>8945</v>
      </c>
      <c r="N2263" s="7" t="str">
        <f>HYPERLINK("C:\Users\alexa\YandexDisk\Книги\Программирование\Excel и VBA\Гугл_Драйв_Руководство_по_рабочей_среде.pdf","Гугл_Драйв_Руководство_по_рабочей_среде.pdf")</f>
        <v>Гугл_Драйв_Руководство_по_рабочей_среде.pdf</v>
      </c>
      <c r="O2263" s="5" t="s">
        <v>9006</v>
      </c>
    </row>
    <row r="2264" spans="1:15" ht="151.80000000000001" x14ac:dyDescent="0.3">
      <c r="A2264" s="2">
        <v>2263</v>
      </c>
      <c r="B2264" s="3" t="s">
        <v>9007</v>
      </c>
      <c r="C2264" s="3" t="s">
        <v>9008</v>
      </c>
      <c r="D2264" s="3" t="s">
        <v>17</v>
      </c>
      <c r="E2264" s="3" t="s">
        <v>102</v>
      </c>
      <c r="F2264" s="3" t="s">
        <v>8942</v>
      </c>
      <c r="G2264" s="3" t="s">
        <v>8458</v>
      </c>
      <c r="H2264" s="3" t="s">
        <v>8943</v>
      </c>
      <c r="I2264" s="3" t="s">
        <v>20</v>
      </c>
      <c r="J2264" s="3">
        <v>18.579999999999998</v>
      </c>
      <c r="K2264" s="3" t="s">
        <v>21</v>
      </c>
      <c r="L2264" s="3" t="s">
        <v>9009</v>
      </c>
      <c r="M2264" s="3" t="s">
        <v>8945</v>
      </c>
      <c r="N2264" s="6" t="str">
        <f>HYPERLINK("C:\Users\alexa\YandexDisk\Книги\Программирование\Excel и VBA\Куслейка_Д_Визуализация_данных_при_помощи_дашбордов_и_отчетов_в EXCEL.pdf","Куслейка_Д_Визуализация_данных_при_помощи_дашбордов_и_отчетов_в EXCEL.pdf")</f>
        <v>Куслейка_Д_Визуализация_данных_при_помощи_дашбордов_и_отчетов_в EXCEL.pdf</v>
      </c>
      <c r="O2264" s="3" t="s">
        <v>9010</v>
      </c>
    </row>
    <row r="2265" spans="1:15" ht="138" x14ac:dyDescent="0.3">
      <c r="A2265" s="4">
        <v>2264</v>
      </c>
      <c r="B2265" s="5" t="s">
        <v>9011</v>
      </c>
      <c r="C2265" s="5"/>
      <c r="D2265" s="5"/>
      <c r="E2265" s="5"/>
      <c r="F2265" s="5" t="s">
        <v>8942</v>
      </c>
      <c r="G2265" s="5" t="s">
        <v>8458</v>
      </c>
      <c r="H2265" s="5" t="s">
        <v>8943</v>
      </c>
      <c r="I2265" s="5" t="s">
        <v>20</v>
      </c>
      <c r="J2265" s="5">
        <v>25.02</v>
      </c>
      <c r="K2265" s="5" t="s">
        <v>21</v>
      </c>
      <c r="L2265" s="5" t="s">
        <v>9012</v>
      </c>
      <c r="M2265" s="5" t="s">
        <v>8945</v>
      </c>
      <c r="N2265" s="7" t="str">
        <f>HYPERLINK("C:\Users\alexa\YandexDisk\Книги\Программирование\Excel и VBA\Математика в Excel.pdf","Математика в Excel.pdf")</f>
        <v>Математика в Excel.pdf</v>
      </c>
      <c r="O2265" s="5" t="s">
        <v>9013</v>
      </c>
    </row>
    <row r="2266" spans="1:15" ht="165.6" x14ac:dyDescent="0.3">
      <c r="A2266" s="2">
        <v>2265</v>
      </c>
      <c r="B2266" s="3" t="s">
        <v>9014</v>
      </c>
      <c r="C2266" s="3" t="s">
        <v>9015</v>
      </c>
      <c r="D2266" s="3" t="s">
        <v>17</v>
      </c>
      <c r="E2266" s="3" t="s">
        <v>148</v>
      </c>
      <c r="F2266" s="3" t="s">
        <v>8942</v>
      </c>
      <c r="G2266" s="3" t="s">
        <v>8458</v>
      </c>
      <c r="H2266" s="3" t="s">
        <v>8943</v>
      </c>
      <c r="I2266" s="3" t="s">
        <v>20</v>
      </c>
      <c r="J2266" s="3">
        <v>3.93</v>
      </c>
      <c r="K2266" s="3" t="s">
        <v>21</v>
      </c>
      <c r="L2266" s="3" t="s">
        <v>9016</v>
      </c>
      <c r="M2266" s="3" t="s">
        <v>8945</v>
      </c>
      <c r="N2266" s="6" t="str">
        <f>HYPERLINK("C:\Users\alexa\YandexDisk\Книги\Программирование\Excel и VBA\Методы_MS_Excel_для_решения_инженерных_задач_учебное_пособи.pdf","Методы_MS_Excel_для_решения_инженерных_задач_учебное_пособи.pdf")</f>
        <v>Методы_MS_Excel_для_решения_инженерных_задач_учебное_пособи.pdf</v>
      </c>
      <c r="O2266" s="3" t="s">
        <v>9017</v>
      </c>
    </row>
    <row r="2267" spans="1:15" ht="151.80000000000001" x14ac:dyDescent="0.3">
      <c r="A2267" s="4">
        <v>2266</v>
      </c>
      <c r="B2267" s="5" t="s">
        <v>9018</v>
      </c>
      <c r="C2267" s="5" t="s">
        <v>9019</v>
      </c>
      <c r="D2267" s="5" t="s">
        <v>17</v>
      </c>
      <c r="E2267" s="5" t="s">
        <v>148</v>
      </c>
      <c r="F2267" s="5" t="s">
        <v>8942</v>
      </c>
      <c r="G2267" s="5" t="s">
        <v>8458</v>
      </c>
      <c r="H2267" s="5" t="s">
        <v>8943</v>
      </c>
      <c r="I2267" s="5" t="s">
        <v>20</v>
      </c>
      <c r="J2267" s="5">
        <v>4.28</v>
      </c>
      <c r="K2267" s="5" t="s">
        <v>21</v>
      </c>
      <c r="L2267" s="5" t="s">
        <v>9020</v>
      </c>
      <c r="M2267" s="5" t="s">
        <v>8945</v>
      </c>
      <c r="N2267" s="7" t="str">
        <f>HYPERLINK("C:\Users\alexa\YandexDisk\Книги\Программирование\Excel и VBA\Основы_построения_экономических_моделей_в_Excel.pdf","Основы_построения_экономических_моделей_в_Excel.pdf")</f>
        <v>Основы_построения_экономических_моделей_в_Excel.pdf</v>
      </c>
      <c r="O2267" s="5" t="s">
        <v>9021</v>
      </c>
    </row>
    <row r="2268" spans="1:15" ht="165.6" x14ac:dyDescent="0.3">
      <c r="A2268" s="2">
        <v>2267</v>
      </c>
      <c r="B2268" s="3" t="s">
        <v>9022</v>
      </c>
      <c r="C2268" s="3" t="s">
        <v>9023</v>
      </c>
      <c r="D2268" s="3" t="s">
        <v>71</v>
      </c>
      <c r="E2268" s="3" t="s">
        <v>148</v>
      </c>
      <c r="F2268" s="3" t="s">
        <v>8942</v>
      </c>
      <c r="G2268" s="3" t="s">
        <v>8458</v>
      </c>
      <c r="H2268" s="3" t="s">
        <v>8943</v>
      </c>
      <c r="I2268" s="3" t="s">
        <v>20</v>
      </c>
      <c r="J2268" s="3">
        <v>2.4</v>
      </c>
      <c r="K2268" s="3" t="s">
        <v>21</v>
      </c>
      <c r="L2268" s="3" t="s">
        <v>9024</v>
      </c>
      <c r="M2268" s="3" t="s">
        <v>8945</v>
      </c>
      <c r="N2268" s="6" t="str">
        <f>HYPERLINK("C:\Users\alexa\YandexDisk\Книги\Программирование\Excel и VBA\Прикладное программирование VBA Excel.pdf","Прикладное программирование VBA Excel.pdf")</f>
        <v>Прикладное программирование VBA Excel.pdf</v>
      </c>
      <c r="O2268" s="3" t="s">
        <v>9025</v>
      </c>
    </row>
    <row r="2269" spans="1:15" ht="151.80000000000001" x14ac:dyDescent="0.3">
      <c r="A2269" s="4">
        <v>2268</v>
      </c>
      <c r="B2269" s="5" t="s">
        <v>9026</v>
      </c>
      <c r="C2269" s="5"/>
      <c r="D2269" s="5"/>
      <c r="E2269" s="5"/>
      <c r="F2269" s="5" t="s">
        <v>8942</v>
      </c>
      <c r="G2269" s="5" t="s">
        <v>8458</v>
      </c>
      <c r="H2269" s="5" t="s">
        <v>8943</v>
      </c>
      <c r="I2269" s="5" t="s">
        <v>20</v>
      </c>
      <c r="J2269" s="5">
        <v>12.1</v>
      </c>
      <c r="K2269" s="5" t="s">
        <v>21</v>
      </c>
      <c r="L2269" s="5" t="s">
        <v>9027</v>
      </c>
      <c r="M2269" s="5" t="s">
        <v>8945</v>
      </c>
      <c r="N2269" s="7" t="str">
        <f>HYPERLINK("C:\Users\alexa\YandexDisk\Книги\Программирование\Excel и VBA\Руководство пользователя LibreOffice Calc 7.1.pdf","Руководство пользователя LibreOffice Calc 7.1.pdf")</f>
        <v>Руководство пользователя LibreOffice Calc 7.1.pdf</v>
      </c>
      <c r="O2269" s="5" t="s">
        <v>9028</v>
      </c>
    </row>
    <row r="2270" spans="1:15" ht="193.2" x14ac:dyDescent="0.3">
      <c r="A2270" s="2">
        <v>2269</v>
      </c>
      <c r="B2270" s="3" t="s">
        <v>9029</v>
      </c>
      <c r="C2270" s="3" t="s">
        <v>9030</v>
      </c>
      <c r="D2270" s="3" t="s">
        <v>77</v>
      </c>
      <c r="E2270" s="3" t="s">
        <v>9031</v>
      </c>
      <c r="F2270" s="3" t="s">
        <v>8942</v>
      </c>
      <c r="G2270" s="3" t="s">
        <v>8458</v>
      </c>
      <c r="H2270" s="3" t="s">
        <v>8943</v>
      </c>
      <c r="I2270" s="3" t="s">
        <v>20</v>
      </c>
      <c r="J2270" s="3">
        <v>27.61</v>
      </c>
      <c r="K2270" s="3" t="s">
        <v>21</v>
      </c>
      <c r="L2270" s="3" t="s">
        <v>9032</v>
      </c>
      <c r="M2270" s="3" t="s">
        <v>8945</v>
      </c>
      <c r="N2270" s="6" t="str">
        <f>HYPERLINK("C:\Users\alexa\YandexDisk\Книги\Программирование\Excel и VBA\Скульптор данных в Excel с Power Query.pdf","Скульптор данных в Excel с Power Query.pdf")</f>
        <v>Скульптор данных в Excel с Power Query.pdf</v>
      </c>
      <c r="O2270" s="3" t="s">
        <v>9033</v>
      </c>
    </row>
    <row r="2271" spans="1:15" ht="165.6" x14ac:dyDescent="0.3">
      <c r="A2271" s="4">
        <v>2270</v>
      </c>
      <c r="B2271" s="5" t="s">
        <v>9034</v>
      </c>
      <c r="C2271" s="5" t="s">
        <v>9035</v>
      </c>
      <c r="D2271" s="5" t="s">
        <v>335</v>
      </c>
      <c r="E2271" s="5" t="s">
        <v>515</v>
      </c>
      <c r="F2271" s="5" t="s">
        <v>8942</v>
      </c>
      <c r="G2271" s="5" t="s">
        <v>8458</v>
      </c>
      <c r="H2271" s="5" t="s">
        <v>8943</v>
      </c>
      <c r="I2271" s="5" t="s">
        <v>20</v>
      </c>
      <c r="J2271" s="5">
        <v>44.81</v>
      </c>
      <c r="K2271" s="5" t="s">
        <v>21</v>
      </c>
      <c r="L2271" s="5" t="s">
        <v>9036</v>
      </c>
      <c r="M2271" s="5" t="s">
        <v>8945</v>
      </c>
      <c r="N2271" s="7" t="str">
        <f>HYPERLINK("C:\Users\alexa\YandexDisk\Книги\Программирование\Excel и VBA\Современная аналитика данных в Excel.pdf","Современная аналитика данных в Excel.pdf")</f>
        <v>Современная аналитика данных в Excel.pdf</v>
      </c>
      <c r="O2271" s="5" t="s">
        <v>9037</v>
      </c>
    </row>
    <row r="2272" spans="1:15" ht="179.4" x14ac:dyDescent="0.3">
      <c r="A2272" s="2">
        <v>2271</v>
      </c>
      <c r="B2272" s="3" t="s">
        <v>9038</v>
      </c>
      <c r="C2272" s="3" t="s">
        <v>2063</v>
      </c>
      <c r="D2272" s="3" t="s">
        <v>71</v>
      </c>
      <c r="E2272" s="3" t="s">
        <v>1023</v>
      </c>
      <c r="F2272" s="3" t="s">
        <v>8942</v>
      </c>
      <c r="G2272" s="3" t="s">
        <v>8458</v>
      </c>
      <c r="H2272" s="3" t="s">
        <v>8943</v>
      </c>
      <c r="I2272" s="3" t="s">
        <v>20</v>
      </c>
      <c r="J2272" s="3">
        <v>6.09</v>
      </c>
      <c r="K2272" s="3" t="s">
        <v>21</v>
      </c>
      <c r="L2272" s="3" t="s">
        <v>9039</v>
      </c>
      <c r="M2272" s="3" t="s">
        <v>8945</v>
      </c>
      <c r="N2272" s="6" t="str">
        <f>HYPERLINK("C:\Users\alexa\YandexDisk\Книги\Программирование\Excel и VBA\Стать продвинутым пользователем Excel VBA.pdf","Стать продвинутым пользователем Excel VBA.pdf")</f>
        <v>Стать продвинутым пользователем Excel VBA.pdf</v>
      </c>
      <c r="O2272" s="3" t="s">
        <v>9040</v>
      </c>
    </row>
    <row r="2273" spans="1:15" ht="193.2" x14ac:dyDescent="0.3">
      <c r="A2273" s="4">
        <v>2272</v>
      </c>
      <c r="B2273" s="5" t="s">
        <v>9041</v>
      </c>
      <c r="C2273" s="5" t="s">
        <v>9042</v>
      </c>
      <c r="D2273" s="5" t="s">
        <v>186</v>
      </c>
      <c r="E2273" s="5" t="s">
        <v>2519</v>
      </c>
      <c r="F2273" s="5" t="s">
        <v>8942</v>
      </c>
      <c r="G2273" s="5" t="s">
        <v>8458</v>
      </c>
      <c r="H2273" s="5" t="s">
        <v>8943</v>
      </c>
      <c r="I2273" s="5" t="s">
        <v>20</v>
      </c>
      <c r="J2273" s="5">
        <v>50.5</v>
      </c>
      <c r="K2273" s="5" t="s">
        <v>21</v>
      </c>
      <c r="L2273" s="5" t="s">
        <v>9043</v>
      </c>
      <c r="M2273" s="5" t="s">
        <v>8945</v>
      </c>
      <c r="N2273" s="7" t="str">
        <f>HYPERLINK("C:\Users\alexa\YandexDisk\Книги\Программирование\Excel и VBA\Числовые расчеты в Excel  2014.pdf","Числовые расчеты в Excel  2014.pdf")</f>
        <v>Числовые расчеты в Excel  2014.pdf</v>
      </c>
      <c r="O2273" s="5" t="s">
        <v>9044</v>
      </c>
    </row>
    <row r="2274" spans="1:15" ht="248.4" x14ac:dyDescent="0.3">
      <c r="A2274" s="2">
        <v>2273</v>
      </c>
      <c r="B2274" s="3" t="s">
        <v>9041</v>
      </c>
      <c r="C2274" s="3" t="s">
        <v>9045</v>
      </c>
      <c r="D2274" s="3" t="s">
        <v>17</v>
      </c>
      <c r="E2274" s="3" t="s">
        <v>2519</v>
      </c>
      <c r="F2274" s="3" t="s">
        <v>8942</v>
      </c>
      <c r="G2274" s="3" t="s">
        <v>8458</v>
      </c>
      <c r="H2274" s="3" t="s">
        <v>8943</v>
      </c>
      <c r="I2274" s="3" t="s">
        <v>20</v>
      </c>
      <c r="J2274" s="3">
        <v>23.77</v>
      </c>
      <c r="K2274" s="3" t="s">
        <v>21</v>
      </c>
      <c r="L2274" s="3" t="s">
        <v>9046</v>
      </c>
      <c r="M2274" s="3" t="s">
        <v>8945</v>
      </c>
      <c r="N2274" s="6" t="str">
        <f>HYPERLINK("C:\Users\alexa\YandexDisk\Книги\Программирование\Excel и VBA\Числовые расчеты в Excel.pdf","Числовые расчеты в Excel.pdf")</f>
        <v>Числовые расчеты в Excel.pdf</v>
      </c>
      <c r="O2274" s="3" t="s">
        <v>9047</v>
      </c>
    </row>
    <row r="2275" spans="1:15" ht="151.80000000000001" x14ac:dyDescent="0.3">
      <c r="A2275" s="4">
        <v>2274</v>
      </c>
      <c r="B2275" s="5" t="s">
        <v>9048</v>
      </c>
      <c r="C2275" s="5" t="s">
        <v>9049</v>
      </c>
      <c r="D2275" s="5" t="s">
        <v>17</v>
      </c>
      <c r="E2275" s="5" t="s">
        <v>102</v>
      </c>
      <c r="F2275" s="5" t="s">
        <v>8942</v>
      </c>
      <c r="G2275" s="5" t="s">
        <v>8458</v>
      </c>
      <c r="H2275" s="5" t="s">
        <v>8943</v>
      </c>
      <c r="I2275" s="5" t="s">
        <v>20</v>
      </c>
      <c r="J2275" s="5">
        <v>29.37</v>
      </c>
      <c r="K2275" s="5" t="s">
        <v>21</v>
      </c>
      <c r="L2275" s="5" t="s">
        <v>9050</v>
      </c>
      <c r="M2275" s="5" t="s">
        <v>8945</v>
      </c>
      <c r="N2275" s="7" t="str">
        <f>HYPERLINK("C:\Users\alexa\YandexDisk\Книги\Программирование\Excel и VBA\Эффективная работа в MS Excel.pdf","Эффективная работа в MS Excel.pdf")</f>
        <v>Эффективная работа в MS Excel.pdf</v>
      </c>
      <c r="O2275" s="5" t="s">
        <v>9051</v>
      </c>
    </row>
    <row r="2276" spans="1:15" ht="165.6" x14ac:dyDescent="0.3">
      <c r="A2276" s="2">
        <v>2275</v>
      </c>
      <c r="B2276" s="3" t="s">
        <v>9052</v>
      </c>
      <c r="C2276" s="3" t="s">
        <v>9053</v>
      </c>
      <c r="D2276" s="3"/>
      <c r="E2276" s="3" t="s">
        <v>269</v>
      </c>
      <c r="F2276" s="3" t="s">
        <v>9054</v>
      </c>
      <c r="G2276" s="3" t="s">
        <v>8458</v>
      </c>
      <c r="H2276" s="3" t="s">
        <v>9055</v>
      </c>
      <c r="I2276" s="3" t="s">
        <v>20</v>
      </c>
      <c r="J2276" s="3">
        <v>5.33</v>
      </c>
      <c r="K2276" s="3" t="s">
        <v>21</v>
      </c>
      <c r="L2276" s="3" t="s">
        <v>9056</v>
      </c>
      <c r="M2276" s="3" t="s">
        <v>9057</v>
      </c>
      <c r="N2276" s="6" t="str">
        <f>HYPERLINK("C:\Users\alexa\YandexDisk\Книги\Программирование\Go\Build an Orchestrator in Go From Scratch.pdf","Build an Orchestrator in Go From Scratch.pdf")</f>
        <v>Build an Orchestrator in Go From Scratch.pdf</v>
      </c>
      <c r="O2276" s="3" t="s">
        <v>9058</v>
      </c>
    </row>
    <row r="2277" spans="1:15" ht="179.4" x14ac:dyDescent="0.3">
      <c r="A2277" s="4">
        <v>2276</v>
      </c>
      <c r="B2277" s="5" t="s">
        <v>9059</v>
      </c>
      <c r="C2277" s="5" t="s">
        <v>9060</v>
      </c>
      <c r="D2277" s="5" t="s">
        <v>17</v>
      </c>
      <c r="E2277" s="5"/>
      <c r="F2277" s="5" t="s">
        <v>9054</v>
      </c>
      <c r="G2277" s="5" t="s">
        <v>8458</v>
      </c>
      <c r="H2277" s="5" t="s">
        <v>9055</v>
      </c>
      <c r="I2277" s="5" t="s">
        <v>20</v>
      </c>
      <c r="J2277" s="5">
        <v>2.46</v>
      </c>
      <c r="K2277" s="5" t="s">
        <v>21</v>
      </c>
      <c r="L2277" s="5" t="s">
        <v>9061</v>
      </c>
      <c r="M2277" s="5" t="s">
        <v>9057</v>
      </c>
      <c r="N2277" s="7" t="str">
        <f>HYPERLINK("C:\Users\alexa\YandexDisk\Книги\Программирование\Go\Everyday Go - The Fast Track for Golang (Alex Ellis).pdf","Everyday Go - The Fast Track for Golang (Alex Ellis).pdf")</f>
        <v>Everyday Go - The Fast Track for Golang (Alex Ellis).pdf</v>
      </c>
      <c r="O2277" s="5" t="s">
        <v>9062</v>
      </c>
    </row>
    <row r="2278" spans="1:15" ht="151.80000000000001" x14ac:dyDescent="0.3">
      <c r="A2278" s="2">
        <v>2277</v>
      </c>
      <c r="B2278" s="3" t="s">
        <v>9063</v>
      </c>
      <c r="C2278" s="3" t="s">
        <v>9064</v>
      </c>
      <c r="D2278" s="3" t="s">
        <v>27</v>
      </c>
      <c r="E2278" s="3" t="s">
        <v>205</v>
      </c>
      <c r="F2278" s="3" t="s">
        <v>9054</v>
      </c>
      <c r="G2278" s="3" t="s">
        <v>8458</v>
      </c>
      <c r="H2278" s="3" t="s">
        <v>9055</v>
      </c>
      <c r="I2278" s="3" t="s">
        <v>20</v>
      </c>
      <c r="J2278" s="3">
        <v>10.71</v>
      </c>
      <c r="K2278" s="3" t="s">
        <v>21</v>
      </c>
      <c r="L2278" s="3" t="s">
        <v>9065</v>
      </c>
      <c r="M2278" s="3" t="s">
        <v>9057</v>
      </c>
      <c r="N2278" s="6" t="str">
        <f>HYPERLINK("C:\Users\alexa\YandexDisk\Книги\Программирование\Go\Full-Stack Web Development with Go.pdf","Full-Stack Web Development with Go.pdf")</f>
        <v>Full-Stack Web Development with Go.pdf</v>
      </c>
      <c r="O2278" s="3" t="s">
        <v>9066</v>
      </c>
    </row>
    <row r="2279" spans="1:15" ht="179.4" x14ac:dyDescent="0.3">
      <c r="A2279" s="4">
        <v>2278</v>
      </c>
      <c r="B2279" s="5" t="s">
        <v>9067</v>
      </c>
      <c r="C2279" s="5" t="s">
        <v>9068</v>
      </c>
      <c r="D2279" s="5" t="s">
        <v>27</v>
      </c>
      <c r="E2279" s="5" t="s">
        <v>205</v>
      </c>
      <c r="F2279" s="5" t="s">
        <v>9054</v>
      </c>
      <c r="G2279" s="5" t="s">
        <v>8458</v>
      </c>
      <c r="H2279" s="5" t="s">
        <v>9055</v>
      </c>
      <c r="I2279" s="5" t="s">
        <v>20</v>
      </c>
      <c r="J2279" s="5">
        <v>8.09</v>
      </c>
      <c r="K2279" s="5" t="s">
        <v>21</v>
      </c>
      <c r="L2279" s="5" t="s">
        <v>9069</v>
      </c>
      <c r="M2279" s="5" t="s">
        <v>9057</v>
      </c>
      <c r="N2279" s="7" t="str">
        <f>HYPERLINK("C:\Users\alexa\YandexDisk\Книги\Программирование\Go\Functional_Programming_in_Golang_Apply_functional_techniques_in.pdf","Functional_Programming_in_Golang_Apply_functional_techniques_in.pdf")</f>
        <v>Functional_Programming_in_Golang_Apply_functional_techniques_in.pdf</v>
      </c>
      <c r="O2279" s="5" t="s">
        <v>9070</v>
      </c>
    </row>
    <row r="2280" spans="1:15" ht="165.6" x14ac:dyDescent="0.3">
      <c r="A2280" s="2">
        <v>2279</v>
      </c>
      <c r="B2280" s="3" t="s">
        <v>9071</v>
      </c>
      <c r="C2280" s="3" t="s">
        <v>9072</v>
      </c>
      <c r="D2280" s="3" t="s">
        <v>335</v>
      </c>
      <c r="E2280" s="3" t="s">
        <v>336</v>
      </c>
      <c r="F2280" s="3" t="s">
        <v>9054</v>
      </c>
      <c r="G2280" s="3" t="s">
        <v>8458</v>
      </c>
      <c r="H2280" s="3" t="s">
        <v>9055</v>
      </c>
      <c r="I2280" s="3" t="s">
        <v>20</v>
      </c>
      <c r="J2280" s="3">
        <v>9.9</v>
      </c>
      <c r="K2280" s="3" t="s">
        <v>21</v>
      </c>
      <c r="L2280" s="3" t="s">
        <v>9073</v>
      </c>
      <c r="M2280" s="3" t="s">
        <v>9057</v>
      </c>
      <c r="N2280" s="6" t="str">
        <f>HYPERLINK("C:\Users\alexa\YandexDisk\Книги\Программирование\Go\Go идиомы 2.pdf","Go идиомы 2.pdf")</f>
        <v>Go идиомы 2.pdf</v>
      </c>
      <c r="O2280" s="3" t="s">
        <v>9074</v>
      </c>
    </row>
    <row r="2281" spans="1:15" ht="179.4" x14ac:dyDescent="0.3">
      <c r="A2281" s="4">
        <v>2280</v>
      </c>
      <c r="B2281" s="5" t="s">
        <v>9075</v>
      </c>
      <c r="C2281" s="5" t="s">
        <v>9076</v>
      </c>
      <c r="D2281" s="5" t="s">
        <v>50</v>
      </c>
      <c r="E2281" s="5" t="s">
        <v>102</v>
      </c>
      <c r="F2281" s="5" t="s">
        <v>9054</v>
      </c>
      <c r="G2281" s="5" t="s">
        <v>8458</v>
      </c>
      <c r="H2281" s="5" t="s">
        <v>9055</v>
      </c>
      <c r="I2281" s="5" t="s">
        <v>20</v>
      </c>
      <c r="J2281" s="5">
        <v>17.07</v>
      </c>
      <c r="K2281" s="5" t="s">
        <v>21</v>
      </c>
      <c r="L2281" s="5" t="s">
        <v>9077</v>
      </c>
      <c r="M2281" s="5" t="s">
        <v>9057</v>
      </c>
      <c r="N2281" s="7" t="str">
        <f>HYPERLINK("C:\Users\alexa\YandexDisk\Книги\Программирование\Go\Go на практике.pdf","Go на практике.pdf")</f>
        <v>Go на практике.pdf</v>
      </c>
      <c r="O2281" s="5" t="s">
        <v>9078</v>
      </c>
    </row>
    <row r="2282" spans="1:15" ht="179.4" x14ac:dyDescent="0.3">
      <c r="A2282" s="2">
        <v>2281</v>
      </c>
      <c r="B2282" s="3" t="s">
        <v>9079</v>
      </c>
      <c r="C2282" s="3" t="s">
        <v>9080</v>
      </c>
      <c r="D2282" s="3" t="s">
        <v>59</v>
      </c>
      <c r="E2282" s="3" t="s">
        <v>205</v>
      </c>
      <c r="F2282" s="3" t="s">
        <v>9054</v>
      </c>
      <c r="G2282" s="3" t="s">
        <v>8458</v>
      </c>
      <c r="H2282" s="3" t="s">
        <v>9055</v>
      </c>
      <c r="I2282" s="3" t="s">
        <v>20</v>
      </c>
      <c r="J2282" s="3">
        <v>7.41</v>
      </c>
      <c r="K2282" s="3" t="s">
        <v>21</v>
      </c>
      <c r="L2282" s="3" t="s">
        <v>9081</v>
      </c>
      <c r="M2282" s="3" t="s">
        <v>9057</v>
      </c>
      <c r="N2282" s="6" t="str">
        <f>HYPERLINK("C:\Users\alexa\YandexDisk\Книги\Программирование\Go\Golang_для_профи_Работа_с_сетью,_многопоточность,_структуры_данных.pdf","Golang_для_профи_Работа_с_сетью,_многопоточность,_структуры_данных.pdf")</f>
        <v>Golang_для_профи_Работа_с_сетью,_многопоточность,_структуры_данных.pdf</v>
      </c>
      <c r="O2282" s="3" t="s">
        <v>9082</v>
      </c>
    </row>
    <row r="2283" spans="1:15" ht="193.2" x14ac:dyDescent="0.3">
      <c r="A2283" s="4">
        <v>2282</v>
      </c>
      <c r="B2283" s="5" t="s">
        <v>9071</v>
      </c>
      <c r="C2283" s="5" t="s">
        <v>9072</v>
      </c>
      <c r="D2283" s="5" t="s">
        <v>71</v>
      </c>
      <c r="E2283" s="5" t="s">
        <v>18</v>
      </c>
      <c r="F2283" s="5" t="s">
        <v>9054</v>
      </c>
      <c r="G2283" s="5" t="s">
        <v>8458</v>
      </c>
      <c r="H2283" s="5" t="s">
        <v>9055</v>
      </c>
      <c r="I2283" s="5" t="s">
        <v>20</v>
      </c>
      <c r="J2283" s="5">
        <v>6.19</v>
      </c>
      <c r="K2283" s="5" t="s">
        <v>21</v>
      </c>
      <c r="L2283" s="5" t="s">
        <v>9083</v>
      </c>
      <c r="M2283" s="5" t="s">
        <v>9057</v>
      </c>
      <c r="N2283" s="7" t="str">
        <f>HYPERLINK("C:\Users\alexa\YandexDisk\Книги\Программирование\Go\Go_идиомы_и_паттерны_проектирования.pdf","Go_идиомы_и_паттерны_проектирования.pdf")</f>
        <v>Go_идиомы_и_паттерны_проектирования.pdf</v>
      </c>
      <c r="O2283" s="5" t="s">
        <v>9084</v>
      </c>
    </row>
    <row r="2284" spans="1:15" ht="165.6" x14ac:dyDescent="0.3">
      <c r="A2284" s="2">
        <v>2283</v>
      </c>
      <c r="B2284" s="3" t="s">
        <v>9085</v>
      </c>
      <c r="C2284" s="3" t="s">
        <v>9086</v>
      </c>
      <c r="D2284" s="3" t="s">
        <v>17</v>
      </c>
      <c r="E2284" s="3" t="s">
        <v>18</v>
      </c>
      <c r="F2284" s="3" t="s">
        <v>9054</v>
      </c>
      <c r="G2284" s="3" t="s">
        <v>8458</v>
      </c>
      <c r="H2284" s="3" t="s">
        <v>9055</v>
      </c>
      <c r="I2284" s="3" t="s">
        <v>20</v>
      </c>
      <c r="J2284" s="3">
        <v>3.69</v>
      </c>
      <c r="K2284" s="3" t="s">
        <v>21</v>
      </c>
      <c r="L2284" s="3" t="s">
        <v>9087</v>
      </c>
      <c r="M2284" s="3" t="s">
        <v>9057</v>
      </c>
      <c r="N2284" s="6" t="str">
        <f>HYPERLINK("C:\Users\alexa\YandexDisk\Книги\Программирование\Go\gRPC_запуск_и_эксплуатация_облачных_приложений_Go_и_Java_для_Docker.pdf","gRPC_запуск_и_эксплуатация_облачных_приложений_Go_и_Java_для_Docker.pdf")</f>
        <v>gRPC_запуск_и_эксплуатация_облачных_приложений_Go_и_Java_для_Docker.pdf</v>
      </c>
      <c r="O2284" s="3" t="s">
        <v>9088</v>
      </c>
    </row>
    <row r="2285" spans="1:15" ht="193.2" x14ac:dyDescent="0.3">
      <c r="A2285" s="4">
        <v>2284</v>
      </c>
      <c r="B2285" s="5" t="s">
        <v>9089</v>
      </c>
      <c r="C2285" s="5" t="s">
        <v>536</v>
      </c>
      <c r="D2285" s="5" t="s">
        <v>71</v>
      </c>
      <c r="E2285" s="5" t="s">
        <v>536</v>
      </c>
      <c r="F2285" s="5" t="s">
        <v>9054</v>
      </c>
      <c r="G2285" s="5" t="s">
        <v>8458</v>
      </c>
      <c r="H2285" s="5" t="s">
        <v>9055</v>
      </c>
      <c r="I2285" s="5" t="s">
        <v>20</v>
      </c>
      <c r="J2285" s="5">
        <v>0.82</v>
      </c>
      <c r="K2285" s="5" t="s">
        <v>21</v>
      </c>
      <c r="L2285" s="5" t="s">
        <v>9090</v>
      </c>
      <c r="M2285" s="5" t="s">
        <v>9057</v>
      </c>
      <c r="N2285" s="7" t="str">
        <f>HYPERLINK("C:\Users\alexa\YandexDisk\Книги\Программирование\Go\Learn Go with Pocket-Sized Projects MEAP v1.pdf","Learn Go with Pocket-Sized Projects MEAP v1.pdf")</f>
        <v>Learn Go with Pocket-Sized Projects MEAP v1.pdf</v>
      </c>
      <c r="O2285" s="5" t="s">
        <v>9091</v>
      </c>
    </row>
    <row r="2286" spans="1:15" ht="165.6" x14ac:dyDescent="0.3">
      <c r="A2286" s="2">
        <v>2285</v>
      </c>
      <c r="B2286" s="3" t="s">
        <v>9092</v>
      </c>
      <c r="C2286" s="3" t="s">
        <v>9093</v>
      </c>
      <c r="D2286" s="3" t="s">
        <v>17</v>
      </c>
      <c r="E2286" s="3" t="s">
        <v>72</v>
      </c>
      <c r="F2286" s="3" t="s">
        <v>9054</v>
      </c>
      <c r="G2286" s="3" t="s">
        <v>8458</v>
      </c>
      <c r="H2286" s="3" t="s">
        <v>9055</v>
      </c>
      <c r="I2286" s="3" t="s">
        <v>20</v>
      </c>
      <c r="J2286" s="3">
        <v>3.91</v>
      </c>
      <c r="K2286" s="3" t="s">
        <v>21</v>
      </c>
      <c r="L2286" s="3" t="s">
        <v>9094</v>
      </c>
      <c r="M2286" s="3" t="s">
        <v>9057</v>
      </c>
      <c r="N2286" s="6" t="str">
        <f>HYPERLINK("C:\Users\alexa\YandexDisk\Книги\Программирование\Go\Network_Programming_with_Go_Learn_to_Code_Secure_and_Reliable_Network.pdf","Network_Programming_with_Go_Learn_to_Code_Secure_and_Reliable_Network.pdf")</f>
        <v>Network_Programming_with_Go_Learn_to_Code_Secure_and_Reliable_Network.pdf</v>
      </c>
      <c r="O2286" s="3" t="s">
        <v>9095</v>
      </c>
    </row>
    <row r="2287" spans="1:15" ht="151.80000000000001" x14ac:dyDescent="0.3">
      <c r="A2287" s="4">
        <v>2286</v>
      </c>
      <c r="B2287" s="5" t="s">
        <v>9096</v>
      </c>
      <c r="C2287" s="5" t="s">
        <v>9097</v>
      </c>
      <c r="D2287" s="5" t="s">
        <v>27</v>
      </c>
      <c r="E2287" s="5" t="s">
        <v>536</v>
      </c>
      <c r="F2287" s="5" t="s">
        <v>9054</v>
      </c>
      <c r="G2287" s="5" t="s">
        <v>8458</v>
      </c>
      <c r="H2287" s="5" t="s">
        <v>9055</v>
      </c>
      <c r="I2287" s="5" t="s">
        <v>20</v>
      </c>
      <c r="J2287" s="5">
        <v>4.07</v>
      </c>
      <c r="K2287" s="5" t="s">
        <v>21</v>
      </c>
      <c r="L2287" s="5" t="s">
        <v>9098</v>
      </c>
      <c r="M2287" s="5" t="s">
        <v>9057</v>
      </c>
      <c r="N2287" s="7" t="str">
        <f>HYPERLINK("C:\Users\alexa\YandexDisk\Книги\Программирование\Go\Shiping Go.pdf","Shiping Go.pdf")</f>
        <v>Shiping Go.pdf</v>
      </c>
      <c r="O2287" s="5" t="s">
        <v>9099</v>
      </c>
    </row>
    <row r="2288" spans="1:15" ht="193.2" x14ac:dyDescent="0.3">
      <c r="A2288" s="2">
        <v>2287</v>
      </c>
      <c r="B2288" s="3" t="s">
        <v>9100</v>
      </c>
      <c r="C2288" s="3" t="s">
        <v>9101</v>
      </c>
      <c r="D2288" s="3" t="s">
        <v>59</v>
      </c>
      <c r="E2288" s="3" t="s">
        <v>18</v>
      </c>
      <c r="F2288" s="3" t="s">
        <v>9054</v>
      </c>
      <c r="G2288" s="3" t="s">
        <v>8458</v>
      </c>
      <c r="H2288" s="3" t="s">
        <v>9055</v>
      </c>
      <c r="I2288" s="3" t="s">
        <v>20</v>
      </c>
      <c r="J2288" s="3">
        <v>38.26</v>
      </c>
      <c r="K2288" s="3" t="s">
        <v>21</v>
      </c>
      <c r="L2288" s="3" t="s">
        <v>9102</v>
      </c>
      <c r="M2288" s="3" t="s">
        <v>9057</v>
      </c>
      <c r="N2288" s="6" t="str">
        <f>HYPERLINK("C:\Users\alexa\YandexDisk\Книги\Программирование\Go\Изучаем Go.pdf","Изучаем Go.pdf")</f>
        <v>Изучаем Go.pdf</v>
      </c>
      <c r="O2288" s="3" t="s">
        <v>9103</v>
      </c>
    </row>
    <row r="2289" spans="1:15" ht="151.80000000000001" x14ac:dyDescent="0.3">
      <c r="A2289" s="4">
        <v>2288</v>
      </c>
      <c r="B2289" s="5" t="s">
        <v>9104</v>
      </c>
      <c r="C2289" s="5" t="s">
        <v>9105</v>
      </c>
      <c r="D2289" s="5"/>
      <c r="E2289" s="5" t="s">
        <v>227</v>
      </c>
      <c r="F2289" s="5" t="s">
        <v>9054</v>
      </c>
      <c r="G2289" s="5" t="s">
        <v>8458</v>
      </c>
      <c r="H2289" s="5" t="s">
        <v>9055</v>
      </c>
      <c r="I2289" s="5" t="s">
        <v>20</v>
      </c>
      <c r="J2289" s="5">
        <v>11.2</v>
      </c>
      <c r="K2289" s="5" t="s">
        <v>21</v>
      </c>
      <c r="L2289" s="5" t="s">
        <v>9106</v>
      </c>
      <c r="M2289" s="5" t="s">
        <v>9057</v>
      </c>
      <c r="N2289" s="7" t="str">
        <f>HYPERLINK("C:\Users\alexa\YandexDisk\Книги\Программирование\Go\Полное_руководство_по_программированию_надежного_и_эффективного.pdf","Полное_руководство_по_программированию_надежного_и_эффективного.pdf")</f>
        <v>Полное_руководство_по_программированию_надежного_и_эффективного.pdf</v>
      </c>
      <c r="O2289" s="5" t="s">
        <v>9107</v>
      </c>
    </row>
    <row r="2290" spans="1:15" ht="165.6" x14ac:dyDescent="0.3">
      <c r="A2290" s="2">
        <v>2289</v>
      </c>
      <c r="B2290" s="3" t="s">
        <v>9108</v>
      </c>
      <c r="C2290" s="3" t="s">
        <v>9109</v>
      </c>
      <c r="D2290" s="3"/>
      <c r="E2290" s="3"/>
      <c r="F2290" s="3" t="s">
        <v>9054</v>
      </c>
      <c r="G2290" s="3" t="s">
        <v>8458</v>
      </c>
      <c r="H2290" s="3" t="s">
        <v>9055</v>
      </c>
      <c r="I2290" s="3" t="s">
        <v>20</v>
      </c>
      <c r="J2290" s="3">
        <v>27.27</v>
      </c>
      <c r="K2290" s="3" t="s">
        <v>21</v>
      </c>
      <c r="L2290" s="3" t="s">
        <v>9110</v>
      </c>
      <c r="M2290" s="3" t="s">
        <v>9057</v>
      </c>
      <c r="N2290" s="6" t="str">
        <f>HYPERLINK("C:\Users\alexa\YandexDisk\Книги\Программирование\Go\Язык Go Для Начинающих М. Жашкевич.pdf","Язык Go Для Начинающих М. Жашкевич.pdf")</f>
        <v>Язык Go Для Начинающих М. Жашкевич.pdf</v>
      </c>
      <c r="O2290" s="3" t="s">
        <v>9111</v>
      </c>
    </row>
    <row r="2291" spans="1:15" ht="138" x14ac:dyDescent="0.3">
      <c r="A2291" s="4">
        <v>2290</v>
      </c>
      <c r="B2291" s="5" t="s">
        <v>9112</v>
      </c>
      <c r="C2291" s="5" t="s">
        <v>9113</v>
      </c>
      <c r="D2291" s="5" t="s">
        <v>71</v>
      </c>
      <c r="E2291" s="5" t="s">
        <v>227</v>
      </c>
      <c r="F2291" s="5" t="s">
        <v>9114</v>
      </c>
      <c r="G2291" s="5" t="s">
        <v>8458</v>
      </c>
      <c r="H2291" s="5" t="s">
        <v>9115</v>
      </c>
      <c r="I2291" s="5" t="s">
        <v>20</v>
      </c>
      <c r="J2291" s="5">
        <v>27.37</v>
      </c>
      <c r="K2291" s="5" t="s">
        <v>21</v>
      </c>
      <c r="L2291" s="5" t="s">
        <v>9116</v>
      </c>
      <c r="M2291" s="5" t="s">
        <v>9117</v>
      </c>
      <c r="N2291" s="7" t="str">
        <f>HYPERLINK("C:\Users\alexa\YandexDisk\Книги\Программирование\IDE\Beginning  IntelliJ IDEA 2022.pdf","Beginning  IntelliJ IDEA 2022.pdf")</f>
        <v>Beginning  IntelliJ IDEA 2022.pdf</v>
      </c>
      <c r="O2291" s="5" t="s">
        <v>9118</v>
      </c>
    </row>
    <row r="2292" spans="1:15" ht="179.4" x14ac:dyDescent="0.3">
      <c r="A2292" s="2">
        <v>2291</v>
      </c>
      <c r="B2292" s="3" t="s">
        <v>9119</v>
      </c>
      <c r="C2292" s="3" t="s">
        <v>9120</v>
      </c>
      <c r="D2292" s="3"/>
      <c r="E2292" s="3"/>
      <c r="F2292" s="3" t="s">
        <v>9114</v>
      </c>
      <c r="G2292" s="3" t="s">
        <v>8458</v>
      </c>
      <c r="H2292" s="3" t="s">
        <v>9115</v>
      </c>
      <c r="I2292" s="3" t="s">
        <v>20</v>
      </c>
      <c r="J2292" s="3">
        <v>14.54</v>
      </c>
      <c r="K2292" s="3" t="s">
        <v>21</v>
      </c>
      <c r="L2292" s="3" t="s">
        <v>9121</v>
      </c>
      <c r="M2292" s="3" t="s">
        <v>9117</v>
      </c>
      <c r="N2292" s="6" t="str">
        <f>HYPERLINK("C:\Users\alexa\YandexDisk\Книги\Программирование\IDE\Bruce_Johnson_Visual_Studio_Code_End_To_End_Editing_and_Debugging.pdf","Bruce_Johnson_Visual_Studio_Code_End_To_End_Editing_and_Debugging.pdf")</f>
        <v>Bruce_Johnson_Visual_Studio_Code_End_To_End_Editing_and_Debugging.pdf</v>
      </c>
      <c r="O2292" s="3" t="s">
        <v>9122</v>
      </c>
    </row>
    <row r="2293" spans="1:15" ht="165.6" x14ac:dyDescent="0.3">
      <c r="A2293" s="4">
        <v>2292</v>
      </c>
      <c r="B2293" s="5" t="s">
        <v>9123</v>
      </c>
      <c r="C2293" s="5" t="s">
        <v>9124</v>
      </c>
      <c r="D2293" s="5" t="s">
        <v>32</v>
      </c>
      <c r="E2293" s="5" t="s">
        <v>9125</v>
      </c>
      <c r="F2293" s="5" t="s">
        <v>9114</v>
      </c>
      <c r="G2293" s="5" t="s">
        <v>8458</v>
      </c>
      <c r="H2293" s="5" t="s">
        <v>9115</v>
      </c>
      <c r="I2293" s="5" t="s">
        <v>20</v>
      </c>
      <c r="J2293" s="5">
        <v>1.71</v>
      </c>
      <c r="K2293" s="5" t="s">
        <v>21</v>
      </c>
      <c r="L2293" s="5" t="s">
        <v>9126</v>
      </c>
      <c r="M2293" s="5" t="s">
        <v>9117</v>
      </c>
      <c r="N2293" s="7" t="str">
        <f>HYPERLINK("C:\Users\alexa\YandexDisk\Книги\Программирование\IDE\Jovica_Ilic_Mastering_Vim_Quickly_From_WTF_to_OMG_in_no_time_Independently.pdf","Jovica_Ilic_Mastering_Vim_Quickly_From_WTF_to_OMG_in_no_time_Independently.pdf")</f>
        <v>Jovica_Ilic_Mastering_Vim_Quickly_From_WTF_to_OMG_in_no_time_Independently.pdf</v>
      </c>
      <c r="O2293" s="5" t="s">
        <v>9127</v>
      </c>
    </row>
    <row r="2294" spans="1:15" ht="151.80000000000001" x14ac:dyDescent="0.3">
      <c r="A2294" s="2">
        <v>2293</v>
      </c>
      <c r="B2294" s="3" t="s">
        <v>9128</v>
      </c>
      <c r="C2294" s="3" t="s">
        <v>1805</v>
      </c>
      <c r="D2294" s="3"/>
      <c r="E2294" s="3" t="s">
        <v>2183</v>
      </c>
      <c r="F2294" s="3" t="s">
        <v>9114</v>
      </c>
      <c r="G2294" s="3" t="s">
        <v>8458</v>
      </c>
      <c r="H2294" s="3" t="s">
        <v>9115</v>
      </c>
      <c r="I2294" s="3" t="s">
        <v>20</v>
      </c>
      <c r="J2294" s="3">
        <v>10.66</v>
      </c>
      <c r="K2294" s="3" t="s">
        <v>21</v>
      </c>
      <c r="L2294" s="3" t="s">
        <v>9129</v>
      </c>
      <c r="M2294" s="3" t="s">
        <v>9117</v>
      </c>
      <c r="N2294" s="6" t="str">
        <f>HYPERLINK("C:\Users\alexa\YandexDisk\Книги\Программирование\IDE\Mastering Visual Studio Code A Beginner s Guide.pdf","Mastering Visual Studio Code A Beginner s Guide.pdf")</f>
        <v>Mastering Visual Studio Code A Beginner s Guide.pdf</v>
      </c>
      <c r="O2294" s="3" t="s">
        <v>9130</v>
      </c>
    </row>
    <row r="2295" spans="1:15" ht="151.80000000000001" x14ac:dyDescent="0.3">
      <c r="A2295" s="4">
        <v>2294</v>
      </c>
      <c r="B2295" s="5" t="s">
        <v>9131</v>
      </c>
      <c r="C2295" s="5" t="s">
        <v>9132</v>
      </c>
      <c r="D2295" s="5" t="s">
        <v>109</v>
      </c>
      <c r="E2295" s="5" t="s">
        <v>9133</v>
      </c>
      <c r="F2295" s="5" t="s">
        <v>9114</v>
      </c>
      <c r="G2295" s="5" t="s">
        <v>8458</v>
      </c>
      <c r="H2295" s="5" t="s">
        <v>9115</v>
      </c>
      <c r="I2295" s="5" t="s">
        <v>20</v>
      </c>
      <c r="J2295" s="5">
        <v>97.75</v>
      </c>
      <c r="K2295" s="5" t="s">
        <v>21</v>
      </c>
      <c r="L2295" s="5" t="s">
        <v>9134</v>
      </c>
      <c r="M2295" s="5" t="s">
        <v>9117</v>
      </c>
      <c r="N2295" s="7" t="str">
        <f>HYPERLINK("C:\Users\alexa\YandexDisk\Книги\Программирование\IDE\PyCharm. Профессиональная работа на Python.pdf","PyCharm. Профессиональная работа на Python.pdf")</f>
        <v>PyCharm. Профессиональная работа на Python.pdf</v>
      </c>
      <c r="O2295" s="5" t="s">
        <v>9135</v>
      </c>
    </row>
    <row r="2296" spans="1:15" ht="124.2" x14ac:dyDescent="0.3">
      <c r="A2296" s="2">
        <v>2295</v>
      </c>
      <c r="B2296" s="3" t="s">
        <v>9136</v>
      </c>
      <c r="C2296" s="3"/>
      <c r="D2296" s="3" t="s">
        <v>17</v>
      </c>
      <c r="E2296" s="3"/>
      <c r="F2296" s="3" t="s">
        <v>9137</v>
      </c>
      <c r="G2296" s="3" t="s">
        <v>8458</v>
      </c>
      <c r="H2296" s="3" t="s">
        <v>9138</v>
      </c>
      <c r="I2296" s="3" t="s">
        <v>20</v>
      </c>
      <c r="J2296" s="3">
        <v>186.44</v>
      </c>
      <c r="K2296" s="3" t="s">
        <v>21</v>
      </c>
      <c r="L2296" s="3" t="s">
        <v>9139</v>
      </c>
      <c r="M2296" s="3" t="s">
        <v>9140</v>
      </c>
      <c r="N2296" s="6" t="str">
        <f>HYPERLINK("C:\Users\alexa\YandexDisk\Книги\Программирование\Java\!Java Ршение практических задач 2021.pdf","!Java Ршение практических задач 2021.pdf")</f>
        <v>!Java Ршение практических задач 2021.pdf</v>
      </c>
      <c r="O2296" s="3" t="s">
        <v>9141</v>
      </c>
    </row>
    <row r="2297" spans="1:15" ht="193.2" x14ac:dyDescent="0.3">
      <c r="A2297" s="4">
        <v>2296</v>
      </c>
      <c r="B2297" s="5" t="s">
        <v>9142</v>
      </c>
      <c r="C2297" s="5" t="s">
        <v>8853</v>
      </c>
      <c r="D2297" s="5" t="s">
        <v>77</v>
      </c>
      <c r="E2297" s="5" t="s">
        <v>2124</v>
      </c>
      <c r="F2297" s="5" t="s">
        <v>9137</v>
      </c>
      <c r="G2297" s="5" t="s">
        <v>8458</v>
      </c>
      <c r="H2297" s="5" t="s">
        <v>9138</v>
      </c>
      <c r="I2297" s="5" t="s">
        <v>20</v>
      </c>
      <c r="J2297" s="5">
        <v>11.64</v>
      </c>
      <c r="K2297" s="5" t="s">
        <v>21</v>
      </c>
      <c r="L2297" s="5" t="s">
        <v>9143</v>
      </c>
      <c r="M2297" s="5" t="s">
        <v>9140</v>
      </c>
      <c r="N2297" s="7" t="str">
        <f>HYPERLINK("C:\Users\alexa\YandexDisk\Книги\Программирование\Java\!Java. Руководство для начинающих 2019.pdf","!Java. Руководство для начинающих 2019.pdf")</f>
        <v>!Java. Руководство для начинающих 2019.pdf</v>
      </c>
      <c r="O2297" s="5" t="s">
        <v>9144</v>
      </c>
    </row>
    <row r="2298" spans="1:15" ht="179.4" x14ac:dyDescent="0.3">
      <c r="A2298" s="2">
        <v>2297</v>
      </c>
      <c r="B2298" s="3" t="s">
        <v>780</v>
      </c>
      <c r="C2298" s="3" t="s">
        <v>31</v>
      </c>
      <c r="D2298" s="3" t="s">
        <v>476</v>
      </c>
      <c r="E2298" s="3" t="s">
        <v>92</v>
      </c>
      <c r="F2298" s="3" t="s">
        <v>9137</v>
      </c>
      <c r="G2298" s="3" t="s">
        <v>8458</v>
      </c>
      <c r="H2298" s="3" t="s">
        <v>9138</v>
      </c>
      <c r="I2298" s="3" t="s">
        <v>20</v>
      </c>
      <c r="J2298" s="3">
        <v>56.5</v>
      </c>
      <c r="K2298" s="3" t="s">
        <v>21</v>
      </c>
      <c r="L2298" s="3" t="s">
        <v>9145</v>
      </c>
      <c r="M2298" s="3" t="s">
        <v>9140</v>
      </c>
      <c r="N2298" s="6" t="str">
        <f>HYPERLINK("C:\Users\alexa\YandexDisk\Книги\Программирование\Java\Algoritmy_na_Java_4-e_izdanie.pdf","Algoritmy_na_Java_4-e_izdanie.pdf")</f>
        <v>Algoritmy_na_Java_4-e_izdanie.pdf</v>
      </c>
      <c r="O2298" s="3" t="s">
        <v>9146</v>
      </c>
    </row>
    <row r="2299" spans="1:15" ht="165.6" x14ac:dyDescent="0.3">
      <c r="A2299" s="4">
        <v>2298</v>
      </c>
      <c r="B2299" s="5" t="s">
        <v>9147</v>
      </c>
      <c r="C2299" s="5" t="s">
        <v>9148</v>
      </c>
      <c r="D2299" s="5"/>
      <c r="E2299" s="5"/>
      <c r="F2299" s="5" t="s">
        <v>9137</v>
      </c>
      <c r="G2299" s="5" t="s">
        <v>8458</v>
      </c>
      <c r="H2299" s="5" t="s">
        <v>9138</v>
      </c>
      <c r="I2299" s="5" t="s">
        <v>20</v>
      </c>
      <c r="J2299" s="5">
        <v>42.34</v>
      </c>
      <c r="K2299" s="5" t="s">
        <v>21</v>
      </c>
      <c r="L2299" s="5" t="s">
        <v>9149</v>
      </c>
      <c r="M2299" s="5" t="s">
        <v>9140</v>
      </c>
      <c r="N2299" s="7" t="str">
        <f>HYPERLINK("C:\Users\alexa\YandexDisk\Книги\Программирование\Java\Getting Started With Eclips.pdf","Getting Started With Eclips.pdf")</f>
        <v>Getting Started With Eclips.pdf</v>
      </c>
      <c r="O2299" s="5" t="s">
        <v>9150</v>
      </c>
    </row>
    <row r="2300" spans="1:15" ht="193.2" x14ac:dyDescent="0.3">
      <c r="A2300" s="2">
        <v>2299</v>
      </c>
      <c r="B2300" s="3" t="s">
        <v>9151</v>
      </c>
      <c r="C2300" s="3" t="s">
        <v>9152</v>
      </c>
      <c r="D2300" s="3"/>
      <c r="E2300" s="3" t="s">
        <v>442</v>
      </c>
      <c r="F2300" s="3" t="s">
        <v>9137</v>
      </c>
      <c r="G2300" s="3" t="s">
        <v>8458</v>
      </c>
      <c r="H2300" s="3" t="s">
        <v>9138</v>
      </c>
      <c r="I2300" s="3" t="s">
        <v>20</v>
      </c>
      <c r="J2300" s="3">
        <v>34.630000000000003</v>
      </c>
      <c r="K2300" s="3" t="s">
        <v>21</v>
      </c>
      <c r="L2300" s="3" t="s">
        <v>9153</v>
      </c>
      <c r="M2300" s="3" t="s">
        <v>9140</v>
      </c>
      <c r="N2300" s="6" t="str">
        <f>HYPERLINK("C:\Users\alexa\YandexDisk\Книги\Программирование\Java\Head_First_Java_2nd_Edition.pdf","Head_First_Java_2nd_Edition.pdf")</f>
        <v>Head_First_Java_2nd_Edition.pdf</v>
      </c>
      <c r="O2300" s="3" t="s">
        <v>9154</v>
      </c>
    </row>
    <row r="2301" spans="1:15" ht="165.6" x14ac:dyDescent="0.3">
      <c r="A2301" s="4">
        <v>2300</v>
      </c>
      <c r="B2301" s="5" t="s">
        <v>9155</v>
      </c>
      <c r="C2301" s="5" t="s">
        <v>9156</v>
      </c>
      <c r="D2301" s="5" t="s">
        <v>71</v>
      </c>
      <c r="E2301" s="5" t="s">
        <v>536</v>
      </c>
      <c r="F2301" s="5" t="s">
        <v>9137</v>
      </c>
      <c r="G2301" s="5" t="s">
        <v>8458</v>
      </c>
      <c r="H2301" s="5" t="s">
        <v>9138</v>
      </c>
      <c r="I2301" s="5" t="s">
        <v>20</v>
      </c>
      <c r="J2301" s="5">
        <v>12.62</v>
      </c>
      <c r="K2301" s="5" t="s">
        <v>21</v>
      </c>
      <c r="L2301" s="5" t="s">
        <v>9157</v>
      </c>
      <c r="M2301" s="5" t="s">
        <v>9140</v>
      </c>
      <c r="N2301" s="7" t="str">
        <f>HYPERLINK("C:\Users\alexa\YandexDisk\Книги\Программирование\Java\How to Read Java V3 2022.pdf","How to Read Java V3 2022.pdf")</f>
        <v>How to Read Java V3 2022.pdf</v>
      </c>
      <c r="O2301" s="5" t="s">
        <v>9158</v>
      </c>
    </row>
    <row r="2302" spans="1:15" ht="165.6" x14ac:dyDescent="0.3">
      <c r="A2302" s="2">
        <v>2301</v>
      </c>
      <c r="B2302" s="3" t="s">
        <v>9159</v>
      </c>
      <c r="C2302" s="3" t="s">
        <v>9160</v>
      </c>
      <c r="D2302" s="3" t="s">
        <v>71</v>
      </c>
      <c r="E2302" s="3" t="s">
        <v>227</v>
      </c>
      <c r="F2302" s="3" t="s">
        <v>9137</v>
      </c>
      <c r="G2302" s="3" t="s">
        <v>8458</v>
      </c>
      <c r="H2302" s="3" t="s">
        <v>9138</v>
      </c>
      <c r="I2302" s="3" t="s">
        <v>20</v>
      </c>
      <c r="J2302" s="3">
        <v>7.76</v>
      </c>
      <c r="K2302" s="3" t="s">
        <v>21</v>
      </c>
      <c r="L2302" s="3" t="s">
        <v>9161</v>
      </c>
      <c r="M2302" s="3" t="s">
        <v>9140</v>
      </c>
      <c r="N2302" s="6" t="str">
        <f>HYPERLINK("C:\Users\alexa\YandexDisk\Книги\Программирование\Java\Java 17 Recipes A Problem-Solution Approach.pdf","Java 17 Recipes A Problem-Solution Approach.pdf")</f>
        <v>Java 17 Recipes A Problem-Solution Approach.pdf</v>
      </c>
      <c r="O2302" s="3" t="s">
        <v>9162</v>
      </c>
    </row>
    <row r="2303" spans="1:15" ht="165.6" x14ac:dyDescent="0.3">
      <c r="A2303" s="4">
        <v>2302</v>
      </c>
      <c r="B2303" s="5" t="s">
        <v>9163</v>
      </c>
      <c r="C2303" s="5" t="s">
        <v>8853</v>
      </c>
      <c r="D2303" s="5" t="s">
        <v>71</v>
      </c>
      <c r="E2303" s="5"/>
      <c r="F2303" s="5" t="s">
        <v>9137</v>
      </c>
      <c r="G2303" s="5" t="s">
        <v>8458</v>
      </c>
      <c r="H2303" s="5" t="s">
        <v>9138</v>
      </c>
      <c r="I2303" s="5" t="s">
        <v>20</v>
      </c>
      <c r="J2303" s="5">
        <v>9.5500000000000007</v>
      </c>
      <c r="K2303" s="5" t="s">
        <v>21</v>
      </c>
      <c r="L2303" s="5" t="s">
        <v>9164</v>
      </c>
      <c r="M2303" s="5" t="s">
        <v>9140</v>
      </c>
      <c r="N2303" s="7" t="str">
        <f>HYPERLINK("C:\Users\alexa\YandexDisk\Книги\Программирование\Java\Java A Beginners Guide, 9th Edition 2022.pdf","Java A Beginners Guide, 9th Edition 2022.pdf")</f>
        <v>Java A Beginners Guide, 9th Edition 2022.pdf</v>
      </c>
      <c r="O2303" s="5" t="s">
        <v>9165</v>
      </c>
    </row>
    <row r="2304" spans="1:15" ht="165.6" x14ac:dyDescent="0.3">
      <c r="A2304" s="2">
        <v>2303</v>
      </c>
      <c r="B2304" s="3" t="s">
        <v>9166</v>
      </c>
      <c r="C2304" s="3" t="s">
        <v>9167</v>
      </c>
      <c r="D2304" s="3" t="s">
        <v>71</v>
      </c>
      <c r="E2304" s="3" t="s">
        <v>372</v>
      </c>
      <c r="F2304" s="3" t="s">
        <v>9137</v>
      </c>
      <c r="G2304" s="3" t="s">
        <v>8458</v>
      </c>
      <c r="H2304" s="3" t="s">
        <v>9138</v>
      </c>
      <c r="I2304" s="3" t="s">
        <v>20</v>
      </c>
      <c r="J2304" s="3">
        <v>5.38</v>
      </c>
      <c r="K2304" s="3" t="s">
        <v>21</v>
      </c>
      <c r="L2304" s="3" t="s">
        <v>9168</v>
      </c>
      <c r="M2304" s="3" t="s">
        <v>9140</v>
      </c>
      <c r="N2304" s="6" t="str">
        <f>HYPERLINK("C:\Users\alexa\YandexDisk\Книги\Программирование\Java\Java for Web Development Create Full-..pdf","Java for Web Development Create Full-..pdf")</f>
        <v>Java for Web Development Create Full-..pdf</v>
      </c>
      <c r="O2304" s="3" t="s">
        <v>9169</v>
      </c>
    </row>
    <row r="2305" spans="1:15" ht="165.6" x14ac:dyDescent="0.3">
      <c r="A2305" s="4">
        <v>2304</v>
      </c>
      <c r="B2305" s="5" t="s">
        <v>9170</v>
      </c>
      <c r="C2305" s="5" t="s">
        <v>9171</v>
      </c>
      <c r="D2305" s="5" t="s">
        <v>71</v>
      </c>
      <c r="E2305" s="5" t="s">
        <v>442</v>
      </c>
      <c r="F2305" s="5" t="s">
        <v>9137</v>
      </c>
      <c r="G2305" s="5" t="s">
        <v>8458</v>
      </c>
      <c r="H2305" s="5" t="s">
        <v>9138</v>
      </c>
      <c r="I2305" s="5" t="s">
        <v>20</v>
      </c>
      <c r="J2305" s="5">
        <v>33.74</v>
      </c>
      <c r="K2305" s="5" t="s">
        <v>21</v>
      </c>
      <c r="L2305" s="5" t="s">
        <v>9172</v>
      </c>
      <c r="M2305" s="5" t="s">
        <v>9140</v>
      </c>
      <c r="N2305" s="7" t="str">
        <f>HYPERLINK("C:\Users\alexa\YandexDisk\Книги\Программирование\Java\Java Head First 2022.pdf","Java Head First 2022.pdf")</f>
        <v>Java Head First 2022.pdf</v>
      </c>
      <c r="O2305" s="5" t="s">
        <v>9173</v>
      </c>
    </row>
    <row r="2306" spans="1:15" ht="151.80000000000001" x14ac:dyDescent="0.3">
      <c r="A2306" s="2">
        <v>2305</v>
      </c>
      <c r="B2306" s="3" t="s">
        <v>9174</v>
      </c>
      <c r="C2306" s="3" t="s">
        <v>9175</v>
      </c>
      <c r="D2306" s="3" t="s">
        <v>71</v>
      </c>
      <c r="E2306" s="3" t="s">
        <v>536</v>
      </c>
      <c r="F2306" s="3" t="s">
        <v>9137</v>
      </c>
      <c r="G2306" s="3" t="s">
        <v>8458</v>
      </c>
      <c r="H2306" s="3" t="s">
        <v>9138</v>
      </c>
      <c r="I2306" s="3" t="s">
        <v>20</v>
      </c>
      <c r="J2306" s="3">
        <v>6.42</v>
      </c>
      <c r="K2306" s="3" t="s">
        <v>21</v>
      </c>
      <c r="L2306" s="3" t="s">
        <v>9176</v>
      </c>
      <c r="M2306" s="3" t="s">
        <v>9140</v>
      </c>
      <c r="N2306" s="6" t="str">
        <f>HYPERLINK("C:\Users\alexa\YandexDisk\Книги\Программирование\Java\Java Persistence with Spring Data and Hibernate 2022.pdf","Java Persistence with Spring Data and Hibernate 2022.pdf")</f>
        <v>Java Persistence with Spring Data and Hibernate 2022.pdf</v>
      </c>
      <c r="O2306" s="3" t="s">
        <v>9177</v>
      </c>
    </row>
    <row r="2307" spans="1:15" ht="193.2" x14ac:dyDescent="0.3">
      <c r="A2307" s="4">
        <v>2306</v>
      </c>
      <c r="B2307" s="5" t="s">
        <v>9178</v>
      </c>
      <c r="C2307" s="5" t="s">
        <v>9179</v>
      </c>
      <c r="D2307" s="5" t="s">
        <v>71</v>
      </c>
      <c r="E2307" s="5" t="s">
        <v>372</v>
      </c>
      <c r="F2307" s="5" t="s">
        <v>9137</v>
      </c>
      <c r="G2307" s="5" t="s">
        <v>8458</v>
      </c>
      <c r="H2307" s="5" t="s">
        <v>9138</v>
      </c>
      <c r="I2307" s="5" t="s">
        <v>20</v>
      </c>
      <c r="J2307" s="5">
        <v>3.16</v>
      </c>
      <c r="K2307" s="5" t="s">
        <v>21</v>
      </c>
      <c r="L2307" s="5" t="s">
        <v>9180</v>
      </c>
      <c r="M2307" s="5" t="s">
        <v>9140</v>
      </c>
      <c r="N2307" s="7" t="str">
        <f>HYPERLINK("C:\Users\alexa\YandexDisk\Книги\Программирование\Java\Java Professional Interview Guide.pdf","Java Professional Interview Guide.pdf")</f>
        <v>Java Professional Interview Guide.pdf</v>
      </c>
      <c r="O2307" s="5" t="s">
        <v>9181</v>
      </c>
    </row>
    <row r="2308" spans="1:15" ht="138" x14ac:dyDescent="0.3">
      <c r="A2308" s="2">
        <v>2307</v>
      </c>
      <c r="B2308" s="3" t="s">
        <v>9182</v>
      </c>
      <c r="C2308" s="3"/>
      <c r="D2308" s="3" t="s">
        <v>77</v>
      </c>
      <c r="E2308" s="3"/>
      <c r="F2308" s="3" t="s">
        <v>9137</v>
      </c>
      <c r="G2308" s="3" t="s">
        <v>8458</v>
      </c>
      <c r="H2308" s="3" t="s">
        <v>9138</v>
      </c>
      <c r="I2308" s="3" t="s">
        <v>20</v>
      </c>
      <c r="J2308" s="3">
        <v>11.89</v>
      </c>
      <c r="K2308" s="3" t="s">
        <v>21</v>
      </c>
      <c r="L2308" s="3" t="s">
        <v>9183</v>
      </c>
      <c r="M2308" s="3" t="s">
        <v>9140</v>
      </c>
      <c r="N2308" s="6" t="str">
        <f>HYPERLINK("C:\Users\alexa\YandexDisk\Книги\Программирование\Java\Java в облаке 2019.pdf","Java в облаке 2019.pdf")</f>
        <v>Java в облаке 2019.pdf</v>
      </c>
      <c r="O2308" s="3" t="s">
        <v>9184</v>
      </c>
    </row>
    <row r="2309" spans="1:15" ht="179.4" x14ac:dyDescent="0.3">
      <c r="A2309" s="4">
        <v>2308</v>
      </c>
      <c r="B2309" s="5" t="s">
        <v>9185</v>
      </c>
      <c r="C2309" s="5" t="s">
        <v>9186</v>
      </c>
      <c r="D2309" s="5" t="s">
        <v>77</v>
      </c>
      <c r="E2309" s="5" t="s">
        <v>2733</v>
      </c>
      <c r="F2309" s="5" t="s">
        <v>9137</v>
      </c>
      <c r="G2309" s="5" t="s">
        <v>8458</v>
      </c>
      <c r="H2309" s="5" t="s">
        <v>9138</v>
      </c>
      <c r="I2309" s="5" t="s">
        <v>20</v>
      </c>
      <c r="J2309" s="5">
        <v>18.510000000000002</v>
      </c>
      <c r="K2309" s="5" t="s">
        <v>21</v>
      </c>
      <c r="L2309" s="5" t="s">
        <v>9187</v>
      </c>
      <c r="M2309" s="5" t="s">
        <v>9140</v>
      </c>
      <c r="N2309" s="7" t="str">
        <f>HYPERLINK("C:\Users\alexa\YandexDisk\Книги\Программирование\Java\Java Задачи.pdf","Java Задачи.pdf")</f>
        <v>Java Задачи.pdf</v>
      </c>
      <c r="O2309" s="5" t="s">
        <v>9188</v>
      </c>
    </row>
    <row r="2310" spans="1:15" ht="151.80000000000001" x14ac:dyDescent="0.3">
      <c r="A2310" s="2">
        <v>2309</v>
      </c>
      <c r="B2310" s="3" t="s">
        <v>9189</v>
      </c>
      <c r="C2310" s="3" t="s">
        <v>9190</v>
      </c>
      <c r="D2310" s="3" t="s">
        <v>77</v>
      </c>
      <c r="E2310" s="3" t="s">
        <v>260</v>
      </c>
      <c r="F2310" s="3" t="s">
        <v>9137</v>
      </c>
      <c r="G2310" s="3" t="s">
        <v>8458</v>
      </c>
      <c r="H2310" s="3" t="s">
        <v>9138</v>
      </c>
      <c r="I2310" s="3" t="s">
        <v>20</v>
      </c>
      <c r="J2310" s="3">
        <v>12.92</v>
      </c>
      <c r="K2310" s="3" t="s">
        <v>21</v>
      </c>
      <c r="L2310" s="3" t="s">
        <v>9191</v>
      </c>
      <c r="M2310" s="3" t="s">
        <v>9140</v>
      </c>
      <c r="N2310" s="6" t="str">
        <f>HYPERLINK("C:\Users\alexa\YandexDisk\Книги\Программирование\Java\Java Справочник  разработчика 7th 2018.pdf","Java Справочник  разработчика 7th 2018.pdf")</f>
        <v>Java Справочник  разработчика 7th 2018.pdf</v>
      </c>
      <c r="O2310" s="3" t="s">
        <v>9192</v>
      </c>
    </row>
    <row r="2311" spans="1:15" ht="207" x14ac:dyDescent="0.3">
      <c r="A2311" s="4">
        <v>2310</v>
      </c>
      <c r="B2311" s="5" t="s">
        <v>9193</v>
      </c>
      <c r="C2311" s="5" t="s">
        <v>9194</v>
      </c>
      <c r="D2311" s="5" t="s">
        <v>77</v>
      </c>
      <c r="E2311" s="5" t="s">
        <v>2124</v>
      </c>
      <c r="F2311" s="5" t="s">
        <v>9137</v>
      </c>
      <c r="G2311" s="5" t="s">
        <v>8458</v>
      </c>
      <c r="H2311" s="5" t="s">
        <v>9138</v>
      </c>
      <c r="I2311" s="5" t="s">
        <v>20</v>
      </c>
      <c r="J2311" s="5">
        <v>33.659999999999997</v>
      </c>
      <c r="K2311" s="5" t="s">
        <v>21</v>
      </c>
      <c r="L2311" s="5" t="s">
        <v>9195</v>
      </c>
      <c r="M2311" s="5" t="s">
        <v>9140</v>
      </c>
      <c r="N2311" s="7" t="str">
        <f>HYPERLINK("C:\Users\alexa\YandexDisk\Книги\Программирование\Java\Java эффективное программирование.pdf","Java эффективное программирование.pdf")</f>
        <v>Java эффективное программирование.pdf</v>
      </c>
      <c r="O2311" s="5" t="s">
        <v>9196</v>
      </c>
    </row>
    <row r="2312" spans="1:15" ht="138" x14ac:dyDescent="0.3">
      <c r="A2312" s="2">
        <v>2311</v>
      </c>
      <c r="B2312" s="3" t="s">
        <v>9197</v>
      </c>
      <c r="C2312" s="3" t="s">
        <v>9198</v>
      </c>
      <c r="D2312" s="3" t="s">
        <v>27</v>
      </c>
      <c r="E2312" s="3" t="s">
        <v>9199</v>
      </c>
      <c r="F2312" s="3" t="s">
        <v>9137</v>
      </c>
      <c r="G2312" s="3" t="s">
        <v>8458</v>
      </c>
      <c r="H2312" s="3" t="s">
        <v>9138</v>
      </c>
      <c r="I2312" s="3" t="s">
        <v>20</v>
      </c>
      <c r="J2312" s="3">
        <v>26</v>
      </c>
      <c r="K2312" s="3" t="s">
        <v>21</v>
      </c>
      <c r="L2312" s="3" t="s">
        <v>9200</v>
      </c>
      <c r="M2312" s="3" t="s">
        <v>9140</v>
      </c>
      <c r="N2312" s="6" t="str">
        <f>HYPERLINK("C:\Users\alexa\YandexDisk\Книги\Программирование\Java\Java, устранение проблем.pdf","Java, устранение проблем.pdf")</f>
        <v>Java, устранение проблем.pdf</v>
      </c>
      <c r="O2312" s="3" t="s">
        <v>9201</v>
      </c>
    </row>
    <row r="2313" spans="1:15" ht="165.6" x14ac:dyDescent="0.3">
      <c r="A2313" s="4">
        <v>2312</v>
      </c>
      <c r="B2313" s="5" t="s">
        <v>9202</v>
      </c>
      <c r="C2313" s="5" t="s">
        <v>9203</v>
      </c>
      <c r="D2313" s="5" t="s">
        <v>1022</v>
      </c>
      <c r="E2313" s="5" t="s">
        <v>9204</v>
      </c>
      <c r="F2313" s="5" t="s">
        <v>9137</v>
      </c>
      <c r="G2313" s="5" t="s">
        <v>8458</v>
      </c>
      <c r="H2313" s="5" t="s">
        <v>9138</v>
      </c>
      <c r="I2313" s="5" t="s">
        <v>20</v>
      </c>
      <c r="J2313" s="5">
        <v>16.68</v>
      </c>
      <c r="K2313" s="5" t="s">
        <v>21</v>
      </c>
      <c r="L2313" s="5" t="s">
        <v>9205</v>
      </c>
      <c r="M2313" s="5" t="s">
        <v>9140</v>
      </c>
      <c r="N2313" s="7" t="str">
        <f>HYPERLINK("C:\Users\alexa\YandexDisk\Книги\Программирование\Java\java-se-8-bazovyiy-kurs.pdf","java-se-8-bazovyiy-kurs.pdf")</f>
        <v>java-se-8-bazovyiy-kurs.pdf</v>
      </c>
      <c r="O2313" s="5" t="s">
        <v>9206</v>
      </c>
    </row>
    <row r="2314" spans="1:15" ht="179.4" x14ac:dyDescent="0.3">
      <c r="A2314" s="2">
        <v>2313</v>
      </c>
      <c r="B2314" s="3" t="s">
        <v>9207</v>
      </c>
      <c r="C2314" s="3" t="s">
        <v>9208</v>
      </c>
      <c r="D2314" s="3" t="s">
        <v>77</v>
      </c>
      <c r="E2314" s="3" t="s">
        <v>2124</v>
      </c>
      <c r="F2314" s="3" t="s">
        <v>9137</v>
      </c>
      <c r="G2314" s="3" t="s">
        <v>8458</v>
      </c>
      <c r="H2314" s="3" t="s">
        <v>9138</v>
      </c>
      <c r="I2314" s="3" t="s">
        <v>20</v>
      </c>
      <c r="J2314" s="3">
        <v>59.31</v>
      </c>
      <c r="K2314" s="3" t="s">
        <v>21</v>
      </c>
      <c r="L2314" s="3" t="s">
        <v>9209</v>
      </c>
      <c r="M2314" s="3" t="s">
        <v>9140</v>
      </c>
      <c r="N2314" s="6" t="str">
        <f>HYPERLINK("C:\Users\alexa\YandexDisk\Книги\Программирование\Java\Java. Оптимизация программ.pdf","Java. Оптимизация программ.pdf")</f>
        <v>Java. Оптимизация программ.pdf</v>
      </c>
      <c r="O2314" s="3" t="s">
        <v>9210</v>
      </c>
    </row>
    <row r="2315" spans="1:15" ht="207" x14ac:dyDescent="0.3">
      <c r="A2315" s="4">
        <v>2314</v>
      </c>
      <c r="B2315" s="5" t="s">
        <v>9211</v>
      </c>
      <c r="C2315" s="5" t="s">
        <v>8569</v>
      </c>
      <c r="D2315" s="5" t="s">
        <v>71</v>
      </c>
      <c r="E2315" s="5" t="s">
        <v>1431</v>
      </c>
      <c r="F2315" s="5" t="s">
        <v>9137</v>
      </c>
      <c r="G2315" s="5" t="s">
        <v>8458</v>
      </c>
      <c r="H2315" s="5" t="s">
        <v>9138</v>
      </c>
      <c r="I2315" s="5" t="s">
        <v>20</v>
      </c>
      <c r="J2315" s="5">
        <v>85.66</v>
      </c>
      <c r="K2315" s="5" t="s">
        <v>21</v>
      </c>
      <c r="L2315" s="5" t="s">
        <v>9212</v>
      </c>
      <c r="M2315" s="5" t="s">
        <v>9140</v>
      </c>
      <c r="N2315" s="7" t="str">
        <f>HYPERLINK("C:\Users\alexa\YandexDisk\Книги\Программирование\Java\Java. Полное руководство 2022.pdf","Java. Полное руководство 2022.pdf")</f>
        <v>Java. Полное руководство 2022.pdf</v>
      </c>
      <c r="O2315" s="5" t="s">
        <v>9213</v>
      </c>
    </row>
    <row r="2316" spans="1:15" ht="151.80000000000001" x14ac:dyDescent="0.3">
      <c r="A2316" s="2">
        <v>2315</v>
      </c>
      <c r="B2316" s="3" t="s">
        <v>9214</v>
      </c>
      <c r="C2316" s="3" t="s">
        <v>9215</v>
      </c>
      <c r="D2316" s="3" t="s">
        <v>17</v>
      </c>
      <c r="E2316" s="3" t="s">
        <v>3965</v>
      </c>
      <c r="F2316" s="3" t="s">
        <v>9137</v>
      </c>
      <c r="G2316" s="3" t="s">
        <v>8458</v>
      </c>
      <c r="H2316" s="3" t="s">
        <v>9138</v>
      </c>
      <c r="I2316" s="3" t="s">
        <v>20</v>
      </c>
      <c r="J2316" s="3">
        <v>18.52</v>
      </c>
      <c r="K2316" s="3" t="s">
        <v>21</v>
      </c>
      <c r="L2316" s="3" t="s">
        <v>9216</v>
      </c>
      <c r="M2316" s="3" t="s">
        <v>9140</v>
      </c>
      <c r="N2316" s="6" t="str">
        <f>HYPERLINK("C:\Users\alexa\YandexDisk\Книги\Программирование\Java\Java. Решение практических задач 2021.pdf","Java. Решение практических задач 2021.pdf")</f>
        <v>Java. Решение практических задач 2021.pdf</v>
      </c>
      <c r="O2316" s="3" t="s">
        <v>9217</v>
      </c>
    </row>
    <row r="2317" spans="1:15" ht="179.4" x14ac:dyDescent="0.3">
      <c r="A2317" s="4">
        <v>2316</v>
      </c>
      <c r="B2317" s="5" t="s">
        <v>9218</v>
      </c>
      <c r="C2317" s="5" t="s">
        <v>8569</v>
      </c>
      <c r="D2317" s="5" t="s">
        <v>27</v>
      </c>
      <c r="E2317" s="5" t="s">
        <v>9219</v>
      </c>
      <c r="F2317" s="5" t="s">
        <v>9137</v>
      </c>
      <c r="G2317" s="5" t="s">
        <v>8458</v>
      </c>
      <c r="H2317" s="5" t="s">
        <v>9138</v>
      </c>
      <c r="I2317" s="5" t="s">
        <v>20</v>
      </c>
      <c r="J2317" s="5">
        <v>25.89</v>
      </c>
      <c r="K2317" s="5" t="s">
        <v>21</v>
      </c>
      <c r="L2317" s="5" t="s">
        <v>9220</v>
      </c>
      <c r="M2317" s="5" t="s">
        <v>9140</v>
      </c>
      <c r="N2317" s="7" t="str">
        <f>HYPERLINK("C:\Users\alexa\YandexDisk\Книги\Программирование\Java\Java. Руководство для начинающих, 9-е изд..pdf","Java. Руководство для начинающих, 9-е изд..pdf")</f>
        <v>Java. Руководство для начинающих, 9-е изд..pdf</v>
      </c>
      <c r="O2317" s="5" t="s">
        <v>9221</v>
      </c>
    </row>
    <row r="2318" spans="1:15" ht="151.80000000000001" x14ac:dyDescent="0.3">
      <c r="A2318" s="2">
        <v>2317</v>
      </c>
      <c r="B2318" s="3" t="s">
        <v>9142</v>
      </c>
      <c r="C2318" s="3" t="s">
        <v>8853</v>
      </c>
      <c r="D2318" s="3" t="s">
        <v>77</v>
      </c>
      <c r="E2318" s="3" t="s">
        <v>9222</v>
      </c>
      <c r="F2318" s="3" t="s">
        <v>9137</v>
      </c>
      <c r="G2318" s="3" t="s">
        <v>8458</v>
      </c>
      <c r="H2318" s="3" t="s">
        <v>9138</v>
      </c>
      <c r="I2318" s="3" t="s">
        <v>20</v>
      </c>
      <c r="J2318" s="3">
        <v>11.64</v>
      </c>
      <c r="K2318" s="3" t="s">
        <v>21</v>
      </c>
      <c r="L2318" s="3" t="s">
        <v>9223</v>
      </c>
      <c r="M2318" s="3" t="s">
        <v>9140</v>
      </c>
      <c r="N2318" s="6" t="str">
        <f>HYPERLINK("C:\Users\alexa\YandexDisk\Книги\Программирование\Java\Java. Руководство для начинающих.pdf","Java. Руководство для начинающих.pdf")</f>
        <v>Java. Руководство для начинающих.pdf</v>
      </c>
      <c r="O2318" s="3" t="s">
        <v>9224</v>
      </c>
    </row>
    <row r="2319" spans="1:15" ht="138" x14ac:dyDescent="0.3">
      <c r="A2319" s="4">
        <v>2318</v>
      </c>
      <c r="B2319" s="5" t="s">
        <v>9225</v>
      </c>
      <c r="C2319" s="5" t="s">
        <v>9226</v>
      </c>
      <c r="D2319" s="5" t="s">
        <v>59</v>
      </c>
      <c r="E2319" s="5" t="s">
        <v>372</v>
      </c>
      <c r="F2319" s="5" t="s">
        <v>9137</v>
      </c>
      <c r="G2319" s="5" t="s">
        <v>8458</v>
      </c>
      <c r="H2319" s="5" t="s">
        <v>9138</v>
      </c>
      <c r="I2319" s="5" t="s">
        <v>20</v>
      </c>
      <c r="J2319" s="5">
        <v>3.1</v>
      </c>
      <c r="K2319" s="5" t="s">
        <v>21</v>
      </c>
      <c r="L2319" s="5" t="s">
        <v>9227</v>
      </c>
      <c r="M2319" s="5" t="s">
        <v>9140</v>
      </c>
      <c r="N2319" s="7" t="str">
        <f>HYPERLINK("C:\Users\alexa\YandexDisk\Книги\Программирование\Java\JAVA.Programming.Simplified.pdf","JAVA.Programming.Simplified.pdf")</f>
        <v>JAVA.Programming.Simplified.pdf</v>
      </c>
      <c r="O2319" s="5" t="s">
        <v>9228</v>
      </c>
    </row>
    <row r="2320" spans="1:15" ht="165.6" x14ac:dyDescent="0.3">
      <c r="A2320" s="2">
        <v>2319</v>
      </c>
      <c r="B2320" s="3" t="s">
        <v>9229</v>
      </c>
      <c r="C2320" s="3" t="s">
        <v>9230</v>
      </c>
      <c r="D2320" s="3" t="s">
        <v>71</v>
      </c>
      <c r="E2320" s="3" t="s">
        <v>227</v>
      </c>
      <c r="F2320" s="3" t="s">
        <v>9137</v>
      </c>
      <c r="G2320" s="3" t="s">
        <v>8458</v>
      </c>
      <c r="H2320" s="3" t="s">
        <v>9138</v>
      </c>
      <c r="I2320" s="3" t="s">
        <v>280</v>
      </c>
      <c r="J2320" s="3">
        <v>5.43</v>
      </c>
      <c r="K2320" s="3" t="s">
        <v>21</v>
      </c>
      <c r="L2320" s="3" t="s">
        <v>9231</v>
      </c>
      <c r="M2320" s="3" t="s">
        <v>9140</v>
      </c>
      <c r="N2320" s="6" t="str">
        <f>HYPERLINK("C:\Users\alexa\YandexDisk\Книги\Программирование\Java\JavaChallenges 100 proven task.epub","JavaChallenges 100 proven task.epub")</f>
        <v>JavaChallenges 100 proven task.epub</v>
      </c>
      <c r="O2320" s="3" t="s">
        <v>9232</v>
      </c>
    </row>
    <row r="2321" spans="1:15" ht="179.4" x14ac:dyDescent="0.3">
      <c r="A2321" s="4">
        <v>2320</v>
      </c>
      <c r="B2321" s="5" t="s">
        <v>9233</v>
      </c>
      <c r="C2321" s="5" t="s">
        <v>9234</v>
      </c>
      <c r="D2321" s="5" t="s">
        <v>17</v>
      </c>
      <c r="E2321" s="5"/>
      <c r="F2321" s="5" t="s">
        <v>9137</v>
      </c>
      <c r="G2321" s="5" t="s">
        <v>8458</v>
      </c>
      <c r="H2321" s="5" t="s">
        <v>9138</v>
      </c>
      <c r="I2321" s="5" t="s">
        <v>20</v>
      </c>
      <c r="J2321" s="5">
        <v>0.94</v>
      </c>
      <c r="K2321" s="5" t="s">
        <v>21</v>
      </c>
      <c r="L2321" s="5" t="s">
        <v>9235</v>
      </c>
      <c r="M2321" s="5" t="s">
        <v>9140</v>
      </c>
      <c r="N2321" s="7" t="str">
        <f>HYPERLINK("C:\Users\alexa\YandexDisk\Книги\Программирование\Java\Java_2021_Beginners_Programming_Guide_33_Best_Java_Tips_and_Tricks.pdf","Java_2021_Beginners_Programming_Guide_33_Best_Java_Tips_and_Tricks.pdf")</f>
        <v>Java_2021_Beginners_Programming_Guide_33_Best_Java_Tips_and_Tricks.pdf</v>
      </c>
      <c r="O2321" s="5" t="s">
        <v>9236</v>
      </c>
    </row>
    <row r="2322" spans="1:15" ht="27.6" x14ac:dyDescent="0.3">
      <c r="A2322" s="2">
        <v>2321</v>
      </c>
      <c r="B2322" s="3" t="s">
        <v>9237</v>
      </c>
      <c r="C2322" s="3"/>
      <c r="D2322" s="3"/>
      <c r="E2322" s="3"/>
      <c r="F2322" s="3" t="s">
        <v>9137</v>
      </c>
      <c r="G2322" s="3" t="s">
        <v>8458</v>
      </c>
      <c r="H2322" s="3" t="s">
        <v>9138</v>
      </c>
      <c r="I2322" s="3" t="s">
        <v>9238</v>
      </c>
      <c r="J2322" s="3">
        <v>0</v>
      </c>
      <c r="K2322" s="3" t="s">
        <v>21</v>
      </c>
      <c r="L2322" s="3" t="s">
        <v>9237</v>
      </c>
      <c r="M2322" s="3" t="s">
        <v>9140</v>
      </c>
      <c r="N2322" s="6" t="str">
        <f>HYPERLINK("C:\Users\alexa\YandexDisk\Книги\Программирование\Java\java_url.txt","java_url.txt")</f>
        <v>java_url.txt</v>
      </c>
      <c r="O2322" s="3" t="s">
        <v>930</v>
      </c>
    </row>
    <row r="2323" spans="1:15" ht="179.4" x14ac:dyDescent="0.3">
      <c r="A2323" s="4">
        <v>2322</v>
      </c>
      <c r="B2323" s="5" t="s">
        <v>9239</v>
      </c>
      <c r="C2323" s="5" t="s">
        <v>9240</v>
      </c>
      <c r="D2323" s="5" t="s">
        <v>59</v>
      </c>
      <c r="E2323" s="5" t="s">
        <v>18</v>
      </c>
      <c r="F2323" s="5" t="s">
        <v>9137</v>
      </c>
      <c r="G2323" s="5" t="s">
        <v>8458</v>
      </c>
      <c r="H2323" s="5" t="s">
        <v>9138</v>
      </c>
      <c r="I2323" s="5" t="s">
        <v>20</v>
      </c>
      <c r="J2323" s="5">
        <v>8.09</v>
      </c>
      <c r="K2323" s="5" t="s">
        <v>21</v>
      </c>
      <c r="L2323" s="5" t="s">
        <v>9241</v>
      </c>
      <c r="M2323" s="5" t="s">
        <v>9140</v>
      </c>
      <c r="N2323" s="7" t="str">
        <f>HYPERLINK("C:\Users\alexa\YandexDisk\Книги\Программирование\Java\Java_для_всех 2020.pdf","Java_для_всех 2020.pdf")</f>
        <v>Java_для_всех 2020.pdf</v>
      </c>
      <c r="O2323" s="5" t="s">
        <v>9242</v>
      </c>
    </row>
    <row r="2324" spans="1:15" ht="151.80000000000001" x14ac:dyDescent="0.3">
      <c r="A2324" s="2">
        <v>2323</v>
      </c>
      <c r="B2324" s="3" t="s">
        <v>9243</v>
      </c>
      <c r="C2324" s="3" t="s">
        <v>9244</v>
      </c>
      <c r="D2324" s="3" t="s">
        <v>186</v>
      </c>
      <c r="E2324" s="3" t="s">
        <v>18</v>
      </c>
      <c r="F2324" s="3" t="s">
        <v>9137</v>
      </c>
      <c r="G2324" s="3" t="s">
        <v>8458</v>
      </c>
      <c r="H2324" s="3" t="s">
        <v>9138</v>
      </c>
      <c r="I2324" s="3" t="s">
        <v>20</v>
      </c>
      <c r="J2324" s="3">
        <v>24.88</v>
      </c>
      <c r="K2324" s="3" t="s">
        <v>21</v>
      </c>
      <c r="L2324" s="3" t="s">
        <v>9245</v>
      </c>
      <c r="M2324" s="3" t="s">
        <v>9140</v>
      </c>
      <c r="N2324" s="6" t="str">
        <f>HYPERLINK("C:\Users\alexa\YandexDisk\Книги\Программирование\Java\Java_новое поколение разработки.pdf","Java_новое поколение разработки.pdf")</f>
        <v>Java_новое поколение разработки.pdf</v>
      </c>
      <c r="O2324" s="3" t="s">
        <v>9246</v>
      </c>
    </row>
    <row r="2325" spans="1:15" ht="165.6" x14ac:dyDescent="0.3">
      <c r="A2325" s="4">
        <v>2324</v>
      </c>
      <c r="B2325" s="5" t="s">
        <v>971</v>
      </c>
      <c r="C2325" s="5" t="s">
        <v>972</v>
      </c>
      <c r="D2325" s="5" t="s">
        <v>71</v>
      </c>
      <c r="E2325" s="5" t="s">
        <v>536</v>
      </c>
      <c r="F2325" s="5" t="s">
        <v>9137</v>
      </c>
      <c r="G2325" s="5" t="s">
        <v>8458</v>
      </c>
      <c r="H2325" s="5" t="s">
        <v>9138</v>
      </c>
      <c r="I2325" s="5" t="s">
        <v>20</v>
      </c>
      <c r="J2325" s="5">
        <v>14.15</v>
      </c>
      <c r="K2325" s="5" t="s">
        <v>21</v>
      </c>
      <c r="L2325" s="5" t="s">
        <v>9247</v>
      </c>
      <c r="M2325" s="5" t="s">
        <v>9140</v>
      </c>
      <c r="N2325" s="7" t="str">
        <f>HYPERLINK("C:\Users\alexa\YandexDisk\Книги\Программирование\Java\Kafka in Action.pdf","Kafka in Action.pdf")</f>
        <v>Kafka in Action.pdf</v>
      </c>
      <c r="O2325" s="5" t="s">
        <v>9248</v>
      </c>
    </row>
    <row r="2326" spans="1:15" ht="165.6" x14ac:dyDescent="0.3">
      <c r="A2326" s="2">
        <v>2325</v>
      </c>
      <c r="B2326" s="3" t="s">
        <v>9249</v>
      </c>
      <c r="C2326" s="3" t="s">
        <v>9250</v>
      </c>
      <c r="D2326" s="3" t="s">
        <v>71</v>
      </c>
      <c r="E2326" s="3" t="s">
        <v>536</v>
      </c>
      <c r="F2326" s="3" t="s">
        <v>9137</v>
      </c>
      <c r="G2326" s="3" t="s">
        <v>8458</v>
      </c>
      <c r="H2326" s="3" t="s">
        <v>9138</v>
      </c>
      <c r="I2326" s="3" t="s">
        <v>20</v>
      </c>
      <c r="J2326" s="3">
        <v>24.1</v>
      </c>
      <c r="K2326" s="3" t="s">
        <v>21</v>
      </c>
      <c r="L2326" s="3" t="s">
        <v>9251</v>
      </c>
      <c r="M2326" s="3" t="s">
        <v>9140</v>
      </c>
      <c r="N2326" s="6" t="str">
        <f>HYPERLINK("C:\Users\alexa\YandexDisk\Книги\Программирование\Java\Kafka Streams in Action, Second Edition 2022.pdf","Kafka Streams in Action, Second Edition 2022.pdf")</f>
        <v>Kafka Streams in Action, Second Edition 2022.pdf</v>
      </c>
      <c r="O2326" s="3" t="s">
        <v>9252</v>
      </c>
    </row>
    <row r="2327" spans="1:15" ht="138" x14ac:dyDescent="0.3">
      <c r="A2327" s="4">
        <v>2326</v>
      </c>
      <c r="B2327" s="5" t="s">
        <v>9253</v>
      </c>
      <c r="C2327" s="5" t="s">
        <v>9254</v>
      </c>
      <c r="D2327" s="5"/>
      <c r="E2327" s="5"/>
      <c r="F2327" s="5" t="s">
        <v>9137</v>
      </c>
      <c r="G2327" s="5" t="s">
        <v>8458</v>
      </c>
      <c r="H2327" s="5" t="s">
        <v>9138</v>
      </c>
      <c r="I2327" s="5" t="s">
        <v>20</v>
      </c>
      <c r="J2327" s="5">
        <v>39.82</v>
      </c>
      <c r="K2327" s="5" t="s">
        <v>21</v>
      </c>
      <c r="L2327" s="5" t="s">
        <v>9255</v>
      </c>
      <c r="M2327" s="5" t="s">
        <v>9140</v>
      </c>
      <c r="N2327" s="7" t="str">
        <f>HYPERLINK("C:\Users\alexa\YandexDisk\Книги\Программирование\Java\Khorstmann_-_Java_SE_8_Vvodny_kurs.pdf","Khorstmann_-_Java_SE_8_Vvodny_kurs.pdf")</f>
        <v>Khorstmann_-_Java_SE_8_Vvodny_kurs.pdf</v>
      </c>
      <c r="O2327" s="5" t="s">
        <v>9256</v>
      </c>
    </row>
    <row r="2328" spans="1:15" ht="138" x14ac:dyDescent="0.3">
      <c r="A2328" s="2">
        <v>2327</v>
      </c>
      <c r="B2328" s="3" t="s">
        <v>9257</v>
      </c>
      <c r="C2328" s="3" t="s">
        <v>1805</v>
      </c>
      <c r="D2328" s="3" t="s">
        <v>71</v>
      </c>
      <c r="E2328" s="3" t="s">
        <v>2183</v>
      </c>
      <c r="F2328" s="3" t="s">
        <v>9137</v>
      </c>
      <c r="G2328" s="3" t="s">
        <v>8458</v>
      </c>
      <c r="H2328" s="3" t="s">
        <v>9138</v>
      </c>
      <c r="I2328" s="3" t="s">
        <v>20</v>
      </c>
      <c r="J2328" s="3">
        <v>5.4</v>
      </c>
      <c r="K2328" s="3" t="s">
        <v>21</v>
      </c>
      <c r="L2328" s="3" t="s">
        <v>9258</v>
      </c>
      <c r="M2328" s="3" t="s">
        <v>9140</v>
      </c>
      <c r="N2328" s="6" t="str">
        <f>HYPERLINK("C:\Users\alexa\YandexDisk\Книги\Программирование\Java\Mastering Java A Beginners Guide (Sufyan bin Uzayr).pdf","Mastering Java A Beginners Guide (Sufyan bin Uzayr).pdf")</f>
        <v>Mastering Java A Beginners Guide (Sufyan bin Uzayr).pdf</v>
      </c>
      <c r="O2328" s="3" t="s">
        <v>9259</v>
      </c>
    </row>
    <row r="2329" spans="1:15" ht="193.2" x14ac:dyDescent="0.3">
      <c r="A2329" s="4">
        <v>2328</v>
      </c>
      <c r="B2329" s="5" t="s">
        <v>9260</v>
      </c>
      <c r="C2329" s="5" t="s">
        <v>6711</v>
      </c>
      <c r="D2329" s="5" t="s">
        <v>71</v>
      </c>
      <c r="E2329" s="5" t="s">
        <v>227</v>
      </c>
      <c r="F2329" s="5" t="s">
        <v>9137</v>
      </c>
      <c r="G2329" s="5" t="s">
        <v>8458</v>
      </c>
      <c r="H2329" s="5" t="s">
        <v>9138</v>
      </c>
      <c r="I2329" s="5" t="s">
        <v>20</v>
      </c>
      <c r="J2329" s="5">
        <v>27.77</v>
      </c>
      <c r="K2329" s="5" t="s">
        <v>21</v>
      </c>
      <c r="L2329" s="5" t="s">
        <v>9261</v>
      </c>
      <c r="M2329" s="5" t="s">
        <v>9140</v>
      </c>
      <c r="N2329" s="7" t="str">
        <f>HYPERLINK("C:\Users\alexa\YandexDisk\Книги\Программирование\Java\Numerical_Methods_Using_Java_For_Data_Science,_Analysis,_and_Eng.pdf","Numerical_Methods_Using_Java_For_Data_Science,_Analysis,_and_Eng.pdf")</f>
        <v>Numerical_Methods_Using_Java_For_Data_Science,_Analysis,_and_Eng.pdf</v>
      </c>
      <c r="O2329" s="5" t="s">
        <v>9262</v>
      </c>
    </row>
    <row r="2330" spans="1:15" ht="124.2" x14ac:dyDescent="0.3">
      <c r="A2330" s="2">
        <v>2329</v>
      </c>
      <c r="B2330" s="3" t="s">
        <v>9263</v>
      </c>
      <c r="C2330" s="3" t="s">
        <v>9264</v>
      </c>
      <c r="D2330" s="3" t="s">
        <v>71</v>
      </c>
      <c r="E2330" s="3" t="s">
        <v>308</v>
      </c>
      <c r="F2330" s="3" t="s">
        <v>9137</v>
      </c>
      <c r="G2330" s="3" t="s">
        <v>8458</v>
      </c>
      <c r="H2330" s="3" t="s">
        <v>9138</v>
      </c>
      <c r="I2330" s="3" t="s">
        <v>20</v>
      </c>
      <c r="J2330" s="3">
        <v>17.13</v>
      </c>
      <c r="K2330" s="3" t="s">
        <v>21</v>
      </c>
      <c r="L2330" s="3" t="s">
        <v>9265</v>
      </c>
      <c r="M2330" s="3" t="s">
        <v>9140</v>
      </c>
      <c r="N2330" s="6" t="str">
        <f>HYPERLINK("C:\Users\alexa\YandexDisk\Книги\Программирование\Java\Oracle_Certified_Professional_Java_SE_17_Developer_Study_Guide.pdf","Oracle_Certified_Professional_Java_SE_17_Developer_Study_Guide.pdf")</f>
        <v>Oracle_Certified_Professional_Java_SE_17_Developer_Study_Guide.pdf</v>
      </c>
      <c r="O2330" s="3" t="s">
        <v>9266</v>
      </c>
    </row>
    <row r="2331" spans="1:15" ht="165.6" x14ac:dyDescent="0.3">
      <c r="A2331" s="4">
        <v>2330</v>
      </c>
      <c r="B2331" s="5" t="s">
        <v>9267</v>
      </c>
      <c r="C2331" s="5" t="s">
        <v>9268</v>
      </c>
      <c r="D2331" s="5"/>
      <c r="E2331" s="5"/>
      <c r="F2331" s="5" t="s">
        <v>9137</v>
      </c>
      <c r="G2331" s="5" t="s">
        <v>8458</v>
      </c>
      <c r="H2331" s="5" t="s">
        <v>9138</v>
      </c>
      <c r="I2331" s="5" t="s">
        <v>20</v>
      </c>
      <c r="J2331" s="5">
        <v>19.649999999999999</v>
      </c>
      <c r="K2331" s="5" t="s">
        <v>21</v>
      </c>
      <c r="L2331" s="5" t="s">
        <v>9269</v>
      </c>
      <c r="M2331" s="5" t="s">
        <v>9140</v>
      </c>
      <c r="N2331" s="7" t="str">
        <f>HYPERLINK("C:\Users\alexa\YandexDisk\Книги\Программирование\Java\Perry_Xiao_Practical_Java_Programming_for_IoT,_AI,_and_Blockchain.pdf","Perry_Xiao_Practical_Java_Programming_for_IoT,_AI,_and_Blockchain.pdf")</f>
        <v>Perry_Xiao_Practical_Java_Programming_for_IoT,_AI,_and_Blockchain.pdf</v>
      </c>
      <c r="O2331" s="5" t="s">
        <v>9270</v>
      </c>
    </row>
    <row r="2332" spans="1:15" ht="234.6" x14ac:dyDescent="0.3">
      <c r="A2332" s="2">
        <v>2331</v>
      </c>
      <c r="B2332" s="3" t="s">
        <v>9271</v>
      </c>
      <c r="C2332" s="3" t="s">
        <v>9272</v>
      </c>
      <c r="D2332" s="3" t="s">
        <v>59</v>
      </c>
      <c r="E2332" s="3" t="s">
        <v>536</v>
      </c>
      <c r="F2332" s="3" t="s">
        <v>9137</v>
      </c>
      <c r="G2332" s="3" t="s">
        <v>8458</v>
      </c>
      <c r="H2332" s="3" t="s">
        <v>9138</v>
      </c>
      <c r="I2332" s="3" t="s">
        <v>20</v>
      </c>
      <c r="J2332" s="3">
        <v>4.7</v>
      </c>
      <c r="K2332" s="3" t="s">
        <v>21</v>
      </c>
      <c r="L2332" s="3" t="s">
        <v>9273</v>
      </c>
      <c r="M2332" s="3" t="s">
        <v>9140</v>
      </c>
      <c r="N2332" s="6" t="str">
        <f>HYPERLINK("C:\Users\alexa\YandexDisk\Книги\Программирование\Java\Seriously_Good_Software-01.pdf","Seriously_Good_Software-01.pdf")</f>
        <v>Seriously_Good_Software-01.pdf</v>
      </c>
      <c r="O2332" s="3" t="s">
        <v>9274</v>
      </c>
    </row>
    <row r="2333" spans="1:15" ht="165.6" x14ac:dyDescent="0.3">
      <c r="A2333" s="4">
        <v>2332</v>
      </c>
      <c r="B2333" s="5" t="s">
        <v>9275</v>
      </c>
      <c r="C2333" s="5" t="s">
        <v>8853</v>
      </c>
      <c r="D2333" s="5" t="s">
        <v>32</v>
      </c>
      <c r="E2333" s="5" t="s">
        <v>9222</v>
      </c>
      <c r="F2333" s="5" t="s">
        <v>9137</v>
      </c>
      <c r="G2333" s="5" t="s">
        <v>8458</v>
      </c>
      <c r="H2333" s="5" t="s">
        <v>9138</v>
      </c>
      <c r="I2333" s="5" t="s">
        <v>20</v>
      </c>
      <c r="J2333" s="5">
        <v>148.81</v>
      </c>
      <c r="K2333" s="5" t="s">
        <v>21</v>
      </c>
      <c r="L2333" s="5" t="s">
        <v>9276</v>
      </c>
      <c r="M2333" s="5" t="s">
        <v>9140</v>
      </c>
      <c r="N2333" s="7" t="str">
        <f>HYPERLINK("C:\Users\alexa\YandexDisk\Книги\Программирование\Java\shildt_gerbert_java_polnoe_rukovodstvo-2018.pdf","shildt_gerbert_java_polnoe_rukovodstvo-2018.pdf")</f>
        <v>shildt_gerbert_java_polnoe_rukovodstvo-2018.pdf</v>
      </c>
      <c r="O2333" s="5" t="s">
        <v>9277</v>
      </c>
    </row>
    <row r="2334" spans="1:15" ht="165.6" x14ac:dyDescent="0.3">
      <c r="A2334" s="2">
        <v>2333</v>
      </c>
      <c r="B2334" s="3" t="s">
        <v>9278</v>
      </c>
      <c r="C2334" s="3" t="s">
        <v>9279</v>
      </c>
      <c r="D2334" s="3" t="s">
        <v>17</v>
      </c>
      <c r="E2334" s="3" t="s">
        <v>536</v>
      </c>
      <c r="F2334" s="3" t="s">
        <v>9137</v>
      </c>
      <c r="G2334" s="3" t="s">
        <v>8458</v>
      </c>
      <c r="H2334" s="3" t="s">
        <v>9138</v>
      </c>
      <c r="I2334" s="3" t="s">
        <v>20</v>
      </c>
      <c r="J2334" s="3">
        <v>14.61</v>
      </c>
      <c r="K2334" s="3" t="s">
        <v>21</v>
      </c>
      <c r="L2334" s="3" t="s">
        <v>9280</v>
      </c>
      <c r="M2334" s="3" t="s">
        <v>9140</v>
      </c>
      <c r="N2334" s="6" t="str">
        <f>HYPERLINK("C:\Users\alexa\YandexDisk\Книги\Программирование\Java\Somnath_Musib_Spring_Boot_in_Practice_Version_9_Manning_Publications 2021.pdf","Somnath_Musib_Spring_Boot_in_Practice_Version_9_Manning_Publications 2021.pdf")</f>
        <v>Somnath_Musib_Spring_Boot_in_Practice_Version_9_Manning_Publications 2021.pdf</v>
      </c>
      <c r="O2334" s="3" t="s">
        <v>9281</v>
      </c>
    </row>
    <row r="2335" spans="1:15" ht="207" x14ac:dyDescent="0.3">
      <c r="A2335" s="4">
        <v>2334</v>
      </c>
      <c r="B2335" s="5" t="s">
        <v>9282</v>
      </c>
      <c r="C2335" s="5" t="s">
        <v>9283</v>
      </c>
      <c r="D2335" s="5" t="s">
        <v>71</v>
      </c>
      <c r="E2335" s="5" t="s">
        <v>18</v>
      </c>
      <c r="F2335" s="5" t="s">
        <v>9137</v>
      </c>
      <c r="G2335" s="5" t="s">
        <v>8458</v>
      </c>
      <c r="H2335" s="5" t="s">
        <v>9138</v>
      </c>
      <c r="I2335" s="5" t="s">
        <v>20</v>
      </c>
      <c r="J2335" s="5">
        <v>6.31</v>
      </c>
      <c r="K2335" s="5" t="s">
        <v>21</v>
      </c>
      <c r="L2335" s="5" t="s">
        <v>9284</v>
      </c>
      <c r="M2335" s="5" t="s">
        <v>9140</v>
      </c>
      <c r="N2335" s="7" t="str">
        <f>HYPERLINK("C:\Users\alexa\YandexDisk\Книги\Программирование\Java\Spring Boot по-быстрому.pdf","Spring Boot по-быстрому.pdf")</f>
        <v>Spring Boot по-быстрому.pdf</v>
      </c>
      <c r="O2335" s="5" t="s">
        <v>9285</v>
      </c>
    </row>
    <row r="2336" spans="1:15" ht="193.2" x14ac:dyDescent="0.3">
      <c r="A2336" s="2">
        <v>2335</v>
      </c>
      <c r="B2336" s="3" t="s">
        <v>9286</v>
      </c>
      <c r="C2336" s="3" t="s">
        <v>9287</v>
      </c>
      <c r="D2336" s="3" t="s">
        <v>71</v>
      </c>
      <c r="E2336" s="3" t="s">
        <v>269</v>
      </c>
      <c r="F2336" s="3" t="s">
        <v>9137</v>
      </c>
      <c r="G2336" s="3" t="s">
        <v>8458</v>
      </c>
      <c r="H2336" s="3" t="s">
        <v>9138</v>
      </c>
      <c r="I2336" s="3" t="s">
        <v>20</v>
      </c>
      <c r="J2336" s="3">
        <v>34.840000000000003</v>
      </c>
      <c r="K2336" s="3" t="s">
        <v>21</v>
      </c>
      <c r="L2336" s="3" t="s">
        <v>9288</v>
      </c>
      <c r="M2336" s="3" t="s">
        <v>9140</v>
      </c>
      <c r="N2336" s="6" t="str">
        <f>HYPERLINK("C:\Users\alexa\YandexDisk\Книги\Программирование\Java\Spring in Action 2022—05—31.pdf","Spring in Action 2022—05—31.pdf")</f>
        <v>Spring in Action 2022—05—31.pdf</v>
      </c>
      <c r="O2336" s="3" t="s">
        <v>9289</v>
      </c>
    </row>
    <row r="2337" spans="1:15" ht="193.2" x14ac:dyDescent="0.3">
      <c r="A2337" s="4">
        <v>2336</v>
      </c>
      <c r="B2337" s="5" t="s">
        <v>9290</v>
      </c>
      <c r="C2337" s="5" t="s">
        <v>9287</v>
      </c>
      <c r="D2337" s="5"/>
      <c r="E2337" s="5" t="s">
        <v>557</v>
      </c>
      <c r="F2337" s="5" t="s">
        <v>9137</v>
      </c>
      <c r="G2337" s="5" t="s">
        <v>8458</v>
      </c>
      <c r="H2337" s="5" t="s">
        <v>9138</v>
      </c>
      <c r="I2337" s="5" t="s">
        <v>20</v>
      </c>
      <c r="J2337" s="5">
        <v>25.97</v>
      </c>
      <c r="K2337" s="5" t="s">
        <v>21</v>
      </c>
      <c r="L2337" s="5" t="s">
        <v>9291</v>
      </c>
      <c r="M2337" s="5" t="s">
        <v>9140</v>
      </c>
      <c r="N2337" s="7" t="str">
        <f>HYPERLINK("C:\Users\alexa\YandexDisk\Книги\Программирование\Java\Spring in Action, 6th Edition.pdf","Spring in Action, 6th Edition.pdf")</f>
        <v>Spring in Action, 6th Edition.pdf</v>
      </c>
      <c r="O2337" s="5" t="s">
        <v>9292</v>
      </c>
    </row>
    <row r="2338" spans="1:15" ht="193.2" x14ac:dyDescent="0.3">
      <c r="A2338" s="2">
        <v>2337</v>
      </c>
      <c r="B2338" s="3" t="s">
        <v>9293</v>
      </c>
      <c r="C2338" s="3" t="s">
        <v>9294</v>
      </c>
      <c r="D2338" s="3" t="s">
        <v>71</v>
      </c>
      <c r="E2338" s="3" t="s">
        <v>227</v>
      </c>
      <c r="F2338" s="3" t="s">
        <v>9137</v>
      </c>
      <c r="G2338" s="3" t="s">
        <v>8458</v>
      </c>
      <c r="H2338" s="3" t="s">
        <v>9138</v>
      </c>
      <c r="I2338" s="3" t="s">
        <v>280</v>
      </c>
      <c r="J2338" s="3">
        <v>20.32</v>
      </c>
      <c r="K2338" s="3" t="s">
        <v>21</v>
      </c>
      <c r="L2338" s="3" t="s">
        <v>9295</v>
      </c>
      <c r="M2338" s="3" t="s">
        <v>9140</v>
      </c>
      <c r="N2338" s="6" t="str">
        <f>HYPERLINK("C:\Users\alexa\YandexDisk\Книги\Программирование\Java\Spring REST Building Java Microservices.epub","Spring REST Building Java Microservices.epub")</f>
        <v>Spring REST Building Java Microservices.epub</v>
      </c>
      <c r="O2338" s="3" t="s">
        <v>9296</v>
      </c>
    </row>
    <row r="2339" spans="1:15" ht="193.2" x14ac:dyDescent="0.3">
      <c r="A2339" s="4">
        <v>2338</v>
      </c>
      <c r="B2339" s="5" t="s">
        <v>9297</v>
      </c>
      <c r="C2339" s="5" t="s">
        <v>9298</v>
      </c>
      <c r="D2339" s="5"/>
      <c r="E2339" s="5" t="s">
        <v>557</v>
      </c>
      <c r="F2339" s="5" t="s">
        <v>9137</v>
      </c>
      <c r="G2339" s="5" t="s">
        <v>8458</v>
      </c>
      <c r="H2339" s="5" t="s">
        <v>9138</v>
      </c>
      <c r="I2339" s="5" t="s">
        <v>20</v>
      </c>
      <c r="J2339" s="5">
        <v>12.26</v>
      </c>
      <c r="K2339" s="5" t="s">
        <v>21</v>
      </c>
      <c r="L2339" s="5" t="s">
        <v>9299</v>
      </c>
      <c r="M2339" s="5" t="s">
        <v>9140</v>
      </c>
      <c r="N2339" s="7" t="str">
        <f>HYPERLINK("C:\Users\alexa\YandexDisk\Книги\Программирование\Java\Spring Security in Action.pdf","Spring Security in Action.pdf")</f>
        <v>Spring Security in Action.pdf</v>
      </c>
      <c r="O2339" s="5" t="s">
        <v>9300</v>
      </c>
    </row>
    <row r="2340" spans="1:15" ht="207" x14ac:dyDescent="0.3">
      <c r="A2340" s="2">
        <v>2339</v>
      </c>
      <c r="B2340" s="3" t="s">
        <v>9301</v>
      </c>
      <c r="C2340" s="3" t="s">
        <v>9198</v>
      </c>
      <c r="D2340" s="3" t="s">
        <v>109</v>
      </c>
      <c r="E2340" s="3" t="s">
        <v>102</v>
      </c>
      <c r="F2340" s="3" t="s">
        <v>9137</v>
      </c>
      <c r="G2340" s="3" t="s">
        <v>8458</v>
      </c>
      <c r="H2340" s="3" t="s">
        <v>9138</v>
      </c>
      <c r="I2340" s="3" t="s">
        <v>20</v>
      </c>
      <c r="J2340" s="3">
        <v>13.87</v>
      </c>
      <c r="K2340" s="3" t="s">
        <v>21</v>
      </c>
      <c r="L2340" s="3" t="s">
        <v>9302</v>
      </c>
      <c r="M2340" s="3" t="s">
        <v>9140</v>
      </c>
      <c r="N2340" s="6" t="str">
        <f>HYPERLINK("C:\Users\alexa\YandexDisk\Книги\Программирование\Java\Spring Security в действии.pdf","Spring Security в действии.pdf")</f>
        <v>Spring Security в действии.pdf</v>
      </c>
      <c r="O2340" s="3" t="s">
        <v>9303</v>
      </c>
    </row>
    <row r="2341" spans="1:15" ht="207" x14ac:dyDescent="0.3">
      <c r="A2341" s="4">
        <v>2340</v>
      </c>
      <c r="B2341" s="5" t="s">
        <v>9304</v>
      </c>
      <c r="C2341" s="5" t="s">
        <v>9305</v>
      </c>
      <c r="D2341" s="5" t="s">
        <v>600</v>
      </c>
      <c r="E2341" s="5" t="s">
        <v>336</v>
      </c>
      <c r="F2341" s="5" t="s">
        <v>9137</v>
      </c>
      <c r="G2341" s="5" t="s">
        <v>8458</v>
      </c>
      <c r="H2341" s="5" t="s">
        <v>9138</v>
      </c>
      <c r="I2341" s="5" t="s">
        <v>519</v>
      </c>
      <c r="J2341" s="5">
        <v>3.81</v>
      </c>
      <c r="K2341" s="5" t="s">
        <v>21</v>
      </c>
      <c r="L2341" s="5" t="s">
        <v>9306</v>
      </c>
      <c r="M2341" s="5" t="s">
        <v>9140</v>
      </c>
      <c r="N2341" s="7" t="str">
        <f>HYPERLINK("C:\Users\alexa\YandexDisk\Книги\Программирование\Java\Spring Security.zip","Spring Security.zip")</f>
        <v>Spring Security.zip</v>
      </c>
      <c r="O2341" s="5" t="s">
        <v>9307</v>
      </c>
    </row>
    <row r="2342" spans="1:15" ht="179.4" x14ac:dyDescent="0.3">
      <c r="A2342" s="2">
        <v>2341</v>
      </c>
      <c r="B2342" s="3" t="s">
        <v>9308</v>
      </c>
      <c r="C2342" s="3" t="s">
        <v>9198</v>
      </c>
      <c r="D2342" s="3" t="s">
        <v>27</v>
      </c>
      <c r="E2342" s="3" t="s">
        <v>18</v>
      </c>
      <c r="F2342" s="3" t="s">
        <v>9137</v>
      </c>
      <c r="G2342" s="3" t="s">
        <v>8458</v>
      </c>
      <c r="H2342" s="3" t="s">
        <v>9138</v>
      </c>
      <c r="I2342" s="3" t="s">
        <v>20</v>
      </c>
      <c r="J2342" s="3">
        <v>23.35</v>
      </c>
      <c r="K2342" s="3" t="s">
        <v>21</v>
      </c>
      <c r="L2342" s="3" t="s">
        <v>9309</v>
      </c>
      <c r="M2342" s="3" t="s">
        <v>9140</v>
      </c>
      <c r="N2342" s="6" t="str">
        <f>HYPERLINK("C:\Users\alexa\YandexDisk\Книги\Программирование\Java\Spring быстро [2023] Лауренциу Спилкэ.pdf","Spring быстро [2023] Лауренциу Спилкэ.pdf")</f>
        <v>Spring быстро [2023] Лауренциу Спилкэ.pdf</v>
      </c>
      <c r="O2342" s="3" t="s">
        <v>9310</v>
      </c>
    </row>
    <row r="2343" spans="1:15" ht="138" x14ac:dyDescent="0.3">
      <c r="A2343" s="4">
        <v>2342</v>
      </c>
      <c r="B2343" s="5" t="s">
        <v>9311</v>
      </c>
      <c r="C2343" s="5" t="s">
        <v>9312</v>
      </c>
      <c r="D2343" s="5" t="s">
        <v>476</v>
      </c>
      <c r="E2343" s="5" t="s">
        <v>102</v>
      </c>
      <c r="F2343" s="5" t="s">
        <v>9137</v>
      </c>
      <c r="G2343" s="5" t="s">
        <v>8458</v>
      </c>
      <c r="H2343" s="5" t="s">
        <v>9138</v>
      </c>
      <c r="I2343" s="5" t="s">
        <v>20</v>
      </c>
      <c r="J2343" s="5">
        <v>5.64</v>
      </c>
      <c r="K2343" s="5" t="s">
        <v>21</v>
      </c>
      <c r="L2343" s="5" t="s">
        <v>9313</v>
      </c>
      <c r="M2343" s="5" t="s">
        <v>9140</v>
      </c>
      <c r="N2343" s="7" t="str">
        <f>HYPERLINK("C:\Users\alexa\YandexDisk\Книги\Программирование\Java\Spring в действии.pdf","Spring в действии.pdf")</f>
        <v>Spring в действии.pdf</v>
      </c>
      <c r="O2343" s="5" t="s">
        <v>9314</v>
      </c>
    </row>
    <row r="2344" spans="1:15" ht="138" x14ac:dyDescent="0.3">
      <c r="A2344" s="2">
        <v>2343</v>
      </c>
      <c r="B2344" s="3" t="s">
        <v>9315</v>
      </c>
      <c r="C2344" s="3"/>
      <c r="D2344" s="3"/>
      <c r="E2344" s="3"/>
      <c r="F2344" s="3" t="s">
        <v>9137</v>
      </c>
      <c r="G2344" s="3" t="s">
        <v>8458</v>
      </c>
      <c r="H2344" s="3" t="s">
        <v>9138</v>
      </c>
      <c r="I2344" s="3" t="s">
        <v>20</v>
      </c>
      <c r="J2344" s="3">
        <v>41.53</v>
      </c>
      <c r="K2344" s="3" t="s">
        <v>21</v>
      </c>
      <c r="L2344" s="3" t="s">
        <v>9316</v>
      </c>
      <c r="M2344" s="3" t="s">
        <v>9140</v>
      </c>
      <c r="N2344" s="6" t="str">
        <f>HYPERLINK("C:\Users\alexa\YandexDisk\Книги\Программирование\Java\Spring и Spring Boot. Разработка облачных приложений на Java.pdf","Spring и Spring Boot. Разработка облачных приложений на Java.pdf")</f>
        <v>Spring и Spring Boot. Разработка облачных приложений на Java.pdf</v>
      </c>
      <c r="O2344" s="3" t="s">
        <v>9317</v>
      </c>
    </row>
    <row r="2345" spans="1:15" ht="179.4" x14ac:dyDescent="0.3">
      <c r="A2345" s="4">
        <v>2344</v>
      </c>
      <c r="B2345" s="5" t="s">
        <v>9318</v>
      </c>
      <c r="C2345" s="5" t="s">
        <v>9319</v>
      </c>
      <c r="D2345" s="5" t="s">
        <v>1022</v>
      </c>
      <c r="E2345" s="5" t="s">
        <v>9320</v>
      </c>
      <c r="F2345" s="5" t="s">
        <v>9137</v>
      </c>
      <c r="G2345" s="5" t="s">
        <v>8458</v>
      </c>
      <c r="H2345" s="5" t="s">
        <v>9138</v>
      </c>
      <c r="I2345" s="5" t="s">
        <v>20</v>
      </c>
      <c r="J2345" s="5">
        <v>104.57</v>
      </c>
      <c r="K2345" s="5" t="s">
        <v>21</v>
      </c>
      <c r="L2345" s="5" t="s">
        <v>9321</v>
      </c>
      <c r="M2345" s="5" t="s">
        <v>9140</v>
      </c>
      <c r="N2345" s="7" t="str">
        <f>HYPERLINK("C:\Users\alexa\YandexDisk\Книги\Программирование\Java\Spring_4_dlya_professionalov.pdf","Spring_4_dlya_professionalov.pdf")</f>
        <v>Spring_4_dlya_professionalov.pdf</v>
      </c>
      <c r="O2345" s="5" t="s">
        <v>9322</v>
      </c>
    </row>
    <row r="2346" spans="1:15" ht="207" x14ac:dyDescent="0.3">
      <c r="A2346" s="2">
        <v>2345</v>
      </c>
      <c r="B2346" s="3" t="s">
        <v>9323</v>
      </c>
      <c r="C2346" s="3"/>
      <c r="D2346" s="3" t="s">
        <v>9324</v>
      </c>
      <c r="E2346" s="3"/>
      <c r="F2346" s="3" t="s">
        <v>9137</v>
      </c>
      <c r="G2346" s="3" t="s">
        <v>8458</v>
      </c>
      <c r="H2346" s="3" t="s">
        <v>9138</v>
      </c>
      <c r="I2346" s="3" t="s">
        <v>2787</v>
      </c>
      <c r="J2346" s="3">
        <v>4.55</v>
      </c>
      <c r="K2346" s="3" t="s">
        <v>21</v>
      </c>
      <c r="L2346" s="3" t="s">
        <v>9325</v>
      </c>
      <c r="M2346" s="3" t="s">
        <v>9140</v>
      </c>
      <c r="N2346" s="6" t="str">
        <f>HYPERLINK("C:\Users\alexa\YandexDisk\Книги\Программирование\Java\Spring_in_Action_Covers_Spring_5_0_перевод_на_русский_.fb2","Spring_in_Action_Covers_Spring_5_0_перевод_на_русский_.fb2")</f>
        <v>Spring_in_Action_Covers_Spring_5_0_перевод_на_русский_.fb2</v>
      </c>
      <c r="O2346" s="3" t="s">
        <v>9326</v>
      </c>
    </row>
    <row r="2347" spans="1:15" ht="179.4" x14ac:dyDescent="0.3">
      <c r="A2347" s="4">
        <v>2346</v>
      </c>
      <c r="B2347" s="5" t="s">
        <v>9327</v>
      </c>
      <c r="C2347" s="5" t="s">
        <v>9328</v>
      </c>
      <c r="D2347" s="5" t="s">
        <v>71</v>
      </c>
      <c r="E2347" s="5" t="s">
        <v>1842</v>
      </c>
      <c r="F2347" s="5" t="s">
        <v>9137</v>
      </c>
      <c r="G2347" s="5" t="s">
        <v>8458</v>
      </c>
      <c r="H2347" s="5" t="s">
        <v>9138</v>
      </c>
      <c r="I2347" s="5" t="s">
        <v>20</v>
      </c>
      <c r="J2347" s="5">
        <v>32.04</v>
      </c>
      <c r="K2347" s="5" t="s">
        <v>21</v>
      </c>
      <c r="L2347" s="5" t="s">
        <v>9329</v>
      </c>
      <c r="M2347" s="5" t="s">
        <v>9140</v>
      </c>
      <c r="N2347" s="7" t="str">
        <f>HYPERLINK("C:\Users\alexa\YandexDisk\Книги\Программирование\Java\SQL Server Database Programming with Java.pdf","SQL Server Database Programming with Java.pdf")</f>
        <v>SQL Server Database Programming with Java.pdf</v>
      </c>
      <c r="O2347" s="5" t="s">
        <v>9330</v>
      </c>
    </row>
    <row r="2348" spans="1:15" ht="151.80000000000001" x14ac:dyDescent="0.3">
      <c r="A2348" s="2">
        <v>2347</v>
      </c>
      <c r="B2348" s="3" t="s">
        <v>9331</v>
      </c>
      <c r="C2348" s="3" t="s">
        <v>9332</v>
      </c>
      <c r="D2348" s="3" t="s">
        <v>17</v>
      </c>
      <c r="E2348" s="3" t="s">
        <v>536</v>
      </c>
      <c r="F2348" s="3" t="s">
        <v>9137</v>
      </c>
      <c r="G2348" s="3" t="s">
        <v>8458</v>
      </c>
      <c r="H2348" s="3" t="s">
        <v>9138</v>
      </c>
      <c r="I2348" s="3" t="s">
        <v>20</v>
      </c>
      <c r="J2348" s="3">
        <v>9.85</v>
      </c>
      <c r="K2348" s="3" t="s">
        <v>21</v>
      </c>
      <c r="L2348" s="3" t="s">
        <v>9333</v>
      </c>
      <c r="M2348" s="3" t="s">
        <v>9140</v>
      </c>
      <c r="N2348" s="6" t="str">
        <f>HYPERLINK("C:\Users\alexa\YandexDisk\Книги\Программирование\Java\The Well-Grounded Java Developer 2021.pdf","The Well-Grounded Java Developer 2021.pdf")</f>
        <v>The Well-Grounded Java Developer 2021.pdf</v>
      </c>
      <c r="O2348" s="3" t="s">
        <v>9334</v>
      </c>
    </row>
    <row r="2349" spans="1:15" ht="151.80000000000001" x14ac:dyDescent="0.3">
      <c r="A2349" s="4">
        <v>2348</v>
      </c>
      <c r="B2349" s="5" t="s">
        <v>9335</v>
      </c>
      <c r="C2349" s="5" t="s">
        <v>9336</v>
      </c>
      <c r="D2349" s="5" t="s">
        <v>77</v>
      </c>
      <c r="E2349" s="5" t="s">
        <v>205</v>
      </c>
      <c r="F2349" s="5" t="s">
        <v>9137</v>
      </c>
      <c r="G2349" s="5" t="s">
        <v>8458</v>
      </c>
      <c r="H2349" s="5" t="s">
        <v>9138</v>
      </c>
      <c r="I2349" s="5" t="s">
        <v>20</v>
      </c>
      <c r="J2349" s="5">
        <v>7</v>
      </c>
      <c r="K2349" s="5" t="s">
        <v>21</v>
      </c>
      <c r="L2349" s="5" t="s">
        <v>9337</v>
      </c>
      <c r="M2349" s="5" t="s">
        <v>9140</v>
      </c>
      <c r="N2349" s="7" t="str">
        <f>HYPERLINK("C:\Users\alexa\YandexDisk\Книги\Программирование\Java\The_Java_Workshop_A_practical,_no_nonsense_guide_to_Java_David_Cuartielles.pdf","The_Java_Workshop_A_practical,_no_nonsense_guide_to_Java_David_Cuartielles.pdf")</f>
        <v>The_Java_Workshop_A_practical,_no_nonsense_guide_to_Java_David_Cuartielles.pdf</v>
      </c>
      <c r="O2349" s="5" t="s">
        <v>9338</v>
      </c>
    </row>
    <row r="2350" spans="1:15" ht="151.80000000000001" x14ac:dyDescent="0.3">
      <c r="A2350" s="2">
        <v>2349</v>
      </c>
      <c r="B2350" s="3" t="s">
        <v>9339</v>
      </c>
      <c r="C2350" s="3" t="s">
        <v>9340</v>
      </c>
      <c r="D2350" s="3" t="s">
        <v>50</v>
      </c>
      <c r="E2350" s="3" t="s">
        <v>9340</v>
      </c>
      <c r="F2350" s="3" t="s">
        <v>9137</v>
      </c>
      <c r="G2350" s="3" t="s">
        <v>8458</v>
      </c>
      <c r="H2350" s="3" t="s">
        <v>9138</v>
      </c>
      <c r="I2350" s="3" t="s">
        <v>20</v>
      </c>
      <c r="J2350" s="3">
        <v>1.54</v>
      </c>
      <c r="K2350" s="3" t="s">
        <v>21</v>
      </c>
      <c r="L2350" s="3" t="s">
        <v>9341</v>
      </c>
      <c r="M2350" s="3" t="s">
        <v>9140</v>
      </c>
      <c r="N2350" s="6" t="str">
        <f>HYPERLINK("C:\Users\alexa\YandexDisk\Книги\Программирование\Java\Top_1000_Java_Interview_Questions_Includes_Spring,_Hibernate,_Microservices.pdf","Top_1000_Java_Interview_Questions_Includes_Spring,_Hibernate,_Microservices.pdf")</f>
        <v>Top_1000_Java_Interview_Questions_Includes_Spring,_Hibernate,_Microservices.pdf</v>
      </c>
      <c r="O2350" s="3" t="s">
        <v>9342</v>
      </c>
    </row>
    <row r="2351" spans="1:15" ht="151.80000000000001" x14ac:dyDescent="0.3">
      <c r="A2351" s="4">
        <v>2350</v>
      </c>
      <c r="B2351" s="5" t="s">
        <v>9343</v>
      </c>
      <c r="C2351" s="5" t="s">
        <v>9344</v>
      </c>
      <c r="D2351" s="5" t="s">
        <v>27</v>
      </c>
      <c r="E2351" s="5" t="s">
        <v>3305</v>
      </c>
      <c r="F2351" s="5" t="s">
        <v>9137</v>
      </c>
      <c r="G2351" s="5" t="s">
        <v>8458</v>
      </c>
      <c r="H2351" s="5" t="s">
        <v>9138</v>
      </c>
      <c r="I2351" s="5" t="s">
        <v>20</v>
      </c>
      <c r="J2351" s="5">
        <v>29.69</v>
      </c>
      <c r="K2351" s="5" t="s">
        <v>21</v>
      </c>
      <c r="L2351" s="5" t="s">
        <v>9345</v>
      </c>
      <c r="M2351" s="5" t="s">
        <v>9140</v>
      </c>
      <c r="N2351" s="7" t="str">
        <f>HYPERLINK("C:\Users\alexa\YandexDisk\Книги\Программирование\Java\Web Development Toolkit for Java Developers.pdf","Web Development Toolkit for Java Developers.pdf")</f>
        <v>Web Development Toolkit for Java Developers.pdf</v>
      </c>
      <c r="O2351" s="5" t="s">
        <v>9346</v>
      </c>
    </row>
    <row r="2352" spans="1:15" ht="165.6" x14ac:dyDescent="0.3">
      <c r="A2352" s="2">
        <v>2351</v>
      </c>
      <c r="B2352" s="3" t="s">
        <v>9347</v>
      </c>
      <c r="C2352" s="3"/>
      <c r="D2352" s="3"/>
      <c r="E2352" s="3"/>
      <c r="F2352" s="3" t="s">
        <v>9137</v>
      </c>
      <c r="G2352" s="3" t="s">
        <v>8458</v>
      </c>
      <c r="H2352" s="3" t="s">
        <v>9138</v>
      </c>
      <c r="I2352" s="3" t="s">
        <v>20</v>
      </c>
      <c r="J2352" s="3">
        <v>59.15</v>
      </c>
      <c r="K2352" s="3" t="s">
        <v>21</v>
      </c>
      <c r="L2352" s="3" t="s">
        <v>9348</v>
      </c>
      <c r="M2352" s="3" t="s">
        <v>9140</v>
      </c>
      <c r="N2352" s="6" t="str">
        <f>HYPERLINK("C:\Users\alexa\YandexDisk\Книги\Программирование\Java\Yazyk_programmirovania_Java_SE_8_Podrobnoe_opisanie_JLS_8.pdf","Yazyk_programmirovania_Java_SE_8_Podrobnoe_opisanie_JLS_8.pdf")</f>
        <v>Yazyk_programmirovania_Java_SE_8_Podrobnoe_opisanie_JLS_8.pdf</v>
      </c>
      <c r="O2352" s="3" t="s">
        <v>9349</v>
      </c>
    </row>
    <row r="2353" spans="1:15" ht="193.2" x14ac:dyDescent="0.3">
      <c r="A2353" s="4">
        <v>2352</v>
      </c>
      <c r="B2353" s="5" t="s">
        <v>9350</v>
      </c>
      <c r="C2353" s="5" t="s">
        <v>9351</v>
      </c>
      <c r="D2353" s="5" t="s">
        <v>32</v>
      </c>
      <c r="E2353" s="5" t="s">
        <v>18</v>
      </c>
      <c r="F2353" s="5" t="s">
        <v>9137</v>
      </c>
      <c r="G2353" s="5" t="s">
        <v>8458</v>
      </c>
      <c r="H2353" s="5" t="s">
        <v>9138</v>
      </c>
      <c r="I2353" s="5" t="s">
        <v>20</v>
      </c>
      <c r="J2353" s="5">
        <v>13.02</v>
      </c>
      <c r="K2353" s="5" t="s">
        <v>21</v>
      </c>
      <c r="L2353" s="5" t="s">
        <v>9352</v>
      </c>
      <c r="M2353" s="5" t="s">
        <v>9140</v>
      </c>
      <c r="N2353" s="7" t="str">
        <f>HYPERLINK("C:\Users\alexa\YandexDisk\Книги\Программирование\Java\Алгоритмы и структуры данных JAVA.pdf","Алгоритмы и структуры данных JAVA.pdf")</f>
        <v>Алгоритмы и структуры данных JAVA.pdf</v>
      </c>
      <c r="O2353" s="5" t="s">
        <v>9353</v>
      </c>
    </row>
    <row r="2354" spans="1:15" ht="248.4" x14ac:dyDescent="0.3">
      <c r="A2354" s="2">
        <v>2353</v>
      </c>
      <c r="B2354" s="3" t="s">
        <v>9354</v>
      </c>
      <c r="C2354" s="3" t="s">
        <v>9355</v>
      </c>
      <c r="D2354" s="3" t="s">
        <v>600</v>
      </c>
      <c r="E2354" s="3"/>
      <c r="F2354" s="3" t="s">
        <v>9137</v>
      </c>
      <c r="G2354" s="3" t="s">
        <v>8458</v>
      </c>
      <c r="H2354" s="3" t="s">
        <v>9138</v>
      </c>
      <c r="I2354" s="3" t="s">
        <v>20</v>
      </c>
      <c r="J2354" s="3">
        <v>17.73</v>
      </c>
      <c r="K2354" s="3" t="s">
        <v>21</v>
      </c>
      <c r="L2354" s="3" t="s">
        <v>9356</v>
      </c>
      <c r="M2354" s="3" t="s">
        <v>9140</v>
      </c>
      <c r="N2354" s="6" t="str">
        <f>HYPERLINK("C:\Users\alexa\YandexDisk\Книги\Программирование\Java\Алгоритмы на Java. Современный подход.pdf","Алгоритмы на Java. Современный подход.pdf")</f>
        <v>Алгоритмы на Java. Современный подход.pdf</v>
      </c>
      <c r="O2354" s="3" t="s">
        <v>9357</v>
      </c>
    </row>
    <row r="2355" spans="1:15" ht="165.6" x14ac:dyDescent="0.3">
      <c r="A2355" s="4">
        <v>2354</v>
      </c>
      <c r="B2355" s="5" t="s">
        <v>9358</v>
      </c>
      <c r="C2355" s="5" t="s">
        <v>9359</v>
      </c>
      <c r="D2355" s="5" t="s">
        <v>50</v>
      </c>
      <c r="E2355" s="5" t="s">
        <v>72</v>
      </c>
      <c r="F2355" s="5" t="s">
        <v>9137</v>
      </c>
      <c r="G2355" s="5" t="s">
        <v>8458</v>
      </c>
      <c r="H2355" s="5" t="s">
        <v>9138</v>
      </c>
      <c r="I2355" s="5" t="s">
        <v>20</v>
      </c>
      <c r="J2355" s="5">
        <v>23.55</v>
      </c>
      <c r="K2355" s="5" t="s">
        <v>21</v>
      </c>
      <c r="L2355" s="5" t="s">
        <v>9360</v>
      </c>
      <c r="M2355" s="5" t="s">
        <v>9140</v>
      </c>
      <c r="N2355" s="7" t="str">
        <f>HYPERLINK("C:\Users\alexa\YandexDisk\Книги\Программирование\Java\Брайсон_Пейн_Легкий_способ_выучить JAVA.pdf","Брайсон_Пейн_Легкий_способ_выучить JAVA.pdf")</f>
        <v>Брайсон_Пейн_Легкий_способ_выучить JAVA.pdf</v>
      </c>
      <c r="O2355" s="5" t="s">
        <v>9361</v>
      </c>
    </row>
    <row r="2356" spans="1:15" ht="151.80000000000001" x14ac:dyDescent="0.3">
      <c r="A2356" s="2">
        <v>2355</v>
      </c>
      <c r="B2356" s="3" t="s">
        <v>9362</v>
      </c>
      <c r="C2356" s="3" t="s">
        <v>3412</v>
      </c>
      <c r="D2356" s="3" t="s">
        <v>71</v>
      </c>
      <c r="E2356" s="3" t="s">
        <v>2</v>
      </c>
      <c r="F2356" s="3" t="s">
        <v>9137</v>
      </c>
      <c r="G2356" s="3" t="s">
        <v>8458</v>
      </c>
      <c r="H2356" s="3" t="s">
        <v>9138</v>
      </c>
      <c r="I2356" s="3" t="s">
        <v>20</v>
      </c>
      <c r="J2356" s="3">
        <v>12.68</v>
      </c>
      <c r="K2356" s="3" t="s">
        <v>21</v>
      </c>
      <c r="L2356" s="3" t="s">
        <v>9363</v>
      </c>
      <c r="M2356" s="3" t="s">
        <v>9140</v>
      </c>
      <c r="N2356" s="6" t="str">
        <f>HYPERLINK("C:\Users\alexa\YandexDisk\Книги\Программирование\Java\Введение в о-о дизайн с Java 2022.pdf","Введение в о-о дизайн с Java 2022.pdf")</f>
        <v>Введение в о-о дизайн с Java 2022.pdf</v>
      </c>
      <c r="O2356" s="3" t="s">
        <v>9364</v>
      </c>
    </row>
    <row r="2357" spans="1:15" ht="207" x14ac:dyDescent="0.3">
      <c r="A2357" s="4">
        <v>2356</v>
      </c>
      <c r="B2357" s="5" t="s">
        <v>9365</v>
      </c>
      <c r="C2357" s="5" t="s">
        <v>9366</v>
      </c>
      <c r="D2357" s="5" t="s">
        <v>71</v>
      </c>
      <c r="E2357" s="5" t="s">
        <v>1023</v>
      </c>
      <c r="F2357" s="5" t="s">
        <v>9137</v>
      </c>
      <c r="G2357" s="5" t="s">
        <v>8458</v>
      </c>
      <c r="H2357" s="5" t="s">
        <v>9138</v>
      </c>
      <c r="I2357" s="5" t="s">
        <v>20</v>
      </c>
      <c r="J2357" s="5">
        <v>12.23</v>
      </c>
      <c r="K2357" s="5" t="s">
        <v>21</v>
      </c>
      <c r="L2357" s="5" t="s">
        <v>9367</v>
      </c>
      <c r="M2357" s="5" t="s">
        <v>9140</v>
      </c>
      <c r="N2357" s="7" t="str">
        <f>HYPERLINK("C:\Users\alexa\YandexDisk\Книги\Программирование\Java\Гид Java-разработчика.pdf","Гид Java-разработчика.pdf")</f>
        <v>Гид Java-разработчика.pdf</v>
      </c>
      <c r="O2357" s="5" t="s">
        <v>9368</v>
      </c>
    </row>
    <row r="2358" spans="1:15" ht="151.80000000000001" x14ac:dyDescent="0.3">
      <c r="A2358" s="2">
        <v>2357</v>
      </c>
      <c r="B2358" s="3" t="s">
        <v>9369</v>
      </c>
      <c r="C2358" s="3" t="s">
        <v>9370</v>
      </c>
      <c r="D2358" s="3" t="s">
        <v>27</v>
      </c>
      <c r="E2358" s="3" t="s">
        <v>18</v>
      </c>
      <c r="F2358" s="3" t="s">
        <v>9137</v>
      </c>
      <c r="G2358" s="3" t="s">
        <v>8458</v>
      </c>
      <c r="H2358" s="3" t="s">
        <v>9138</v>
      </c>
      <c r="I2358" s="3" t="s">
        <v>20</v>
      </c>
      <c r="J2358" s="3">
        <v>14.95</v>
      </c>
      <c r="K2358" s="3" t="s">
        <v>21</v>
      </c>
      <c r="L2358" s="3" t="s">
        <v>9371</v>
      </c>
      <c r="M2358" s="3" t="s">
        <v>9140</v>
      </c>
      <c r="N2358" s="6" t="str">
        <f>HYPERLINK("C:\Users\alexa\YandexDisk\Книги\Программирование\Java\Грокаем стриминг.pdf","Грокаем стриминг.pdf")</f>
        <v>Грокаем стриминг.pdf</v>
      </c>
      <c r="O2358" s="3" t="s">
        <v>9372</v>
      </c>
    </row>
    <row r="2359" spans="1:15" ht="179.4" x14ac:dyDescent="0.3">
      <c r="A2359" s="4">
        <v>2358</v>
      </c>
      <c r="B2359" s="5" t="s">
        <v>9373</v>
      </c>
      <c r="C2359" s="5" t="s">
        <v>9374</v>
      </c>
      <c r="D2359" s="5" t="s">
        <v>77</v>
      </c>
      <c r="E2359" s="5" t="s">
        <v>92</v>
      </c>
      <c r="F2359" s="5" t="s">
        <v>9137</v>
      </c>
      <c r="G2359" s="5" t="s">
        <v>8458</v>
      </c>
      <c r="H2359" s="5" t="s">
        <v>9138</v>
      </c>
      <c r="I2359" s="5" t="s">
        <v>20</v>
      </c>
      <c r="J2359" s="5">
        <v>33.659999999999997</v>
      </c>
      <c r="K2359" s="5" t="s">
        <v>21</v>
      </c>
      <c r="L2359" s="5" t="s">
        <v>9375</v>
      </c>
      <c r="M2359" s="5" t="s">
        <v>9140</v>
      </c>
      <c r="N2359" s="7" t="str">
        <f>HYPERLINK("C:\Users\alexa\YandexDisk\Книги\Программирование\Java\Джошуа_Блох_JAVA Эффективное_программирование.pdf","Джошуа_Блох_JAVA Эффективное_программирование.pdf")</f>
        <v>Джошуа_Блох_JAVA Эффективное_программирование.pdf</v>
      </c>
      <c r="O2359" s="5" t="s">
        <v>9376</v>
      </c>
    </row>
    <row r="2360" spans="1:15" ht="165.6" x14ac:dyDescent="0.3">
      <c r="A2360" s="2">
        <v>2359</v>
      </c>
      <c r="B2360" s="3" t="s">
        <v>9350</v>
      </c>
      <c r="C2360" s="3" t="s">
        <v>9351</v>
      </c>
      <c r="D2360" s="3" t="s">
        <v>32</v>
      </c>
      <c r="E2360" s="3" t="s">
        <v>18</v>
      </c>
      <c r="F2360" s="3" t="s">
        <v>9137</v>
      </c>
      <c r="G2360" s="3" t="s">
        <v>8458</v>
      </c>
      <c r="H2360" s="3" t="s">
        <v>9138</v>
      </c>
      <c r="I2360" s="3" t="s">
        <v>20</v>
      </c>
      <c r="J2360" s="3">
        <v>13.02</v>
      </c>
      <c r="K2360" s="3" t="s">
        <v>21</v>
      </c>
      <c r="L2360" s="3" t="s">
        <v>9377</v>
      </c>
      <c r="M2360" s="3" t="s">
        <v>9140</v>
      </c>
      <c r="N2360" s="6" t="str">
        <f>HYPERLINK("C:\Users\alexa\YandexDisk\Книги\Программирование\Java\Доуни_А_Алгоритмы_и_структуры_данных JAVA.pdf","Доуни_А_Алгоритмы_и_структуры_данных JAVA.pdf")</f>
        <v>Доуни_А_Алгоритмы_и_структуры_данных JAVA.pdf</v>
      </c>
      <c r="O2360" s="3" t="s">
        <v>9378</v>
      </c>
    </row>
    <row r="2361" spans="1:15" ht="179.4" x14ac:dyDescent="0.3">
      <c r="A2361" s="4">
        <v>2360</v>
      </c>
      <c r="B2361" s="5" t="s">
        <v>9379</v>
      </c>
      <c r="C2361" s="5" t="s">
        <v>9380</v>
      </c>
      <c r="D2361" s="5" t="s">
        <v>77</v>
      </c>
      <c r="E2361" s="5" t="s">
        <v>2733</v>
      </c>
      <c r="F2361" s="5" t="s">
        <v>9137</v>
      </c>
      <c r="G2361" s="5" t="s">
        <v>8458</v>
      </c>
      <c r="H2361" s="5" t="s">
        <v>9138</v>
      </c>
      <c r="I2361" s="5" t="s">
        <v>20</v>
      </c>
      <c r="J2361" s="5">
        <v>18.510000000000002</v>
      </c>
      <c r="K2361" s="5" t="s">
        <v>21</v>
      </c>
      <c r="L2361" s="5" t="s">
        <v>9381</v>
      </c>
      <c r="M2361" s="5" t="s">
        <v>9140</v>
      </c>
      <c r="N2361" s="7" t="str">
        <f>HYPERLINK("C:\Users\alexa\YandexDisk\Книги\Программирование\Java\Задачи по программированию на JAVA 2019.pdf","Задачи по программированию на JAVA 2019.pdf")</f>
        <v>Задачи по программированию на JAVA 2019.pdf</v>
      </c>
      <c r="O2361" s="5" t="s">
        <v>9382</v>
      </c>
    </row>
    <row r="2362" spans="1:15" ht="179.4" x14ac:dyDescent="0.3">
      <c r="A2362" s="2">
        <v>2361</v>
      </c>
      <c r="B2362" s="3" t="s">
        <v>9170</v>
      </c>
      <c r="C2362" s="3" t="s">
        <v>9383</v>
      </c>
      <c r="D2362" s="3" t="s">
        <v>65</v>
      </c>
      <c r="E2362" s="3" t="s">
        <v>1023</v>
      </c>
      <c r="F2362" s="3" t="s">
        <v>9137</v>
      </c>
      <c r="G2362" s="3" t="s">
        <v>8458</v>
      </c>
      <c r="H2362" s="3" t="s">
        <v>9138</v>
      </c>
      <c r="I2362" s="3" t="s">
        <v>20</v>
      </c>
      <c r="J2362" s="3">
        <v>44.44</v>
      </c>
      <c r="K2362" s="3" t="s">
        <v>21</v>
      </c>
      <c r="L2362" s="3" t="s">
        <v>9384</v>
      </c>
      <c r="M2362" s="3" t="s">
        <v>9140</v>
      </c>
      <c r="N2362" s="6" t="str">
        <f>HYPERLINK("C:\Users\alexa\YandexDisk\Книги\Программирование\Java\Изучаем JAVA.pdf","Изучаем JAVA.pdf")</f>
        <v>Изучаем JAVA.pdf</v>
      </c>
      <c r="O2362" s="3" t="s">
        <v>9385</v>
      </c>
    </row>
    <row r="2363" spans="1:15" ht="151.80000000000001" x14ac:dyDescent="0.3">
      <c r="A2363" s="4">
        <v>2362</v>
      </c>
      <c r="B2363" s="5" t="s">
        <v>9386</v>
      </c>
      <c r="C2363" s="5" t="s">
        <v>9387</v>
      </c>
      <c r="D2363" s="5"/>
      <c r="E2363" s="5"/>
      <c r="F2363" s="5" t="s">
        <v>9137</v>
      </c>
      <c r="G2363" s="5" t="s">
        <v>8458</v>
      </c>
      <c r="H2363" s="5" t="s">
        <v>9138</v>
      </c>
      <c r="I2363" s="5" t="s">
        <v>20</v>
      </c>
      <c r="J2363" s="5">
        <v>207.86</v>
      </c>
      <c r="K2363" s="5" t="s">
        <v>21</v>
      </c>
      <c r="L2363" s="5" t="s">
        <v>9388</v>
      </c>
      <c r="M2363" s="5" t="s">
        <v>9140</v>
      </c>
      <c r="N2363" s="7" t="str">
        <f>HYPERLINK("C:\Users\alexa\YandexDisk\Книги\Программирование\Java\Кей_Хорстманн_Java_Biblioteka том2.pdf","Кей_Хорстманн_Java_Biblioteka том2.pdf")</f>
        <v>Кей_Хорстманн_Java_Biblioteka том2.pdf</v>
      </c>
      <c r="O2363" s="5" t="s">
        <v>9389</v>
      </c>
    </row>
    <row r="2364" spans="1:15" ht="179.4" x14ac:dyDescent="0.3">
      <c r="A2364" s="2">
        <v>2363</v>
      </c>
      <c r="B2364" s="3" t="s">
        <v>9390</v>
      </c>
      <c r="C2364" s="3" t="s">
        <v>9391</v>
      </c>
      <c r="D2364" s="3" t="s">
        <v>71</v>
      </c>
      <c r="E2364" s="3" t="s">
        <v>18</v>
      </c>
      <c r="F2364" s="3" t="s">
        <v>9137</v>
      </c>
      <c r="G2364" s="3" t="s">
        <v>8458</v>
      </c>
      <c r="H2364" s="3" t="s">
        <v>9138</v>
      </c>
      <c r="I2364" s="3" t="s">
        <v>20</v>
      </c>
      <c r="J2364" s="3">
        <v>6.09</v>
      </c>
      <c r="K2364" s="3" t="s">
        <v>21</v>
      </c>
      <c r="L2364" s="3" t="s">
        <v>9392</v>
      </c>
      <c r="M2364" s="3" t="s">
        <v>9140</v>
      </c>
      <c r="N2364" s="6" t="str">
        <f>HYPERLINK("C:\Users\alexa\YandexDisk\Книги\Программирование\Java\Классические задачи Computer Science на языке Java 2022.pdf","Классические задачи Computer Science на языке Java 2022.pdf")</f>
        <v>Классические задачи Computer Science на языке Java 2022.pdf</v>
      </c>
      <c r="O2364" s="3" t="s">
        <v>9393</v>
      </c>
    </row>
    <row r="2365" spans="1:15" ht="193.2" x14ac:dyDescent="0.3">
      <c r="A2365" s="4">
        <v>2364</v>
      </c>
      <c r="B2365" s="5" t="s">
        <v>9394</v>
      </c>
      <c r="C2365" s="5" t="s">
        <v>3412</v>
      </c>
      <c r="D2365" s="5"/>
      <c r="E2365" s="5" t="s">
        <v>6828</v>
      </c>
      <c r="F2365" s="5" t="s">
        <v>9137</v>
      </c>
      <c r="G2365" s="5" t="s">
        <v>8458</v>
      </c>
      <c r="H2365" s="5" t="s">
        <v>9138</v>
      </c>
      <c r="I2365" s="5" t="s">
        <v>20</v>
      </c>
      <c r="J2365" s="5">
        <v>24.91</v>
      </c>
      <c r="K2365" s="5" t="s">
        <v>21</v>
      </c>
      <c r="L2365" s="5" t="s">
        <v>9395</v>
      </c>
      <c r="M2365" s="5" t="s">
        <v>9140</v>
      </c>
      <c r="N2365" s="7" t="str">
        <f>HYPERLINK("C:\Users\alexa\YandexDisk\Книги\Программирование\Java\Объектно_ориентированное_программирование_на_Java.pdf","Объектно_ориентированное_программирование_на_Java.pdf")</f>
        <v>Объектно_ориентированное_программирование_на_Java.pdf</v>
      </c>
      <c r="O2365" s="5" t="s">
        <v>9396</v>
      </c>
    </row>
    <row r="2366" spans="1:15" ht="124.2" x14ac:dyDescent="0.3">
      <c r="A2366" s="2">
        <v>2365</v>
      </c>
      <c r="B2366" s="3" t="s">
        <v>9397</v>
      </c>
      <c r="C2366" s="3" t="s">
        <v>8927</v>
      </c>
      <c r="D2366" s="3" t="s">
        <v>27</v>
      </c>
      <c r="E2366" s="3"/>
      <c r="F2366" s="3" t="s">
        <v>9137</v>
      </c>
      <c r="G2366" s="3" t="s">
        <v>8458</v>
      </c>
      <c r="H2366" s="3" t="s">
        <v>9138</v>
      </c>
      <c r="I2366" s="3" t="s">
        <v>20</v>
      </c>
      <c r="J2366" s="3">
        <v>13.79</v>
      </c>
      <c r="K2366" s="3" t="s">
        <v>21</v>
      </c>
      <c r="L2366" s="3" t="s">
        <v>9398</v>
      </c>
      <c r="M2366" s="3" t="s">
        <v>9140</v>
      </c>
      <c r="N2366" s="6" t="str">
        <f>HYPERLINK("C:\Users\alexa\YandexDisk\Книги\Программирование\Java\ООП в языке Java.pdf","ООП в языке Java.pdf")</f>
        <v>ООП в языке Java.pdf</v>
      </c>
      <c r="O2366" s="3" t="s">
        <v>9399</v>
      </c>
    </row>
    <row r="2367" spans="1:15" ht="151.80000000000001" x14ac:dyDescent="0.3">
      <c r="A2367" s="4">
        <v>2366</v>
      </c>
      <c r="B2367" s="5" t="s">
        <v>9400</v>
      </c>
      <c r="C2367" s="5" t="s">
        <v>3412</v>
      </c>
      <c r="D2367" s="5" t="s">
        <v>71</v>
      </c>
      <c r="E2367" s="5" t="s">
        <v>2</v>
      </c>
      <c r="F2367" s="5" t="s">
        <v>9137</v>
      </c>
      <c r="G2367" s="5" t="s">
        <v>8458</v>
      </c>
      <c r="H2367" s="5" t="s">
        <v>9138</v>
      </c>
      <c r="I2367" s="5" t="s">
        <v>20</v>
      </c>
      <c r="J2367" s="5">
        <v>41.5</v>
      </c>
      <c r="K2367" s="5" t="s">
        <v>21</v>
      </c>
      <c r="L2367" s="5" t="s">
        <v>9401</v>
      </c>
      <c r="M2367" s="5" t="s">
        <v>9140</v>
      </c>
      <c r="N2367" s="7" t="str">
        <f>HYPERLINK("C:\Users\alexa\YandexDisk\Книги\Программирование\Java\Основы программирования с Java.pdf","Основы программирования с Java.pdf")</f>
        <v>Основы программирования с Java.pdf</v>
      </c>
      <c r="O2367" s="5" t="s">
        <v>9402</v>
      </c>
    </row>
    <row r="2368" spans="1:15" ht="41.4" x14ac:dyDescent="0.3">
      <c r="A2368" s="2">
        <v>2367</v>
      </c>
      <c r="B2368" s="3" t="s">
        <v>9403</v>
      </c>
      <c r="C2368" s="3" t="s">
        <v>9404</v>
      </c>
      <c r="D2368" s="3"/>
      <c r="E2368" s="3"/>
      <c r="F2368" s="3" t="s">
        <v>9137</v>
      </c>
      <c r="G2368" s="3" t="s">
        <v>8458</v>
      </c>
      <c r="H2368" s="3" t="s">
        <v>9138</v>
      </c>
      <c r="I2368" s="3" t="s">
        <v>20</v>
      </c>
      <c r="J2368" s="3">
        <v>40.770000000000003</v>
      </c>
      <c r="K2368" s="3" t="s">
        <v>21</v>
      </c>
      <c r="L2368" s="3" t="s">
        <v>9405</v>
      </c>
      <c r="M2368" s="3" t="s">
        <v>9140</v>
      </c>
      <c r="N2368" s="6" t="str">
        <f>HYPERLINK("C:\Users\alexa\YandexDisk\Книги\Программирование\Java\Построение_распределенных_систем_на_Java.pdf","Построение_распределенных_систем_на_Java.pdf")</f>
        <v>Построение_распределенных_систем_на_Java.pdf</v>
      </c>
      <c r="O2368" s="3" t="s">
        <v>930</v>
      </c>
    </row>
    <row r="2369" spans="1:15" ht="151.80000000000001" x14ac:dyDescent="0.3">
      <c r="A2369" s="4">
        <v>2368</v>
      </c>
      <c r="B2369" s="5" t="s">
        <v>9406</v>
      </c>
      <c r="C2369" s="5" t="s">
        <v>9407</v>
      </c>
      <c r="D2369" s="5"/>
      <c r="E2369" s="5" t="s">
        <v>102</v>
      </c>
      <c r="F2369" s="5" t="s">
        <v>9137</v>
      </c>
      <c r="G2369" s="5" t="s">
        <v>8458</v>
      </c>
      <c r="H2369" s="5" t="s">
        <v>9138</v>
      </c>
      <c r="I2369" s="5" t="s">
        <v>20</v>
      </c>
      <c r="J2369" s="5">
        <v>16.22</v>
      </c>
      <c r="K2369" s="5" t="s">
        <v>21</v>
      </c>
      <c r="L2369" s="5" t="s">
        <v>9408</v>
      </c>
      <c r="M2369" s="5" t="s">
        <v>9140</v>
      </c>
      <c r="N2369" s="7" t="str">
        <f>HYPERLINK("C:\Users\alexa\YandexDisk\Книги\Программирование\Java\Практика_реактивного_программирования_в_Spring_5.pdf","Практика_реактивного_программирования_в_Spring_5.pdf")</f>
        <v>Практика_реактивного_программирования_в_Spring_5.pdf</v>
      </c>
      <c r="O2369" s="5" t="s">
        <v>9409</v>
      </c>
    </row>
    <row r="2370" spans="1:15" ht="207" x14ac:dyDescent="0.3">
      <c r="A2370" s="2">
        <v>2369</v>
      </c>
      <c r="B2370" s="3" t="s">
        <v>9410</v>
      </c>
      <c r="C2370" s="3" t="s">
        <v>9411</v>
      </c>
      <c r="D2370" s="3" t="s">
        <v>59</v>
      </c>
      <c r="E2370" s="3" t="s">
        <v>102</v>
      </c>
      <c r="F2370" s="3" t="s">
        <v>9137</v>
      </c>
      <c r="G2370" s="3" t="s">
        <v>8458</v>
      </c>
      <c r="H2370" s="3" t="s">
        <v>9138</v>
      </c>
      <c r="I2370" s="3" t="s">
        <v>20</v>
      </c>
      <c r="J2370" s="3">
        <v>2.2599999999999998</v>
      </c>
      <c r="K2370" s="3" t="s">
        <v>21</v>
      </c>
      <c r="L2370" s="3" t="s">
        <v>9412</v>
      </c>
      <c r="M2370" s="3" t="s">
        <v>9140</v>
      </c>
      <c r="N2370" s="6" t="str">
        <f>HYPERLINK("C:\Users\alexa\YandexDisk\Книги\Программирование\Java\Предметно_ориентированное_проектирование_в_Enterprise_Java.pdf","Предметно_ориентированное_проектирование_в_Enterprise_Java.pdf")</f>
        <v>Предметно_ориентированное_проектирование_в_Enterprise_Java.pdf</v>
      </c>
      <c r="O2370" s="3" t="s">
        <v>9413</v>
      </c>
    </row>
    <row r="2371" spans="1:15" ht="179.4" x14ac:dyDescent="0.3">
      <c r="A2371" s="4">
        <v>2370</v>
      </c>
      <c r="B2371" s="5" t="s">
        <v>9414</v>
      </c>
      <c r="C2371" s="5" t="s">
        <v>9415</v>
      </c>
      <c r="D2371" s="5" t="s">
        <v>27</v>
      </c>
      <c r="E2371" s="5" t="s">
        <v>18</v>
      </c>
      <c r="F2371" s="5" t="s">
        <v>9137</v>
      </c>
      <c r="G2371" s="5" t="s">
        <v>8458</v>
      </c>
      <c r="H2371" s="5" t="s">
        <v>9138</v>
      </c>
      <c r="I2371" s="5" t="s">
        <v>20</v>
      </c>
      <c r="J2371" s="5">
        <v>9.1</v>
      </c>
      <c r="K2371" s="5" t="s">
        <v>21</v>
      </c>
      <c r="L2371" s="5" t="s">
        <v>9416</v>
      </c>
      <c r="M2371" s="5" t="s">
        <v>9140</v>
      </c>
      <c r="N2371" s="7" t="str">
        <f>HYPERLINK("C:\Users\alexa\YandexDisk\Книги\Программирование\Java\Программируем на Java.pdf","Программируем на Java.pdf")</f>
        <v>Программируем на Java.pdf</v>
      </c>
      <c r="O2371" s="5" t="s">
        <v>9417</v>
      </c>
    </row>
    <row r="2372" spans="1:15" ht="124.2" x14ac:dyDescent="0.3">
      <c r="A2372" s="2">
        <v>2371</v>
      </c>
      <c r="B2372" s="3" t="s">
        <v>9418</v>
      </c>
      <c r="C2372" s="3" t="s">
        <v>9419</v>
      </c>
      <c r="D2372" s="3" t="s">
        <v>59</v>
      </c>
      <c r="E2372" s="3"/>
      <c r="F2372" s="3" t="s">
        <v>9137</v>
      </c>
      <c r="G2372" s="3" t="s">
        <v>8458</v>
      </c>
      <c r="H2372" s="3" t="s">
        <v>9138</v>
      </c>
      <c r="I2372" s="3" t="s">
        <v>20</v>
      </c>
      <c r="J2372" s="3">
        <v>78.8</v>
      </c>
      <c r="K2372" s="3" t="s">
        <v>21</v>
      </c>
      <c r="L2372" s="3" t="s">
        <v>9420</v>
      </c>
      <c r="M2372" s="3" t="s">
        <v>9140</v>
      </c>
      <c r="N2372" s="6" t="str">
        <f>HYPERLINK("C:\Users\alexa\YandexDisk\Книги\Программирование\Java\Прохоренок Н. - JavaFX - 2020.pdf","Прохоренок Н. - JavaFX - 2020.pdf")</f>
        <v>Прохоренок Н. - JavaFX - 2020.pdf</v>
      </c>
      <c r="O2372" s="3" t="s">
        <v>9421</v>
      </c>
    </row>
    <row r="2373" spans="1:15" ht="193.2" x14ac:dyDescent="0.3">
      <c r="A2373" s="4">
        <v>2372</v>
      </c>
      <c r="B2373" s="5" t="s">
        <v>9422</v>
      </c>
      <c r="C2373" s="5" t="s">
        <v>8788</v>
      </c>
      <c r="D2373" s="5" t="s">
        <v>476</v>
      </c>
      <c r="E2373" s="5" t="s">
        <v>18</v>
      </c>
      <c r="F2373" s="5" t="s">
        <v>9137</v>
      </c>
      <c r="G2373" s="5" t="s">
        <v>8458</v>
      </c>
      <c r="H2373" s="5" t="s">
        <v>9138</v>
      </c>
      <c r="I2373" s="5" t="s">
        <v>20</v>
      </c>
      <c r="J2373" s="5">
        <v>12.07</v>
      </c>
      <c r="K2373" s="5" t="s">
        <v>21</v>
      </c>
      <c r="L2373" s="5" t="s">
        <v>9423</v>
      </c>
      <c r="M2373" s="5" t="s">
        <v>9140</v>
      </c>
      <c r="N2373" s="7" t="str">
        <f>HYPERLINK("C:\Users\alexa\YandexDisk\Книги\Программирование\Java\Р. Лафоре - Структуры данных и алгоритмы в Java, 2-е издание.pdf","Р. Лафоре - Структуры данных и алгоритмы в Java, 2-е издание.pdf")</f>
        <v>Р. Лафоре - Структуры данных и алгоритмы в Java, 2-е издание.pdf</v>
      </c>
      <c r="O2373" s="5" t="s">
        <v>9424</v>
      </c>
    </row>
    <row r="2374" spans="1:15" ht="138" x14ac:dyDescent="0.3">
      <c r="A2374" s="2">
        <v>2373</v>
      </c>
      <c r="B2374" s="3" t="s">
        <v>9425</v>
      </c>
      <c r="C2374" s="3"/>
      <c r="D2374" s="3" t="s">
        <v>50</v>
      </c>
      <c r="E2374" s="3"/>
      <c r="F2374" s="3" t="s">
        <v>9137</v>
      </c>
      <c r="G2374" s="3" t="s">
        <v>8458</v>
      </c>
      <c r="H2374" s="3" t="s">
        <v>9138</v>
      </c>
      <c r="I2374" s="3" t="s">
        <v>20</v>
      </c>
      <c r="J2374" s="3">
        <v>26.88</v>
      </c>
      <c r="K2374" s="3" t="s">
        <v>21</v>
      </c>
      <c r="L2374" s="3" t="s">
        <v>9426</v>
      </c>
      <c r="M2374" s="3" t="s">
        <v>9140</v>
      </c>
      <c r="N2374" s="6" t="str">
        <f>HYPERLINK("C:\Users\alexa\YandexDisk\Книги\Программирование\Java\Разработка_обслуживаемых_программ_на_языке_Java_2017.pdf","Разработка_обслуживаемых_программ_на_языке_Java_2017.pdf")</f>
        <v>Разработка_обслуживаемых_программ_на_языке_Java_2017.pdf</v>
      </c>
      <c r="O2374" s="3" t="s">
        <v>9427</v>
      </c>
    </row>
    <row r="2375" spans="1:15" ht="179.4" x14ac:dyDescent="0.3">
      <c r="A2375" s="4">
        <v>2374</v>
      </c>
      <c r="B2375" s="5" t="s">
        <v>9428</v>
      </c>
      <c r="C2375" s="5" t="s">
        <v>9429</v>
      </c>
      <c r="D2375" s="5" t="s">
        <v>77</v>
      </c>
      <c r="E2375" s="5" t="s">
        <v>1431</v>
      </c>
      <c r="F2375" s="5" t="s">
        <v>9137</v>
      </c>
      <c r="G2375" s="5" t="s">
        <v>8458</v>
      </c>
      <c r="H2375" s="5" t="s">
        <v>9138</v>
      </c>
      <c r="I2375" s="5" t="s">
        <v>20</v>
      </c>
      <c r="J2375" s="5">
        <v>45.82</v>
      </c>
      <c r="K2375" s="5" t="s">
        <v>21</v>
      </c>
      <c r="L2375" s="5" t="s">
        <v>9430</v>
      </c>
      <c r="M2375" s="5" t="s">
        <v>9140</v>
      </c>
      <c r="N2375" s="7" t="str">
        <f>HYPERLINK("C:\Users\alexa\YandexDisk\Книги\Программирование\Java\Роджерс_Кейденхкд_Java_за_24.pdf","Роджерс_Кейденхкд_Java_за_24.pdf")</f>
        <v>Роджерс_Кейденхкд_Java_за_24.pdf</v>
      </c>
      <c r="O2375" s="5" t="s">
        <v>9431</v>
      </c>
    </row>
    <row r="2376" spans="1:15" ht="165.6" x14ac:dyDescent="0.3">
      <c r="A2376" s="2">
        <v>2375</v>
      </c>
      <c r="B2376" s="3" t="s">
        <v>9432</v>
      </c>
      <c r="C2376" s="3" t="s">
        <v>9042</v>
      </c>
      <c r="D2376" s="3" t="s">
        <v>114</v>
      </c>
      <c r="E2376" s="3" t="s">
        <v>485</v>
      </c>
      <c r="F2376" s="3" t="s">
        <v>9137</v>
      </c>
      <c r="G2376" s="3" t="s">
        <v>8458</v>
      </c>
      <c r="H2376" s="3" t="s">
        <v>9138</v>
      </c>
      <c r="I2376" s="3" t="s">
        <v>20</v>
      </c>
      <c r="J2376" s="3">
        <v>5.19</v>
      </c>
      <c r="K2376" s="3" t="s">
        <v>21</v>
      </c>
      <c r="L2376" s="3" t="s">
        <v>9433</v>
      </c>
      <c r="M2376" s="3" t="s">
        <v>9140</v>
      </c>
      <c r="N2376" s="6" t="str">
        <f>HYPERLINK("C:\Users\alexa\YandexDisk\Книги\Программирование\Java\Самоучиталь JAVA спримерами_2016.pdf","Самоучиталь JAVA спримерами_2016.pdf")</f>
        <v>Самоучиталь JAVA спримерами_2016.pdf</v>
      </c>
      <c r="O2376" s="3" t="s">
        <v>9434</v>
      </c>
    </row>
    <row r="2377" spans="1:15" ht="193.2" x14ac:dyDescent="0.3">
      <c r="A2377" s="4">
        <v>2376</v>
      </c>
      <c r="B2377" s="5" t="s">
        <v>9435</v>
      </c>
      <c r="C2377" s="5" t="s">
        <v>9436</v>
      </c>
      <c r="D2377" s="5" t="s">
        <v>17</v>
      </c>
      <c r="E2377" s="5" t="s">
        <v>18</v>
      </c>
      <c r="F2377" s="5" t="s">
        <v>9137</v>
      </c>
      <c r="G2377" s="5" t="s">
        <v>8458</v>
      </c>
      <c r="H2377" s="5" t="s">
        <v>9138</v>
      </c>
      <c r="I2377" s="5" t="s">
        <v>20</v>
      </c>
      <c r="J2377" s="5">
        <v>22.67</v>
      </c>
      <c r="K2377" s="5" t="s">
        <v>21</v>
      </c>
      <c r="L2377" s="5" t="s">
        <v>9437</v>
      </c>
      <c r="M2377" s="5" t="s">
        <v>9140</v>
      </c>
      <c r="N2377" s="7" t="str">
        <f>HYPERLINK("C:\Users\alexa\YandexDisk\Книги\Программирование\Java\Система модулей в Java 2021.pdf","Система модулей в Java 2021.pdf")</f>
        <v>Система модулей в Java 2021.pdf</v>
      </c>
      <c r="O2377" s="5" t="s">
        <v>9438</v>
      </c>
    </row>
    <row r="2378" spans="1:15" ht="165.6" x14ac:dyDescent="0.3">
      <c r="A2378" s="2">
        <v>2377</v>
      </c>
      <c r="B2378" s="3" t="s">
        <v>9439</v>
      </c>
      <c r="C2378" s="3" t="s">
        <v>9440</v>
      </c>
      <c r="D2378" s="3"/>
      <c r="E2378" s="3" t="s">
        <v>102</v>
      </c>
      <c r="F2378" s="3" t="s">
        <v>9137</v>
      </c>
      <c r="G2378" s="3" t="s">
        <v>8458</v>
      </c>
      <c r="H2378" s="3" t="s">
        <v>9138</v>
      </c>
      <c r="I2378" s="3" t="s">
        <v>20</v>
      </c>
      <c r="J2378" s="3">
        <v>2.2400000000000002</v>
      </c>
      <c r="K2378" s="3" t="s">
        <v>21</v>
      </c>
      <c r="L2378" s="3" t="s">
        <v>9441</v>
      </c>
      <c r="M2378" s="3" t="s">
        <v>9140</v>
      </c>
      <c r="N2378" s="6" t="str">
        <f>HYPERLINK("C:\Users\alexa\YandexDisk\Книги\Программирование\Java\Современный Java.pdf","Современный Java.pdf")</f>
        <v>Современный Java.pdf</v>
      </c>
      <c r="O2378" s="3" t="s">
        <v>9442</v>
      </c>
    </row>
    <row r="2379" spans="1:15" ht="165.6" x14ac:dyDescent="0.3">
      <c r="A2379" s="4">
        <v>2378</v>
      </c>
      <c r="B2379" s="5" t="s">
        <v>9443</v>
      </c>
      <c r="C2379" s="5" t="s">
        <v>9444</v>
      </c>
      <c r="D2379" s="5" t="s">
        <v>59</v>
      </c>
      <c r="E2379" s="5" t="s">
        <v>18</v>
      </c>
      <c r="F2379" s="5" t="s">
        <v>9137</v>
      </c>
      <c r="G2379" s="5" t="s">
        <v>8458</v>
      </c>
      <c r="H2379" s="5" t="s">
        <v>9138</v>
      </c>
      <c r="I2379" s="5" t="s">
        <v>20</v>
      </c>
      <c r="J2379" s="5">
        <v>29.55</v>
      </c>
      <c r="K2379" s="5" t="s">
        <v>21</v>
      </c>
      <c r="L2379" s="5" t="s">
        <v>9445</v>
      </c>
      <c r="M2379" s="5" t="s">
        <v>9140</v>
      </c>
      <c r="N2379" s="7" t="str">
        <f>HYPERLINK("C:\Users\alexa\YandexDisk\Книги\Программирование\Java\Современный_язык_Java_лямбда-выражения_потоки 2020.pdf","Современный_язык_Java_лямбда-выражения_потоки 2020.pdf")</f>
        <v>Современный_язык_Java_лямбда-выражения_потоки 2020.pdf</v>
      </c>
      <c r="O2379" s="5" t="s">
        <v>9446</v>
      </c>
    </row>
    <row r="2380" spans="1:15" ht="207" x14ac:dyDescent="0.3">
      <c r="A2380" s="2">
        <v>2379</v>
      </c>
      <c r="B2380" s="3" t="s">
        <v>9447</v>
      </c>
      <c r="C2380" s="3" t="s">
        <v>9448</v>
      </c>
      <c r="D2380" s="3" t="s">
        <v>17</v>
      </c>
      <c r="E2380" s="3" t="s">
        <v>18</v>
      </c>
      <c r="F2380" s="3" t="s">
        <v>9137</v>
      </c>
      <c r="G2380" s="3" t="s">
        <v>8458</v>
      </c>
      <c r="H2380" s="3" t="s">
        <v>9138</v>
      </c>
      <c r="I2380" s="3" t="s">
        <v>20</v>
      </c>
      <c r="J2380" s="3">
        <v>7.22</v>
      </c>
      <c r="K2380" s="3" t="s">
        <v>21</v>
      </c>
      <c r="L2380" s="3" t="s">
        <v>9449</v>
      </c>
      <c r="M2380" s="3" t="s">
        <v>9140</v>
      </c>
      <c r="N2380" s="6" t="str">
        <f>HYPERLINK("C:\Users\alexa\YandexDisk\Книги\Программирование\Java\Стильный Java 2021.pdf","Стильный Java 2021.pdf")</f>
        <v>Стильный Java 2021.pdf</v>
      </c>
      <c r="O2380" s="3" t="s">
        <v>9450</v>
      </c>
    </row>
    <row r="2381" spans="1:15" ht="151.80000000000001" x14ac:dyDescent="0.3">
      <c r="A2381" s="4">
        <v>2380</v>
      </c>
      <c r="B2381" s="5" t="s">
        <v>9451</v>
      </c>
      <c r="C2381" s="5" t="s">
        <v>9452</v>
      </c>
      <c r="D2381" s="5" t="s">
        <v>837</v>
      </c>
      <c r="E2381" s="5"/>
      <c r="F2381" s="5" t="s">
        <v>9137</v>
      </c>
      <c r="G2381" s="5" t="s">
        <v>8458</v>
      </c>
      <c r="H2381" s="5" t="s">
        <v>9138</v>
      </c>
      <c r="I2381" s="5" t="s">
        <v>20</v>
      </c>
      <c r="J2381" s="5">
        <v>17.239999999999998</v>
      </c>
      <c r="K2381" s="5" t="s">
        <v>21</v>
      </c>
      <c r="L2381" s="5" t="s">
        <v>9453</v>
      </c>
      <c r="M2381" s="5" t="s">
        <v>9140</v>
      </c>
      <c r="N2381" s="7" t="str">
        <f>HYPERLINK("C:\Users\alexa\YandexDisk\Книги\Программирование\Java\Файн Я. - Программирование на Java для детей, родителей, дедушек и бабушек - 2011.pdf","Файн Я. - Программирование на Java для детей, родителей, дедушек и бабушек - 2011.pdf")</f>
        <v>Файн Я. - Программирование на Java для детей, родителей, дедушек и бабушек - 2011.pdf</v>
      </c>
      <c r="O2381" s="5" t="s">
        <v>9454</v>
      </c>
    </row>
    <row r="2382" spans="1:15" ht="151.80000000000001" x14ac:dyDescent="0.3">
      <c r="A2382" s="2">
        <v>2381</v>
      </c>
      <c r="B2382" s="3" t="s">
        <v>9455</v>
      </c>
      <c r="C2382" s="3" t="s">
        <v>9456</v>
      </c>
      <c r="D2382" s="3" t="s">
        <v>114</v>
      </c>
      <c r="E2382" s="3" t="s">
        <v>102</v>
      </c>
      <c r="F2382" s="3" t="s">
        <v>9137</v>
      </c>
      <c r="G2382" s="3" t="s">
        <v>8458</v>
      </c>
      <c r="H2382" s="3" t="s">
        <v>9138</v>
      </c>
      <c r="I2382" s="3" t="s">
        <v>20</v>
      </c>
      <c r="J2382" s="3">
        <v>5.69</v>
      </c>
      <c r="K2382" s="3" t="s">
        <v>21</v>
      </c>
      <c r="L2382" s="3" t="s">
        <v>9457</v>
      </c>
      <c r="M2382" s="3" t="s">
        <v>9140</v>
      </c>
      <c r="N2382" s="6" t="str">
        <f>HYPERLINK("C:\Users\alexa\YandexDisk\Книги\Программирование\Java\Хеффельфингер_Д_Java_EE_7_и_сервер_приложений_GlassFish_4_2016_pdf.pdf","Хеффельфингер_Д_Java_EE_7_и_сервер_приложений_GlassFish_4_2016_pdf.pdf")</f>
        <v>Хеффельфингер_Д_Java_EE_7_и_сервер_приложений_GlassFish_4_2016_pdf.pdf</v>
      </c>
      <c r="O2382" s="3" t="s">
        <v>9458</v>
      </c>
    </row>
    <row r="2383" spans="1:15" ht="151.80000000000001" x14ac:dyDescent="0.3">
      <c r="A2383" s="4">
        <v>2382</v>
      </c>
      <c r="B2383" s="5" t="s">
        <v>9142</v>
      </c>
      <c r="C2383" s="5" t="s">
        <v>8853</v>
      </c>
      <c r="D2383" s="5" t="s">
        <v>77</v>
      </c>
      <c r="E2383" s="5" t="s">
        <v>1431</v>
      </c>
      <c r="F2383" s="5" t="s">
        <v>9137</v>
      </c>
      <c r="G2383" s="5" t="s">
        <v>8458</v>
      </c>
      <c r="H2383" s="5" t="s">
        <v>9138</v>
      </c>
      <c r="I2383" s="5" t="s">
        <v>20</v>
      </c>
      <c r="J2383" s="5">
        <v>11.64</v>
      </c>
      <c r="K2383" s="5" t="s">
        <v>21</v>
      </c>
      <c r="L2383" s="5" t="s">
        <v>9459</v>
      </c>
      <c r="M2383" s="5" t="s">
        <v>9140</v>
      </c>
      <c r="N2383" s="7" t="str">
        <f>HYPERLINK("C:\Users\alexa\YandexDisk\Книги\Программирование\Java\Шилдт_Java_Руководство_для_начинающих.pdf","Шилдт_Java_Руководство_для_начинающих.pdf")</f>
        <v>Шилдт_Java_Руководство_для_начинающих.pdf</v>
      </c>
      <c r="O2383" s="5" t="s">
        <v>9460</v>
      </c>
    </row>
    <row r="2384" spans="1:15" ht="193.2" x14ac:dyDescent="0.3">
      <c r="A2384" s="2">
        <v>2383</v>
      </c>
      <c r="B2384" s="3" t="s">
        <v>9461</v>
      </c>
      <c r="C2384" s="3" t="s">
        <v>9462</v>
      </c>
      <c r="D2384" s="3" t="s">
        <v>32</v>
      </c>
      <c r="E2384" s="3" t="s">
        <v>18</v>
      </c>
      <c r="F2384" s="3" t="s">
        <v>9137</v>
      </c>
      <c r="G2384" s="3" t="s">
        <v>8458</v>
      </c>
      <c r="H2384" s="3" t="s">
        <v>9138</v>
      </c>
      <c r="I2384" s="3" t="s">
        <v>20</v>
      </c>
      <c r="J2384" s="3">
        <v>13.07</v>
      </c>
      <c r="K2384" s="3" t="s">
        <v>21</v>
      </c>
      <c r="L2384" s="3" t="s">
        <v>9463</v>
      </c>
      <c r="M2384" s="3" t="s">
        <v>9140</v>
      </c>
      <c r="N2384" s="6" t="str">
        <f>HYPERLINK("C:\Users\alexa\YandexDisk\Книги\Программирование\Java\Элегантные объекты. Java Edition.pdf","Элегантные объекты. Java Edition.pdf")</f>
        <v>Элегантные объекты. Java Edition.pdf</v>
      </c>
      <c r="O2384" s="3" t="s">
        <v>9464</v>
      </c>
    </row>
    <row r="2385" spans="1:15" ht="193.2" x14ac:dyDescent="0.3">
      <c r="A2385" s="4">
        <v>2384</v>
      </c>
      <c r="B2385" s="5" t="s">
        <v>9465</v>
      </c>
      <c r="C2385" s="5" t="s">
        <v>9466</v>
      </c>
      <c r="D2385" s="5" t="s">
        <v>17</v>
      </c>
      <c r="E2385" s="5" t="s">
        <v>18</v>
      </c>
      <c r="F2385" s="5" t="s">
        <v>9137</v>
      </c>
      <c r="G2385" s="5" t="s">
        <v>8458</v>
      </c>
      <c r="H2385" s="5" t="s">
        <v>9138</v>
      </c>
      <c r="I2385" s="5" t="s">
        <v>20</v>
      </c>
      <c r="J2385" s="5">
        <v>8.93</v>
      </c>
      <c r="K2385" s="5" t="s">
        <v>21</v>
      </c>
      <c r="L2385" s="5" t="s">
        <v>9467</v>
      </c>
      <c r="M2385" s="5" t="s">
        <v>9140</v>
      </c>
      <c r="N2385" s="7" t="str">
        <f>HYPERLINK("C:\Users\alexa\YandexDisk\Книги\Программирование\Java\Эффективный_Java_Тюнинг_кода_на_Java_8,_11_и_дальше.pdf","Эффективный_Java_Тюнинг_кода_на_Java_8,_11_и_дальше.pdf")</f>
        <v>Эффективный_Java_Тюнинг_кода_на_Java_8,_11_и_дальше.pdf</v>
      </c>
      <c r="O2385" s="5" t="s">
        <v>9468</v>
      </c>
    </row>
    <row r="2386" spans="1:15" ht="138" x14ac:dyDescent="0.3">
      <c r="A2386" s="2">
        <v>2385</v>
      </c>
      <c r="B2386" s="3" t="s">
        <v>9469</v>
      </c>
      <c r="C2386" s="3" t="s">
        <v>9470</v>
      </c>
      <c r="D2386" s="3" t="s">
        <v>109</v>
      </c>
      <c r="E2386" s="3" t="s">
        <v>3977</v>
      </c>
      <c r="F2386" s="3" t="s">
        <v>9471</v>
      </c>
      <c r="G2386" s="3" t="s">
        <v>8458</v>
      </c>
      <c r="H2386" s="3" t="s">
        <v>3875</v>
      </c>
      <c r="I2386" s="3" t="s">
        <v>20</v>
      </c>
      <c r="J2386" s="3">
        <v>6.75</v>
      </c>
      <c r="K2386" s="3" t="s">
        <v>21</v>
      </c>
      <c r="L2386" s="3" t="s">
        <v>9472</v>
      </c>
      <c r="M2386" s="3" t="s">
        <v>9473</v>
      </c>
      <c r="N2386" s="6" t="str">
        <f>HYPERLINK("C:\Users\alexa\YandexDisk\Книги\Программирование\JavaScript\advanced-javascript-unleashed.pdf","advanced-javascript-unleashed.pdf")</f>
        <v>advanced-javascript-unleashed.pdf</v>
      </c>
      <c r="O2386" s="3" t="s">
        <v>9474</v>
      </c>
    </row>
    <row r="2387" spans="1:15" ht="220.8" x14ac:dyDescent="0.3">
      <c r="A2387" s="4">
        <v>2386</v>
      </c>
      <c r="B2387" s="5" t="s">
        <v>9475</v>
      </c>
      <c r="C2387" s="5" t="s">
        <v>9476</v>
      </c>
      <c r="D2387" s="5" t="s">
        <v>50</v>
      </c>
      <c r="E2387" s="5" t="s">
        <v>18</v>
      </c>
      <c r="F2387" s="5" t="s">
        <v>9471</v>
      </c>
      <c r="G2387" s="5" t="s">
        <v>8458</v>
      </c>
      <c r="H2387" s="5" t="s">
        <v>3875</v>
      </c>
      <c r="I2387" s="5" t="s">
        <v>20</v>
      </c>
      <c r="J2387" s="5">
        <v>6.28</v>
      </c>
      <c r="K2387" s="5" t="s">
        <v>21</v>
      </c>
      <c r="L2387" s="5" t="s">
        <v>9477</v>
      </c>
      <c r="M2387" s="5" t="s">
        <v>9473</v>
      </c>
      <c r="N2387" s="7" t="str">
        <f>HYPERLINK("C:\Users\alexa\YandexDisk\Книги\Программирование\JavaScript\EcmaScript 6.pdf","EcmaScript 6.pdf")</f>
        <v>EcmaScript 6.pdf</v>
      </c>
      <c r="O2387" s="5" t="s">
        <v>9478</v>
      </c>
    </row>
    <row r="2388" spans="1:15" ht="193.2" x14ac:dyDescent="0.3">
      <c r="A2388" s="2">
        <v>2387</v>
      </c>
      <c r="B2388" s="3" t="s">
        <v>9479</v>
      </c>
      <c r="C2388" s="3" t="s">
        <v>9480</v>
      </c>
      <c r="D2388" s="3"/>
      <c r="E2388" s="3"/>
      <c r="F2388" s="3" t="s">
        <v>9471</v>
      </c>
      <c r="G2388" s="3" t="s">
        <v>8458</v>
      </c>
      <c r="H2388" s="3" t="s">
        <v>3875</v>
      </c>
      <c r="I2388" s="3" t="s">
        <v>20</v>
      </c>
      <c r="J2388" s="3">
        <v>16.29</v>
      </c>
      <c r="K2388" s="3" t="s">
        <v>21</v>
      </c>
      <c r="L2388" s="3" t="s">
        <v>9481</v>
      </c>
      <c r="M2388" s="3" t="s">
        <v>9473</v>
      </c>
      <c r="N2388" s="6" t="str">
        <f>HYPERLINK("C:\Users\alexa\YandexDisk\Книги\Программирование\JavaScript\Head First JavaScript Programming_2Ed_True.pdf","Head First JavaScript Programming_2Ed_True.pdf")</f>
        <v>Head First JavaScript Programming_2Ed_True.pdf</v>
      </c>
      <c r="O2388" s="3" t="s">
        <v>9482</v>
      </c>
    </row>
    <row r="2389" spans="1:15" ht="165.6" x14ac:dyDescent="0.3">
      <c r="A2389" s="4">
        <v>2388</v>
      </c>
      <c r="B2389" s="5" t="s">
        <v>9483</v>
      </c>
      <c r="C2389" s="5" t="s">
        <v>9484</v>
      </c>
      <c r="D2389" s="5"/>
      <c r="E2389" s="5"/>
      <c r="F2389" s="5" t="s">
        <v>9471</v>
      </c>
      <c r="G2389" s="5" t="s">
        <v>8458</v>
      </c>
      <c r="H2389" s="5" t="s">
        <v>3875</v>
      </c>
      <c r="I2389" s="5" t="s">
        <v>280</v>
      </c>
      <c r="J2389" s="5">
        <v>51.55</v>
      </c>
      <c r="K2389" s="5" t="s">
        <v>21</v>
      </c>
      <c r="L2389" s="5" t="s">
        <v>9485</v>
      </c>
      <c r="M2389" s="5" t="s">
        <v>9473</v>
      </c>
      <c r="N2389" s="7" t="str">
        <f>HYPERLINK("C:\Users\alexa\YandexDisk\Книги\Программирование\JavaScript\JavaScript A Beginner's Guide Fifth Edition.epub","JavaScript A Beginner's Guide Fifth Edition.epub")</f>
        <v>JavaScript A Beginner's Guide Fifth Edition.epub</v>
      </c>
      <c r="O2389" s="5" t="s">
        <v>9486</v>
      </c>
    </row>
    <row r="2390" spans="1:15" ht="193.2" x14ac:dyDescent="0.3">
      <c r="A2390" s="2">
        <v>2389</v>
      </c>
      <c r="B2390" s="3" t="s">
        <v>9487</v>
      </c>
      <c r="C2390" s="3" t="s">
        <v>9488</v>
      </c>
      <c r="D2390" s="3" t="s">
        <v>71</v>
      </c>
      <c r="E2390" s="3" t="s">
        <v>72</v>
      </c>
      <c r="F2390" s="3" t="s">
        <v>9471</v>
      </c>
      <c r="G2390" s="3" t="s">
        <v>8458</v>
      </c>
      <c r="H2390" s="3" t="s">
        <v>3875</v>
      </c>
      <c r="I2390" s="3" t="s">
        <v>20</v>
      </c>
      <c r="J2390" s="3">
        <v>6.95</v>
      </c>
      <c r="K2390" s="3" t="s">
        <v>21</v>
      </c>
      <c r="L2390" s="3" t="s">
        <v>9489</v>
      </c>
      <c r="M2390" s="3" t="s">
        <v>9473</v>
      </c>
      <c r="N2390" s="6" t="str">
        <f>HYPERLINK("C:\Users\alexa\YandexDisk\Книги\Программирование\JavaScript\JavaScript Crash Course  2022.pdf","JavaScript Crash Course  2022.pdf")</f>
        <v>JavaScript Crash Course  2022.pdf</v>
      </c>
      <c r="O2390" s="3" t="s">
        <v>9490</v>
      </c>
    </row>
    <row r="2391" spans="1:15" ht="193.2" x14ac:dyDescent="0.3">
      <c r="A2391" s="4">
        <v>2390</v>
      </c>
      <c r="B2391" s="5" t="s">
        <v>9491</v>
      </c>
      <c r="C2391" s="5" t="s">
        <v>9492</v>
      </c>
      <c r="D2391" s="5" t="s">
        <v>71</v>
      </c>
      <c r="E2391" s="5" t="s">
        <v>9493</v>
      </c>
      <c r="F2391" s="5" t="s">
        <v>9471</v>
      </c>
      <c r="G2391" s="5" t="s">
        <v>8458</v>
      </c>
      <c r="H2391" s="5" t="s">
        <v>3875</v>
      </c>
      <c r="I2391" s="5" t="s">
        <v>20</v>
      </c>
      <c r="J2391" s="5">
        <v>10.54</v>
      </c>
      <c r="K2391" s="5" t="s">
        <v>21</v>
      </c>
      <c r="L2391" s="5" t="s">
        <v>9494</v>
      </c>
      <c r="M2391" s="5" t="s">
        <v>9473</v>
      </c>
      <c r="N2391" s="7" t="str">
        <f>HYPERLINK("C:\Users\alexa\YandexDisk\Книги\Программирование\JavaScript\JavaScript The Comprehensive Guide 2022.pdf","JavaScript The Comprehensive Guide 2022.pdf")</f>
        <v>JavaScript The Comprehensive Guide 2022.pdf</v>
      </c>
      <c r="O2391" s="5" t="s">
        <v>9495</v>
      </c>
    </row>
    <row r="2392" spans="1:15" ht="138" x14ac:dyDescent="0.3">
      <c r="A2392" s="2">
        <v>2391</v>
      </c>
      <c r="B2392" s="3" t="s">
        <v>9496</v>
      </c>
      <c r="C2392" s="3" t="s">
        <v>8653</v>
      </c>
      <c r="D2392" s="3" t="s">
        <v>71</v>
      </c>
      <c r="E2392" s="3" t="s">
        <v>1023</v>
      </c>
      <c r="F2392" s="3" t="s">
        <v>9471</v>
      </c>
      <c r="G2392" s="3" t="s">
        <v>8458</v>
      </c>
      <c r="H2392" s="3" t="s">
        <v>3875</v>
      </c>
      <c r="I2392" s="3" t="s">
        <v>20</v>
      </c>
      <c r="J2392" s="3">
        <v>17.68</v>
      </c>
      <c r="K2392" s="3" t="s">
        <v>21</v>
      </c>
      <c r="L2392" s="3" t="s">
        <v>9497</v>
      </c>
      <c r="M2392" s="3" t="s">
        <v>9473</v>
      </c>
      <c r="N2392" s="6" t="str">
        <f>HYPERLINK("C:\Users\alexa\YandexDisk\Книги\Программирование\JavaScript\JavaScript в примерах и задачах.pdf","JavaScript в примерах и задачах.pdf")</f>
        <v>JavaScript в примерах и задачах.pdf</v>
      </c>
      <c r="O2392" s="3" t="s">
        <v>9498</v>
      </c>
    </row>
    <row r="2393" spans="1:15" ht="138" x14ac:dyDescent="0.3">
      <c r="A2393" s="4">
        <v>2392</v>
      </c>
      <c r="B2393" s="5" t="s">
        <v>9499</v>
      </c>
      <c r="C2393" s="5"/>
      <c r="D2393" s="5" t="s">
        <v>50</v>
      </c>
      <c r="E2393" s="5"/>
      <c r="F2393" s="5" t="s">
        <v>9471</v>
      </c>
      <c r="G2393" s="5" t="s">
        <v>8458</v>
      </c>
      <c r="H2393" s="5" t="s">
        <v>3875</v>
      </c>
      <c r="I2393" s="5" t="s">
        <v>20</v>
      </c>
      <c r="J2393" s="5">
        <v>104.91</v>
      </c>
      <c r="K2393" s="5" t="s">
        <v>21</v>
      </c>
      <c r="L2393" s="5" t="s">
        <v>9500</v>
      </c>
      <c r="M2393" s="5" t="s">
        <v>9473</v>
      </c>
      <c r="N2393" s="7" t="str">
        <f>HYPERLINK("C:\Users\alexa\YandexDisk\Книги\Программирование\JavaScript\Javascript для чайников  2017.pdf","Javascript для чайников  2017.pdf")</f>
        <v>Javascript для чайников  2017.pdf</v>
      </c>
      <c r="O2393" s="5" t="s">
        <v>9501</v>
      </c>
    </row>
    <row r="2394" spans="1:15" ht="193.2" x14ac:dyDescent="0.3">
      <c r="A2394" s="2">
        <v>2393</v>
      </c>
      <c r="B2394" s="3" t="s">
        <v>9502</v>
      </c>
      <c r="C2394" s="3" t="s">
        <v>3468</v>
      </c>
      <c r="D2394" s="3" t="s">
        <v>71</v>
      </c>
      <c r="E2394" s="3" t="s">
        <v>402</v>
      </c>
      <c r="F2394" s="3" t="s">
        <v>9471</v>
      </c>
      <c r="G2394" s="3" t="s">
        <v>8458</v>
      </c>
      <c r="H2394" s="3" t="s">
        <v>3875</v>
      </c>
      <c r="I2394" s="3" t="s">
        <v>20</v>
      </c>
      <c r="J2394" s="3">
        <v>21.4</v>
      </c>
      <c r="K2394" s="3" t="s">
        <v>21</v>
      </c>
      <c r="L2394" s="3" t="s">
        <v>9503</v>
      </c>
      <c r="M2394" s="3" t="s">
        <v>9473</v>
      </c>
      <c r="N2394" s="6" t="str">
        <f>HYPERLINK("C:\Users\alexa\YandexDisk\Книги\Программирование\JavaScript\Javascript Дронов.pdf","Javascript Дронов.pdf")</f>
        <v>Javascript Дронов.pdf</v>
      </c>
      <c r="O2394" s="3" t="s">
        <v>9504</v>
      </c>
    </row>
    <row r="2395" spans="1:15" ht="193.2" x14ac:dyDescent="0.3">
      <c r="A2395" s="4">
        <v>2394</v>
      </c>
      <c r="B2395" s="5" t="s">
        <v>9505</v>
      </c>
      <c r="C2395" s="5" t="s">
        <v>3592</v>
      </c>
      <c r="D2395" s="5" t="s">
        <v>71</v>
      </c>
      <c r="E2395" s="5" t="s">
        <v>402</v>
      </c>
      <c r="F2395" s="5" t="s">
        <v>9471</v>
      </c>
      <c r="G2395" s="5" t="s">
        <v>8458</v>
      </c>
      <c r="H2395" s="5" t="s">
        <v>3875</v>
      </c>
      <c r="I2395" s="5" t="s">
        <v>20</v>
      </c>
      <c r="J2395" s="5">
        <v>6.53</v>
      </c>
      <c r="K2395" s="5" t="s">
        <v>21</v>
      </c>
      <c r="L2395" s="5" t="s">
        <v>9506</v>
      </c>
      <c r="M2395" s="5" t="s">
        <v>9473</v>
      </c>
      <c r="N2395" s="7" t="str">
        <f>HYPERLINK("C:\Users\alexa\YandexDisk\Книги\Программирование\JavaScript\JavaScript и Nodejs для веб разработчиков.pdf","JavaScript и Nodejs для веб разработчиков.pdf")</f>
        <v>JavaScript и Nodejs для веб разработчиков.pdf</v>
      </c>
      <c r="O2395" s="5" t="s">
        <v>9507</v>
      </c>
    </row>
    <row r="2396" spans="1:15" ht="207" x14ac:dyDescent="0.3">
      <c r="A2396" s="2">
        <v>2395</v>
      </c>
      <c r="B2396" s="3" t="s">
        <v>9508</v>
      </c>
      <c r="C2396" s="3" t="s">
        <v>9509</v>
      </c>
      <c r="D2396" s="3" t="s">
        <v>17</v>
      </c>
      <c r="E2396" s="3" t="s">
        <v>18</v>
      </c>
      <c r="F2396" s="3" t="s">
        <v>9471</v>
      </c>
      <c r="G2396" s="3" t="s">
        <v>8458</v>
      </c>
      <c r="H2396" s="3" t="s">
        <v>3875</v>
      </c>
      <c r="I2396" s="3" t="s">
        <v>20</v>
      </c>
      <c r="J2396" s="3">
        <v>12.66</v>
      </c>
      <c r="K2396" s="3" t="s">
        <v>21</v>
      </c>
      <c r="L2396" s="3" t="s">
        <v>9510</v>
      </c>
      <c r="M2396" s="3" t="s">
        <v>9473</v>
      </c>
      <c r="N2396" s="6" t="str">
        <f>HYPERLINK("C:\Users\alexa\YandexDisk\Книги\Программирование\JavaScript\JavaScript с нуля 2021.pdf","JavaScript с нуля 2021.pdf")</f>
        <v>JavaScript с нуля 2021.pdf</v>
      </c>
      <c r="O2396" s="3" t="s">
        <v>9511</v>
      </c>
    </row>
    <row r="2397" spans="1:15" ht="179.4" x14ac:dyDescent="0.3">
      <c r="A2397" s="4">
        <v>2396</v>
      </c>
      <c r="B2397" s="5" t="s">
        <v>9512</v>
      </c>
      <c r="C2397" s="5" t="s">
        <v>3472</v>
      </c>
      <c r="D2397" s="5" t="s">
        <v>71</v>
      </c>
      <c r="E2397" s="5" t="s">
        <v>148</v>
      </c>
      <c r="F2397" s="5" t="s">
        <v>9471</v>
      </c>
      <c r="G2397" s="5" t="s">
        <v>8458</v>
      </c>
      <c r="H2397" s="5" t="s">
        <v>3875</v>
      </c>
      <c r="I2397" s="5" t="s">
        <v>20</v>
      </c>
      <c r="J2397" s="5">
        <v>5.77</v>
      </c>
      <c r="K2397" s="5" t="s">
        <v>21</v>
      </c>
      <c r="L2397" s="5" t="s">
        <v>9513</v>
      </c>
      <c r="M2397" s="5" t="s">
        <v>9473</v>
      </c>
      <c r="N2397" s="7" t="str">
        <f>HYPERLINK("C:\Users\alexa\YandexDisk\Книги\Программирование\JavaScript\javascript. Визуальные редакторы.pdf","javascript. Визуальные редакторы.pdf")</f>
        <v>javascript. Визуальные редакторы.pdf</v>
      </c>
      <c r="O2397" s="5" t="s">
        <v>9514</v>
      </c>
    </row>
    <row r="2398" spans="1:15" ht="193.2" x14ac:dyDescent="0.3">
      <c r="A2398" s="2">
        <v>2397</v>
      </c>
      <c r="B2398" s="3" t="s">
        <v>9515</v>
      </c>
      <c r="C2398" s="3" t="s">
        <v>9516</v>
      </c>
      <c r="D2398" s="3" t="s">
        <v>17</v>
      </c>
      <c r="E2398" s="3" t="s">
        <v>442</v>
      </c>
      <c r="F2398" s="3" t="s">
        <v>9471</v>
      </c>
      <c r="G2398" s="3" t="s">
        <v>8458</v>
      </c>
      <c r="H2398" s="3" t="s">
        <v>3875</v>
      </c>
      <c r="I2398" s="3" t="s">
        <v>20</v>
      </c>
      <c r="J2398" s="3">
        <v>53.19</v>
      </c>
      <c r="K2398" s="3" t="s">
        <v>21</v>
      </c>
      <c r="L2398" s="3" t="s">
        <v>9517</v>
      </c>
      <c r="M2398" s="3" t="s">
        <v>9473</v>
      </c>
      <c r="N2398" s="6" t="str">
        <f>HYPERLINK("C:\Users\alexa\YandexDisk\Книги\Программирование\JavaScript\JavaScript. Полное руководство, 7-е издание [2021] Флэнаган.pdf","JavaScript. Полное руководство, 7-е издание [2021] Флэнаган.pdf")</f>
        <v>JavaScript. Полное руководство, 7-е издание [2021] Флэнаган.pdf</v>
      </c>
      <c r="O2398" s="3" t="s">
        <v>9518</v>
      </c>
    </row>
    <row r="2399" spans="1:15" ht="179.4" x14ac:dyDescent="0.3">
      <c r="A2399" s="4">
        <v>2398</v>
      </c>
      <c r="B2399" s="5" t="s">
        <v>9519</v>
      </c>
      <c r="C2399" s="5" t="s">
        <v>9520</v>
      </c>
      <c r="D2399" s="5" t="s">
        <v>65</v>
      </c>
      <c r="E2399" s="5" t="s">
        <v>18</v>
      </c>
      <c r="F2399" s="5" t="s">
        <v>9471</v>
      </c>
      <c r="G2399" s="5" t="s">
        <v>8458</v>
      </c>
      <c r="H2399" s="5" t="s">
        <v>3875</v>
      </c>
      <c r="I2399" s="5" t="s">
        <v>20</v>
      </c>
      <c r="J2399" s="5">
        <v>4.22</v>
      </c>
      <c r="K2399" s="5" t="s">
        <v>21</v>
      </c>
      <c r="L2399" s="5" t="s">
        <v>9521</v>
      </c>
      <c r="M2399" s="5" t="s">
        <v>9473</v>
      </c>
      <c r="N2399" s="7" t="str">
        <f>HYPERLINK("C:\Users\alexa\YandexDisk\Книги\Программирование\JavaScript\JavaScript. Сильные стороны.pdf","JavaScript. Сильные стороны.pdf")</f>
        <v>JavaScript. Сильные стороны.pdf</v>
      </c>
      <c r="O2399" s="5" t="s">
        <v>9522</v>
      </c>
    </row>
    <row r="2400" spans="1:15" ht="151.80000000000001" x14ac:dyDescent="0.3">
      <c r="A2400" s="2">
        <v>2399</v>
      </c>
      <c r="B2400" s="3" t="s">
        <v>9523</v>
      </c>
      <c r="C2400" s="3" t="s">
        <v>3944</v>
      </c>
      <c r="D2400" s="3"/>
      <c r="E2400" s="3"/>
      <c r="F2400" s="3" t="s">
        <v>9471</v>
      </c>
      <c r="G2400" s="3" t="s">
        <v>8458</v>
      </c>
      <c r="H2400" s="3" t="s">
        <v>3875</v>
      </c>
      <c r="I2400" s="3" t="s">
        <v>280</v>
      </c>
      <c r="J2400" s="3">
        <v>51.07</v>
      </c>
      <c r="K2400" s="3" t="s">
        <v>21</v>
      </c>
      <c r="L2400" s="3" t="s">
        <v>9524</v>
      </c>
      <c r="M2400" s="3" t="s">
        <v>9473</v>
      </c>
      <c r="N2400" s="6" t="str">
        <f>HYPERLINK("C:\Users\alexa\YandexDisk\Книги\Программирование\JavaScript\Javascript.Absolute.Beginners.Guide.3rd.Edition.epub","Javascript.Absolute.Beginners.Guide.3rd.Edition.epub")</f>
        <v>Javascript.Absolute.Beginners.Guide.3rd.Edition.epub</v>
      </c>
      <c r="O2400" s="3" t="s">
        <v>9525</v>
      </c>
    </row>
    <row r="2401" spans="1:15" ht="179.4" x14ac:dyDescent="0.3">
      <c r="A2401" s="4">
        <v>2400</v>
      </c>
      <c r="B2401" s="5" t="s">
        <v>9526</v>
      </c>
      <c r="C2401" s="5" t="s">
        <v>9527</v>
      </c>
      <c r="D2401" s="5" t="s">
        <v>71</v>
      </c>
      <c r="E2401" s="5"/>
      <c r="F2401" s="5" t="s">
        <v>9471</v>
      </c>
      <c r="G2401" s="5" t="s">
        <v>8458</v>
      </c>
      <c r="H2401" s="5" t="s">
        <v>3875</v>
      </c>
      <c r="I2401" s="5" t="s">
        <v>20</v>
      </c>
      <c r="J2401" s="5">
        <v>19.440000000000001</v>
      </c>
      <c r="K2401" s="5" t="s">
        <v>21</v>
      </c>
      <c r="L2401" s="5" t="s">
        <v>9528</v>
      </c>
      <c r="M2401" s="5" t="s">
        <v>9473</v>
      </c>
      <c r="N2401" s="7" t="str">
        <f>HYPERLINK("C:\Users\alexa\YandexDisk\Книги\Программирование\JavaScript\JavaScript.From.Zero.to.Hero.pdf","JavaScript.From.Zero.to.Hero.pdf")</f>
        <v>JavaScript.From.Zero.to.Hero.pdf</v>
      </c>
      <c r="O2401" s="5" t="s">
        <v>9529</v>
      </c>
    </row>
    <row r="2402" spans="1:15" ht="179.4" x14ac:dyDescent="0.3">
      <c r="A2402" s="2">
        <v>2401</v>
      </c>
      <c r="B2402" s="3" t="s">
        <v>9530</v>
      </c>
      <c r="C2402" s="3" t="s">
        <v>9531</v>
      </c>
      <c r="D2402" s="3" t="s">
        <v>77</v>
      </c>
      <c r="E2402" s="3"/>
      <c r="F2402" s="3" t="s">
        <v>9471</v>
      </c>
      <c r="G2402" s="3" t="s">
        <v>8458</v>
      </c>
      <c r="H2402" s="3" t="s">
        <v>3875</v>
      </c>
      <c r="I2402" s="3" t="s">
        <v>280</v>
      </c>
      <c r="J2402" s="3">
        <v>2.58</v>
      </c>
      <c r="K2402" s="3" t="s">
        <v>21</v>
      </c>
      <c r="L2402" s="3" t="s">
        <v>9532</v>
      </c>
      <c r="M2402" s="3" t="s">
        <v>9473</v>
      </c>
      <c r="N2402" s="6" t="str">
        <f>HYPERLINK("C:\Users\alexa\YandexDisk\Книги\Программирование\JavaScript\JavaScript_JavaScript_Programming_Made_Easy_for_Beginners_and_Intermediates 2019.epub","JavaScript_JavaScript_Programming_Made_Easy_for_Beginners_and_Intermediates 2019.epub")</f>
        <v>JavaScript_JavaScript_Programming_Made_Easy_for_Beginners_and_Intermediates 2019.epub</v>
      </c>
      <c r="O2402" s="3" t="s">
        <v>9533</v>
      </c>
    </row>
    <row r="2403" spans="1:15" ht="179.4" x14ac:dyDescent="0.3">
      <c r="A2403" s="4">
        <v>2402</v>
      </c>
      <c r="B2403" s="5" t="s">
        <v>9534</v>
      </c>
      <c r="C2403" s="5" t="s">
        <v>9516</v>
      </c>
      <c r="D2403" s="5"/>
      <c r="E2403" s="5"/>
      <c r="F2403" s="5" t="s">
        <v>9471</v>
      </c>
      <c r="G2403" s="5" t="s">
        <v>8458</v>
      </c>
      <c r="H2403" s="5" t="s">
        <v>3875</v>
      </c>
      <c r="I2403" s="5" t="s">
        <v>20</v>
      </c>
      <c r="J2403" s="5">
        <v>6.97</v>
      </c>
      <c r="K2403" s="5" t="s">
        <v>21</v>
      </c>
      <c r="L2403" s="5" t="s">
        <v>9535</v>
      </c>
      <c r="M2403" s="5" t="s">
        <v>9473</v>
      </c>
      <c r="N2403" s="7" t="str">
        <f>HYPERLINK("C:\Users\alexa\YandexDisk\Книги\Программирование\JavaScript\JavaScript_The_Definitive_Guide.pdf","JavaScript_The_Definitive_Guide.pdf")</f>
        <v>JavaScript_The_Definitive_Guide.pdf</v>
      </c>
      <c r="O2403" s="5" t="s">
        <v>9536</v>
      </c>
    </row>
    <row r="2404" spans="1:15" ht="179.4" x14ac:dyDescent="0.3">
      <c r="A2404" s="2">
        <v>2403</v>
      </c>
      <c r="B2404" s="3" t="s">
        <v>9537</v>
      </c>
      <c r="C2404" s="3" t="s">
        <v>3428</v>
      </c>
      <c r="D2404" s="3" t="s">
        <v>71</v>
      </c>
      <c r="E2404" s="3" t="s">
        <v>18</v>
      </c>
      <c r="F2404" s="3" t="s">
        <v>9471</v>
      </c>
      <c r="G2404" s="3" t="s">
        <v>8458</v>
      </c>
      <c r="H2404" s="3" t="s">
        <v>3875</v>
      </c>
      <c r="I2404" s="3" t="s">
        <v>20</v>
      </c>
      <c r="J2404" s="3">
        <v>12.52</v>
      </c>
      <c r="K2404" s="3" t="s">
        <v>21</v>
      </c>
      <c r="L2404" s="3" t="s">
        <v>9538</v>
      </c>
      <c r="M2404" s="3" t="s">
        <v>9473</v>
      </c>
      <c r="N2404" s="6" t="str">
        <f>HYPERLINK("C:\Users\alexa\YandexDisk\Книги\Программирование\JavaScript\Javascript_для_профессиональных_веб_разработчиков.pdf","Javascript_для_профессиональных_веб_разработчиков.pdf")</f>
        <v>Javascript_для_профессиональных_веб_разработчиков.pdf</v>
      </c>
      <c r="O2404" s="3" t="s">
        <v>9539</v>
      </c>
    </row>
    <row r="2405" spans="1:15" ht="179.4" x14ac:dyDescent="0.3">
      <c r="A2405" s="4">
        <v>2404</v>
      </c>
      <c r="B2405" s="5" t="s">
        <v>9540</v>
      </c>
      <c r="C2405" s="5" t="s">
        <v>9541</v>
      </c>
      <c r="D2405" s="5" t="s">
        <v>27</v>
      </c>
      <c r="E2405" s="5" t="s">
        <v>18</v>
      </c>
      <c r="F2405" s="5" t="s">
        <v>9471</v>
      </c>
      <c r="G2405" s="5" t="s">
        <v>8458</v>
      </c>
      <c r="H2405" s="5" t="s">
        <v>3875</v>
      </c>
      <c r="I2405" s="5" t="s">
        <v>20</v>
      </c>
      <c r="J2405" s="5">
        <v>6.82</v>
      </c>
      <c r="K2405" s="5" t="s">
        <v>21</v>
      </c>
      <c r="L2405" s="5" t="s">
        <v>9542</v>
      </c>
      <c r="M2405" s="5" t="s">
        <v>9473</v>
      </c>
      <c r="N2405" s="7" t="str">
        <f>HYPERLINK("C:\Users\alexa\YandexDisk\Книги\Программирование\JavaScript\JS с нуля до профи.pdf","JS с нуля до профи.pdf")</f>
        <v>JS с нуля до профи.pdf</v>
      </c>
      <c r="O2405" s="5" t="s">
        <v>9543</v>
      </c>
    </row>
    <row r="2406" spans="1:15" ht="138" x14ac:dyDescent="0.3">
      <c r="A2406" s="2">
        <v>2405</v>
      </c>
      <c r="B2406" s="3" t="s">
        <v>9544</v>
      </c>
      <c r="C2406" s="3" t="s">
        <v>3944</v>
      </c>
      <c r="D2406" s="3"/>
      <c r="E2406" s="3"/>
      <c r="F2406" s="3" t="s">
        <v>9471</v>
      </c>
      <c r="G2406" s="3" t="s">
        <v>8458</v>
      </c>
      <c r="H2406" s="3" t="s">
        <v>3875</v>
      </c>
      <c r="I2406" s="3" t="s">
        <v>280</v>
      </c>
      <c r="J2406" s="3">
        <v>38.24</v>
      </c>
      <c r="K2406" s="3" t="s">
        <v>21</v>
      </c>
      <c r="L2406" s="3" t="s">
        <v>9545</v>
      </c>
      <c r="M2406" s="3" t="s">
        <v>9473</v>
      </c>
      <c r="N2406" s="6" t="str">
        <f>HYPERLINK("C:\Users\alexa\YandexDisk\Книги\Программирование\JavaScript\JSBegin2ed.epub","JSBegin2ed.epub")</f>
        <v>JSBegin2ed.epub</v>
      </c>
      <c r="O2406" s="3" t="s">
        <v>9546</v>
      </c>
    </row>
    <row r="2407" spans="1:15" ht="207" x14ac:dyDescent="0.3">
      <c r="A2407" s="4">
        <v>2406</v>
      </c>
      <c r="B2407" s="5" t="s">
        <v>9547</v>
      </c>
      <c r="C2407" s="5" t="s">
        <v>9520</v>
      </c>
      <c r="D2407" s="5" t="s">
        <v>77</v>
      </c>
      <c r="E2407" s="5" t="s">
        <v>18</v>
      </c>
      <c r="F2407" s="5" t="s">
        <v>9471</v>
      </c>
      <c r="G2407" s="5" t="s">
        <v>8458</v>
      </c>
      <c r="H2407" s="5" t="s">
        <v>3875</v>
      </c>
      <c r="I2407" s="5" t="s">
        <v>20</v>
      </c>
      <c r="J2407" s="5">
        <v>2.91</v>
      </c>
      <c r="K2407" s="5" t="s">
        <v>21</v>
      </c>
      <c r="L2407" s="5" t="s">
        <v>9548</v>
      </c>
      <c r="M2407" s="5" t="s">
        <v>9473</v>
      </c>
      <c r="N2407" s="7" t="str">
        <f>HYPERLINK("C:\Users\alexa\YandexDisk\Книги\Программирование\JavaScript\Kak_ustroen_JavaScript_2019_Krokford_Duglas.pdf","Kak_ustroen_JavaScript_2019_Krokford_Duglas.pdf")</f>
        <v>Kak_ustroen_JavaScript_2019_Krokford_Duglas.pdf</v>
      </c>
      <c r="O2407" s="5" t="s">
        <v>9549</v>
      </c>
    </row>
    <row r="2408" spans="1:15" ht="165.6" x14ac:dyDescent="0.3">
      <c r="A2408" s="2">
        <v>2407</v>
      </c>
      <c r="B2408" s="3" t="s">
        <v>9550</v>
      </c>
      <c r="C2408" s="3" t="s">
        <v>9551</v>
      </c>
      <c r="D2408" s="3" t="s">
        <v>71</v>
      </c>
      <c r="E2408" s="3" t="s">
        <v>18</v>
      </c>
      <c r="F2408" s="3" t="s">
        <v>9471</v>
      </c>
      <c r="G2408" s="3" t="s">
        <v>8458</v>
      </c>
      <c r="H2408" s="3" t="s">
        <v>3875</v>
      </c>
      <c r="I2408" s="3" t="s">
        <v>20</v>
      </c>
      <c r="J2408" s="3">
        <v>2.79</v>
      </c>
      <c r="K2408" s="3" t="s">
        <v>21</v>
      </c>
      <c r="L2408" s="3" t="s">
        <v>9552</v>
      </c>
      <c r="M2408" s="3" t="s">
        <v>9473</v>
      </c>
      <c r="N2408" s="6" t="str">
        <f>HYPERLINK("C:\Users\alexa\YandexDisk\Книги\Программирование\JavaScript\Poznakomtes-javascript.pdf","Poznakomtes-javascript.pdf")</f>
        <v>Poznakomtes-javascript.pdf</v>
      </c>
      <c r="O2408" s="3" t="s">
        <v>9553</v>
      </c>
    </row>
    <row r="2409" spans="1:15" ht="165.6" x14ac:dyDescent="0.3">
      <c r="A2409" s="4">
        <v>2408</v>
      </c>
      <c r="B2409" s="5" t="s">
        <v>9554</v>
      </c>
      <c r="C2409" s="5" t="s">
        <v>9555</v>
      </c>
      <c r="D2409" s="5" t="s">
        <v>71</v>
      </c>
      <c r="E2409" s="5" t="s">
        <v>9556</v>
      </c>
      <c r="F2409" s="5" t="s">
        <v>9471</v>
      </c>
      <c r="G2409" s="5" t="s">
        <v>8458</v>
      </c>
      <c r="H2409" s="5" t="s">
        <v>3875</v>
      </c>
      <c r="I2409" s="5" t="s">
        <v>20</v>
      </c>
      <c r="J2409" s="5">
        <v>6.52</v>
      </c>
      <c r="K2409" s="5" t="s">
        <v>21</v>
      </c>
      <c r="L2409" s="5" t="s">
        <v>9557</v>
      </c>
      <c r="M2409" s="5" t="s">
        <v>9473</v>
      </c>
      <c r="N2409" s="7" t="str">
        <f>HYPERLINK("C:\Users\alexa\YandexDisk\Книги\Программирование\JavaScript\Practical Nest.js Develop clean MVC web applications.pdf","Practical Nest.js Develop clean MVC web applications.pdf")</f>
        <v>Practical Nest.js Develop clean MVC web applications.pdf</v>
      </c>
      <c r="O2409" s="5" t="s">
        <v>9558</v>
      </c>
    </row>
    <row r="2410" spans="1:15" ht="124.2" x14ac:dyDescent="0.3">
      <c r="A2410" s="2">
        <v>2409</v>
      </c>
      <c r="B2410" s="3" t="s">
        <v>9559</v>
      </c>
      <c r="C2410" s="3" t="s">
        <v>9560</v>
      </c>
      <c r="D2410" s="3" t="s">
        <v>77</v>
      </c>
      <c r="E2410" s="3" t="s">
        <v>205</v>
      </c>
      <c r="F2410" s="3" t="s">
        <v>9471</v>
      </c>
      <c r="G2410" s="3" t="s">
        <v>8458</v>
      </c>
      <c r="H2410" s="3" t="s">
        <v>3875</v>
      </c>
      <c r="I2410" s="3" t="s">
        <v>20</v>
      </c>
      <c r="J2410" s="3">
        <v>10.61</v>
      </c>
      <c r="K2410" s="3" t="s">
        <v>21</v>
      </c>
      <c r="L2410" s="3" t="s">
        <v>9561</v>
      </c>
      <c r="M2410" s="3" t="s">
        <v>9473</v>
      </c>
      <c r="N2410" s="6" t="str">
        <f>HYPERLINK("C:\Users\alexa\YandexDisk\Книги\Программирование\JavaScript\Professional.JavaScript 2022.pdf","Professional.JavaScript 2022.pdf")</f>
        <v>Professional.JavaScript 2022.pdf</v>
      </c>
      <c r="O2410" s="3" t="s">
        <v>9562</v>
      </c>
    </row>
    <row r="2411" spans="1:15" ht="165.6" x14ac:dyDescent="0.3">
      <c r="A2411" s="4">
        <v>2410</v>
      </c>
      <c r="B2411" s="5" t="s">
        <v>9563</v>
      </c>
      <c r="C2411" s="5" t="s">
        <v>9564</v>
      </c>
      <c r="D2411" s="5" t="s">
        <v>59</v>
      </c>
      <c r="E2411" s="5" t="s">
        <v>9565</v>
      </c>
      <c r="F2411" s="5" t="s">
        <v>9471</v>
      </c>
      <c r="G2411" s="5" t="s">
        <v>8458</v>
      </c>
      <c r="H2411" s="5" t="s">
        <v>3875</v>
      </c>
      <c r="I2411" s="5" t="s">
        <v>20</v>
      </c>
      <c r="J2411" s="5">
        <v>1.22</v>
      </c>
      <c r="K2411" s="5" t="s">
        <v>21</v>
      </c>
      <c r="L2411" s="5" t="s">
        <v>9566</v>
      </c>
      <c r="M2411" s="5" t="s">
        <v>9473</v>
      </c>
      <c r="N2411" s="7" t="str">
        <f>HYPERLINK("C:\Users\alexa\YandexDisk\Книги\Программирование\JavaScript\you-do-not-know JS yet.pdf","you-do-not-know JS yet.pdf")</f>
        <v>you-do-not-know JS yet.pdf</v>
      </c>
      <c r="O2411" s="5" t="s">
        <v>9567</v>
      </c>
    </row>
    <row r="2412" spans="1:15" ht="207" x14ac:dyDescent="0.3">
      <c r="A2412" s="2">
        <v>2411</v>
      </c>
      <c r="B2412" s="3" t="s">
        <v>9568</v>
      </c>
      <c r="C2412" s="3" t="s">
        <v>9569</v>
      </c>
      <c r="D2412" s="3" t="s">
        <v>837</v>
      </c>
      <c r="E2412" s="3" t="s">
        <v>1566</v>
      </c>
      <c r="F2412" s="3" t="s">
        <v>9471</v>
      </c>
      <c r="G2412" s="3" t="s">
        <v>8458</v>
      </c>
      <c r="H2412" s="3" t="s">
        <v>3875</v>
      </c>
      <c r="I2412" s="3" t="s">
        <v>20</v>
      </c>
      <c r="J2412" s="3">
        <v>20.99</v>
      </c>
      <c r="K2412" s="3" t="s">
        <v>21</v>
      </c>
      <c r="L2412" s="3" t="s">
        <v>9570</v>
      </c>
      <c r="M2412" s="3" t="s">
        <v>9473</v>
      </c>
      <c r="N2412" s="6" t="str">
        <f>HYPERLINK("C:\Users\alexa\YandexDisk\Книги\Программирование\JavaScript\Берб - jQuery - для профессионалов 2011.pdf","Берб - jQuery - для профессионалов 2011.pdf")</f>
        <v>Берб - jQuery - для профессионалов 2011.pdf</v>
      </c>
      <c r="O2412" s="3" t="s">
        <v>9571</v>
      </c>
    </row>
    <row r="2413" spans="1:15" ht="193.2" x14ac:dyDescent="0.3">
      <c r="A2413" s="4">
        <v>2412</v>
      </c>
      <c r="B2413" s="5" t="s">
        <v>9572</v>
      </c>
      <c r="C2413" s="5" t="s">
        <v>9573</v>
      </c>
      <c r="D2413" s="5" t="s">
        <v>50</v>
      </c>
      <c r="E2413" s="5" t="s">
        <v>187</v>
      </c>
      <c r="F2413" s="5" t="s">
        <v>9471</v>
      </c>
      <c r="G2413" s="5" t="s">
        <v>8458</v>
      </c>
      <c r="H2413" s="5" t="s">
        <v>3875</v>
      </c>
      <c r="I2413" s="5" t="s">
        <v>20</v>
      </c>
      <c r="J2413" s="5">
        <v>13.95</v>
      </c>
      <c r="K2413" s="5" t="s">
        <v>21</v>
      </c>
      <c r="L2413" s="5" t="s">
        <v>9574</v>
      </c>
      <c r="M2413" s="5" t="s">
        <v>9473</v>
      </c>
      <c r="N2413" s="7" t="str">
        <f>HYPERLINK("C:\Users\alexa\YandexDisk\Книги\Программирование\JavaScript\Браун Изучаем JavaScript-3e 2017.pdf","Браун Изучаем JavaScript-3e 2017.pdf")</f>
        <v>Браун Изучаем JavaScript-3e 2017.pdf</v>
      </c>
      <c r="O2413" s="5" t="s">
        <v>9575</v>
      </c>
    </row>
    <row r="2414" spans="1:15" ht="110.4" x14ac:dyDescent="0.3">
      <c r="A2414" s="2">
        <v>2413</v>
      </c>
      <c r="B2414" s="3" t="s">
        <v>9496</v>
      </c>
      <c r="C2414" s="3" t="s">
        <v>8653</v>
      </c>
      <c r="D2414" s="3" t="s">
        <v>50</v>
      </c>
      <c r="E2414" s="3" t="s">
        <v>3605</v>
      </c>
      <c r="F2414" s="3" t="s">
        <v>9471</v>
      </c>
      <c r="G2414" s="3" t="s">
        <v>8458</v>
      </c>
      <c r="H2414" s="3" t="s">
        <v>3875</v>
      </c>
      <c r="I2414" s="3" t="s">
        <v>20</v>
      </c>
      <c r="J2414" s="3">
        <v>11.25</v>
      </c>
      <c r="K2414" s="3" t="s">
        <v>21</v>
      </c>
      <c r="L2414" s="3" t="s">
        <v>9576</v>
      </c>
      <c r="M2414" s="3" t="s">
        <v>9473</v>
      </c>
      <c r="N2414" s="6" t="str">
        <f>HYPERLINK("C:\Users\alexa\YandexDisk\Книги\Программирование\JavaScript\Васильев - программирование на JavaScript взадачах и примерх 2017.pdf","Васильев - программирование на JavaScript взадачах и примерх 2017.pdf")</f>
        <v>Васильев - программирование на JavaScript взадачах и примерх 2017.pdf</v>
      </c>
      <c r="O2414" s="3" t="s">
        <v>9577</v>
      </c>
    </row>
    <row r="2415" spans="1:15" ht="165.6" x14ac:dyDescent="0.3">
      <c r="A2415" s="4">
        <v>2414</v>
      </c>
      <c r="B2415" s="5" t="s">
        <v>9578</v>
      </c>
      <c r="C2415" s="5" t="s">
        <v>9579</v>
      </c>
      <c r="D2415" s="5" t="s">
        <v>65</v>
      </c>
      <c r="E2415" s="5" t="s">
        <v>442</v>
      </c>
      <c r="F2415" s="5" t="s">
        <v>9471</v>
      </c>
      <c r="G2415" s="5" t="s">
        <v>8458</v>
      </c>
      <c r="H2415" s="5" t="s">
        <v>3875</v>
      </c>
      <c r="I2415" s="5" t="s">
        <v>20</v>
      </c>
      <c r="J2415" s="5">
        <v>4.5199999999999996</v>
      </c>
      <c r="K2415" s="5" t="s">
        <v>21</v>
      </c>
      <c r="L2415" s="5" t="s">
        <v>9580</v>
      </c>
      <c r="M2415" s="5" t="s">
        <v>9473</v>
      </c>
      <c r="N2415" s="7" t="str">
        <f>HYPERLINK("C:\Users\alexa\YandexDisk\Книги\Программирование\JavaScript\Веб приложения на JavaScript.pdf","Веб приложения на JavaScript.pdf")</f>
        <v>Веб приложения на JavaScript.pdf</v>
      </c>
      <c r="O2415" s="5" t="s">
        <v>9581</v>
      </c>
    </row>
    <row r="2416" spans="1:15" ht="179.4" x14ac:dyDescent="0.3">
      <c r="A2416" s="2">
        <v>2415</v>
      </c>
      <c r="B2416" s="3" t="s">
        <v>9582</v>
      </c>
      <c r="C2416" s="3" t="s">
        <v>1098</v>
      </c>
      <c r="D2416" s="3" t="s">
        <v>600</v>
      </c>
      <c r="E2416" s="3" t="s">
        <v>9583</v>
      </c>
      <c r="F2416" s="3" t="s">
        <v>9471</v>
      </c>
      <c r="G2416" s="3" t="s">
        <v>8458</v>
      </c>
      <c r="H2416" s="3" t="s">
        <v>3875</v>
      </c>
      <c r="I2416" s="3" t="s">
        <v>20</v>
      </c>
      <c r="J2416" s="3">
        <v>40.04</v>
      </c>
      <c r="K2416" s="3" t="s">
        <v>21</v>
      </c>
      <c r="L2416" s="3" t="s">
        <v>9584</v>
      </c>
      <c r="M2416" s="3" t="s">
        <v>9473</v>
      </c>
      <c r="N2416" s="6" t="str">
        <f>HYPERLINK("C:\Users\alexa\YandexDisk\Книги\Программирование\JavaScript\Визуализация данных с помощью Python и jаvascript.pdf","Визуализация данных с помощью Python и jаvascript.pdf")</f>
        <v>Визуализация данных с помощью Python и jаvascript.pdf</v>
      </c>
      <c r="O2416" s="3" t="s">
        <v>9585</v>
      </c>
    </row>
    <row r="2417" spans="1:15" ht="165.6" x14ac:dyDescent="0.3">
      <c r="A2417" s="4">
        <v>2416</v>
      </c>
      <c r="B2417" s="5" t="s">
        <v>9586</v>
      </c>
      <c r="C2417" s="5" t="s">
        <v>9551</v>
      </c>
      <c r="D2417" s="5" t="s">
        <v>77</v>
      </c>
      <c r="E2417" s="5" t="s">
        <v>18</v>
      </c>
      <c r="F2417" s="5" t="s">
        <v>9471</v>
      </c>
      <c r="G2417" s="5" t="s">
        <v>8458</v>
      </c>
      <c r="H2417" s="5" t="s">
        <v>3875</v>
      </c>
      <c r="I2417" s="5" t="s">
        <v>20</v>
      </c>
      <c r="J2417" s="5">
        <v>18.079999999999998</v>
      </c>
      <c r="K2417" s="5" t="s">
        <v>21</v>
      </c>
      <c r="L2417" s="5" t="s">
        <v>9587</v>
      </c>
      <c r="M2417" s="5" t="s">
        <v>9473</v>
      </c>
      <c r="N2417" s="7" t="str">
        <f>HYPERLINK("C:\Users\alexa\YandexDisk\Книги\Программирование\JavaScript\Вы_не_знаете_JS_Типы_и_грамматические_конструкции.pdf","Вы_не_знаете_JS_Типы_и_грамматические_конструкции.pdf")</f>
        <v>Вы_не_знаете_JS_Типы_и_грамматические_конструкции.pdf</v>
      </c>
      <c r="O2417" s="5" t="s">
        <v>9588</v>
      </c>
    </row>
    <row r="2418" spans="1:15" ht="179.4" x14ac:dyDescent="0.3">
      <c r="A2418" s="2">
        <v>2417</v>
      </c>
      <c r="B2418" s="3" t="s">
        <v>9589</v>
      </c>
      <c r="C2418" s="3" t="s">
        <v>9590</v>
      </c>
      <c r="D2418" s="3" t="s">
        <v>77</v>
      </c>
      <c r="E2418" s="3" t="s">
        <v>72</v>
      </c>
      <c r="F2418" s="3" t="s">
        <v>9471</v>
      </c>
      <c r="G2418" s="3" t="s">
        <v>8458</v>
      </c>
      <c r="H2418" s="3" t="s">
        <v>3875</v>
      </c>
      <c r="I2418" s="3" t="s">
        <v>20</v>
      </c>
      <c r="J2418" s="3">
        <v>42.25</v>
      </c>
      <c r="K2418" s="3" t="s">
        <v>21</v>
      </c>
      <c r="L2418" s="3" t="s">
        <v>9591</v>
      </c>
      <c r="M2418" s="3" t="s">
        <v>9473</v>
      </c>
      <c r="N2418" s="6" t="str">
        <f>HYPERLINK("C:\Users\alexa\YandexDisk\Книги\Программирование\JavaScript\Выразительный_JavaScript_Современное_веб_программирование.pdf","Выразительный_JavaScript_Современное_веб_программирование.pdf")</f>
        <v>Выразительный_JavaScript_Современное_веб_программирование.pdf</v>
      </c>
      <c r="O2418" s="3" t="s">
        <v>9592</v>
      </c>
    </row>
    <row r="2419" spans="1:15" ht="165.6" x14ac:dyDescent="0.3">
      <c r="A2419" s="4">
        <v>2418</v>
      </c>
      <c r="B2419" s="5" t="s">
        <v>9537</v>
      </c>
      <c r="C2419" s="5" t="s">
        <v>9593</v>
      </c>
      <c r="D2419" s="5" t="s">
        <v>186</v>
      </c>
      <c r="E2419" s="5"/>
      <c r="F2419" s="5" t="s">
        <v>9471</v>
      </c>
      <c r="G2419" s="5" t="s">
        <v>8458</v>
      </c>
      <c r="H2419" s="5" t="s">
        <v>3875</v>
      </c>
      <c r="I2419" s="5" t="s">
        <v>20</v>
      </c>
      <c r="J2419" s="5">
        <v>32.85</v>
      </c>
      <c r="K2419" s="5" t="s">
        <v>21</v>
      </c>
      <c r="L2419" s="5" t="s">
        <v>9594</v>
      </c>
      <c r="M2419" s="5" t="s">
        <v>9473</v>
      </c>
      <c r="N2419" s="7" t="str">
        <f>HYPERLINK("C:\Users\alexa\YandexDisk\Книги\Программирование\JavaScript\Закас JavaScript для профессиональных веб-разработчиков 2014.pdf","Закас JavaScript для профессиональных веб-разработчиков 2014.pdf")</f>
        <v>Закас JavaScript для профессиональных веб-разработчиков 2014.pdf</v>
      </c>
      <c r="O2419" s="5" t="s">
        <v>9595</v>
      </c>
    </row>
    <row r="2420" spans="1:15" ht="151.80000000000001" x14ac:dyDescent="0.3">
      <c r="A2420" s="2">
        <v>2419</v>
      </c>
      <c r="B2420" s="3" t="s">
        <v>9596</v>
      </c>
      <c r="C2420" s="3"/>
      <c r="D2420" s="3"/>
      <c r="E2420" s="3"/>
      <c r="F2420" s="3" t="s">
        <v>9471</v>
      </c>
      <c r="G2420" s="3" t="s">
        <v>8458</v>
      </c>
      <c r="H2420" s="3" t="s">
        <v>3875</v>
      </c>
      <c r="I2420" s="3" t="s">
        <v>20</v>
      </c>
      <c r="J2420" s="3">
        <v>18.62</v>
      </c>
      <c r="K2420" s="3" t="s">
        <v>21</v>
      </c>
      <c r="L2420" s="3" t="s">
        <v>9597</v>
      </c>
      <c r="M2420" s="3" t="s">
        <v>9473</v>
      </c>
      <c r="N2420" s="6" t="str">
        <f>HYPERLINK("C:\Users\alexa\YandexDisk\Книги\Программирование\JavaScript\Изучаем JQuery.pdf","Изучаем JQuery.pdf")</f>
        <v>Изучаем JQuery.pdf</v>
      </c>
      <c r="O2420" s="3" t="s">
        <v>9598</v>
      </c>
    </row>
    <row r="2421" spans="1:15" ht="151.80000000000001" x14ac:dyDescent="0.3">
      <c r="A2421" s="4">
        <v>2420</v>
      </c>
      <c r="B2421" s="5" t="s">
        <v>9547</v>
      </c>
      <c r="C2421" s="5" t="s">
        <v>9520</v>
      </c>
      <c r="D2421" s="5" t="s">
        <v>77</v>
      </c>
      <c r="E2421" s="5" t="s">
        <v>18</v>
      </c>
      <c r="F2421" s="5" t="s">
        <v>9471</v>
      </c>
      <c r="G2421" s="5" t="s">
        <v>8458</v>
      </c>
      <c r="H2421" s="5" t="s">
        <v>3875</v>
      </c>
      <c r="I2421" s="5" t="s">
        <v>20</v>
      </c>
      <c r="J2421" s="5">
        <v>7.09</v>
      </c>
      <c r="K2421" s="5" t="s">
        <v>21</v>
      </c>
      <c r="L2421" s="5" t="s">
        <v>9599</v>
      </c>
      <c r="M2421" s="5" t="s">
        <v>9473</v>
      </c>
      <c r="N2421" s="7" t="str">
        <f>HYPERLINK("C:\Users\alexa\YandexDisk\Книги\Программирование\JavaScript\Как устроен JavaScript -2019.pdf","Как устроен JavaScript -2019.pdf")</f>
        <v>Как устроен JavaScript -2019.pdf</v>
      </c>
      <c r="O2421" s="5" t="s">
        <v>9600</v>
      </c>
    </row>
    <row r="2422" spans="1:15" ht="165.6" x14ac:dyDescent="0.3">
      <c r="A2422" s="2">
        <v>2421</v>
      </c>
      <c r="B2422" s="3" t="s">
        <v>9508</v>
      </c>
      <c r="C2422" s="3" t="s">
        <v>9509</v>
      </c>
      <c r="D2422" s="3" t="s">
        <v>17</v>
      </c>
      <c r="E2422" s="3" t="s">
        <v>18</v>
      </c>
      <c r="F2422" s="3" t="s">
        <v>9471</v>
      </c>
      <c r="G2422" s="3" t="s">
        <v>8458</v>
      </c>
      <c r="H2422" s="3" t="s">
        <v>3875</v>
      </c>
      <c r="I2422" s="3" t="s">
        <v>20</v>
      </c>
      <c r="J2422" s="3">
        <v>14.56</v>
      </c>
      <c r="K2422" s="3" t="s">
        <v>21</v>
      </c>
      <c r="L2422" s="3" t="s">
        <v>9601</v>
      </c>
      <c r="M2422" s="3" t="s">
        <v>9473</v>
      </c>
      <c r="N2422" s="6" t="str">
        <f>HYPERLINK("C:\Users\alexa\YandexDisk\Книги\Программирование\JavaScript\Кирупа - JavaScript с нуля 2021.pdf","Кирупа - JavaScript с нуля 2021.pdf")</f>
        <v>Кирупа - JavaScript с нуля 2021.pdf</v>
      </c>
      <c r="O2422" s="3" t="s">
        <v>9602</v>
      </c>
    </row>
    <row r="2423" spans="1:15" ht="110.4" x14ac:dyDescent="0.3">
      <c r="A2423" s="4">
        <v>2422</v>
      </c>
      <c r="B2423" s="5" t="s">
        <v>9603</v>
      </c>
      <c r="C2423" s="5" t="s">
        <v>9604</v>
      </c>
      <c r="D2423" s="5" t="s">
        <v>114</v>
      </c>
      <c r="E2423" s="5" t="s">
        <v>303</v>
      </c>
      <c r="F2423" s="5" t="s">
        <v>9471</v>
      </c>
      <c r="G2423" s="5" t="s">
        <v>8458</v>
      </c>
      <c r="H2423" s="5" t="s">
        <v>3875</v>
      </c>
      <c r="I2423" s="5" t="s">
        <v>20</v>
      </c>
      <c r="J2423" s="5">
        <v>6.41</v>
      </c>
      <c r="K2423" s="5" t="s">
        <v>21</v>
      </c>
      <c r="L2423" s="5" t="s">
        <v>9605</v>
      </c>
      <c r="M2423" s="5" t="s">
        <v>9473</v>
      </c>
      <c r="N2423" s="7" t="str">
        <f>HYPERLINK("C:\Users\alexa\YandexDisk\Книги\Программирование\JavaScript\Морган_Ник_JavaScript_для_детей 2016.pdf","Морган_Ник_JavaScript_для_детей 2016.pdf")</f>
        <v>Морган_Ник_JavaScript_для_детей 2016.pdf</v>
      </c>
      <c r="O2423" s="5" t="s">
        <v>9606</v>
      </c>
    </row>
    <row r="2424" spans="1:15" ht="138" x14ac:dyDescent="0.3">
      <c r="A2424" s="2">
        <v>2423</v>
      </c>
      <c r="B2424" s="3" t="s">
        <v>9607</v>
      </c>
      <c r="C2424" s="3" t="s">
        <v>9608</v>
      </c>
      <c r="D2424" s="3" t="s">
        <v>65</v>
      </c>
      <c r="E2424" s="3" t="s">
        <v>1566</v>
      </c>
      <c r="F2424" s="3" t="s">
        <v>9471</v>
      </c>
      <c r="G2424" s="3" t="s">
        <v>8458</v>
      </c>
      <c r="H2424" s="3" t="s">
        <v>3875</v>
      </c>
      <c r="I2424" s="3" t="s">
        <v>20</v>
      </c>
      <c r="J2424" s="3">
        <v>12.54</v>
      </c>
      <c r="K2424" s="3" t="s">
        <v>21</v>
      </c>
      <c r="L2424" s="3" t="s">
        <v>9609</v>
      </c>
      <c r="M2424" s="3" t="s">
        <v>9473</v>
      </c>
      <c r="N2424" s="6" t="str">
        <f>HYPERLINK("C:\Users\alexa\YandexDisk\Книги\Программирование\JavaScript\Николас Закас - JavaScript. Оптимизация производительности - 2012.pdf","Николас Закас - JavaScript. Оптимизация производительности - 2012.pdf")</f>
        <v>Николас Закас - JavaScript. Оптимизация производительности - 2012.pdf</v>
      </c>
      <c r="O2424" s="3" t="s">
        <v>9610</v>
      </c>
    </row>
    <row r="2425" spans="1:15" ht="124.2" x14ac:dyDescent="0.3">
      <c r="A2425" s="4">
        <v>2424</v>
      </c>
      <c r="B2425" s="5" t="s">
        <v>9611</v>
      </c>
      <c r="C2425" s="5" t="s">
        <v>9612</v>
      </c>
      <c r="D2425" s="5" t="s">
        <v>50</v>
      </c>
      <c r="E2425" s="5" t="s">
        <v>485</v>
      </c>
      <c r="F2425" s="5" t="s">
        <v>9471</v>
      </c>
      <c r="G2425" s="5" t="s">
        <v>8458</v>
      </c>
      <c r="H2425" s="5" t="s">
        <v>3875</v>
      </c>
      <c r="I2425" s="5" t="s">
        <v>20</v>
      </c>
      <c r="J2425" s="5">
        <v>61.66</v>
      </c>
      <c r="K2425" s="5" t="s">
        <v>21</v>
      </c>
      <c r="L2425" s="5" t="s">
        <v>9613</v>
      </c>
      <c r="M2425" s="5" t="s">
        <v>9473</v>
      </c>
      <c r="N2425" s="7" t="str">
        <f>HYPERLINK("C:\Users\alexa\YandexDisk\Книги\Программирование\JavaScript\Никольский Javascript на примерах  2017.pdf","Никольский Javascript на примерах  2017.pdf")</f>
        <v>Никольский Javascript на примерах  2017.pdf</v>
      </c>
      <c r="O2425" s="5" t="s">
        <v>9614</v>
      </c>
    </row>
    <row r="2426" spans="1:15" ht="193.2" x14ac:dyDescent="0.3">
      <c r="A2426" s="2">
        <v>2425</v>
      </c>
      <c r="B2426" s="3" t="s">
        <v>9615</v>
      </c>
      <c r="C2426" s="3"/>
      <c r="D2426" s="3" t="s">
        <v>32</v>
      </c>
      <c r="E2426" s="3"/>
      <c r="F2426" s="3" t="s">
        <v>9471</v>
      </c>
      <c r="G2426" s="3" t="s">
        <v>8458</v>
      </c>
      <c r="H2426" s="3" t="s">
        <v>3875</v>
      </c>
      <c r="I2426" s="3" t="s">
        <v>20</v>
      </c>
      <c r="J2426" s="3">
        <v>4.6399999999999997</v>
      </c>
      <c r="K2426" s="3" t="s">
        <v>21</v>
      </c>
      <c r="L2426" s="3" t="s">
        <v>9616</v>
      </c>
      <c r="M2426" s="3" t="s">
        <v>9473</v>
      </c>
      <c r="N2426" s="6" t="str">
        <f>HYPERLINK("C:\Users\alexa\YandexDisk\Книги\Программирование\JavaScript\Основы Redux 2018.pdf","Основы Redux 2018.pdf")</f>
        <v>Основы Redux 2018.pdf</v>
      </c>
      <c r="O2426" s="3" t="s">
        <v>9617</v>
      </c>
    </row>
    <row r="2427" spans="1:15" ht="165.6" x14ac:dyDescent="0.3">
      <c r="A2427" s="4">
        <v>2426</v>
      </c>
      <c r="B2427" s="5" t="s">
        <v>9618</v>
      </c>
      <c r="C2427" s="5" t="s">
        <v>9619</v>
      </c>
      <c r="D2427" s="5" t="s">
        <v>17</v>
      </c>
      <c r="E2427" s="5" t="s">
        <v>442</v>
      </c>
      <c r="F2427" s="5" t="s">
        <v>9471</v>
      </c>
      <c r="G2427" s="5" t="s">
        <v>8458</v>
      </c>
      <c r="H2427" s="5" t="s">
        <v>3875</v>
      </c>
      <c r="I2427" s="5" t="s">
        <v>20</v>
      </c>
      <c r="J2427" s="5">
        <v>5.8</v>
      </c>
      <c r="K2427" s="5" t="s">
        <v>21</v>
      </c>
      <c r="L2427" s="5" t="s">
        <v>9620</v>
      </c>
      <c r="M2427" s="5" t="s">
        <v>9473</v>
      </c>
      <c r="N2427" s="7" t="str">
        <f>HYPERLINK("C:\Users\alexa\YandexDisk\Книги\Программирование\JavaScript\Разработка на JAVASCRIPT.pdf","Разработка на JAVASCRIPT.pdf")</f>
        <v>Разработка на JAVASCRIPT.pdf</v>
      </c>
      <c r="O2427" s="5" t="s">
        <v>9621</v>
      </c>
    </row>
    <row r="2428" spans="1:15" ht="138" x14ac:dyDescent="0.3">
      <c r="A2428" s="2">
        <v>2427</v>
      </c>
      <c r="B2428" s="3" t="s">
        <v>9622</v>
      </c>
      <c r="C2428" s="3"/>
      <c r="D2428" s="3" t="s">
        <v>114</v>
      </c>
      <c r="E2428" s="3"/>
      <c r="F2428" s="3" t="s">
        <v>9471</v>
      </c>
      <c r="G2428" s="3" t="s">
        <v>8458</v>
      </c>
      <c r="H2428" s="3" t="s">
        <v>3875</v>
      </c>
      <c r="I2428" s="3" t="s">
        <v>20</v>
      </c>
      <c r="J2428" s="3">
        <v>90.7</v>
      </c>
      <c r="K2428" s="3" t="s">
        <v>21</v>
      </c>
      <c r="L2428" s="3" t="s">
        <v>9623</v>
      </c>
      <c r="M2428" s="3" t="s">
        <v>9473</v>
      </c>
      <c r="N2428" s="6" t="str">
        <f>HYPERLINK("C:\Users\alexa\YandexDisk\Книги\Программирование\JavaScript\Резинг JavaScript для профессионалов 2016.pdf","Резинг JavaScript для профессионалов 2016.pdf")</f>
        <v>Резинг JavaScript для профессионалов 2016.pdf</v>
      </c>
      <c r="O2428" s="3" t="s">
        <v>9624</v>
      </c>
    </row>
    <row r="2429" spans="1:15" ht="151.80000000000001" x14ac:dyDescent="0.3">
      <c r="A2429" s="4">
        <v>2428</v>
      </c>
      <c r="B2429" s="5" t="s">
        <v>9625</v>
      </c>
      <c r="C2429" s="5" t="s">
        <v>9564</v>
      </c>
      <c r="D2429" s="5" t="s">
        <v>77</v>
      </c>
      <c r="E2429" s="5" t="s">
        <v>18</v>
      </c>
      <c r="F2429" s="5" t="s">
        <v>9471</v>
      </c>
      <c r="G2429" s="5" t="s">
        <v>8458</v>
      </c>
      <c r="H2429" s="5" t="s">
        <v>3875</v>
      </c>
      <c r="I2429" s="5" t="s">
        <v>20</v>
      </c>
      <c r="J2429" s="5">
        <v>3.97</v>
      </c>
      <c r="K2429" s="5" t="s">
        <v>21</v>
      </c>
      <c r="L2429" s="5" t="s">
        <v>9626</v>
      </c>
      <c r="M2429" s="5" t="s">
        <v>9473</v>
      </c>
      <c r="N2429" s="7" t="str">
        <f>HYPERLINK("C:\Users\alexa\YandexDisk\Книги\Программирование\JavaScript\Симпсон_К_Вы_не_знаете_JS_Замыкания.pdf","Симпсон_К_Вы_не_знаете_JS_Замыкания.pdf")</f>
        <v>Симпсон_К_Вы_не_знаете_JS_Замыкания.pdf</v>
      </c>
      <c r="O2429" s="5" t="s">
        <v>9627</v>
      </c>
    </row>
    <row r="2430" spans="1:15" ht="41.4" x14ac:dyDescent="0.3">
      <c r="A2430" s="2">
        <v>2429</v>
      </c>
      <c r="B2430" s="3" t="s">
        <v>9628</v>
      </c>
      <c r="C2430" s="3"/>
      <c r="D2430" s="3" t="s">
        <v>77</v>
      </c>
      <c r="E2430" s="3"/>
      <c r="F2430" s="3" t="s">
        <v>9471</v>
      </c>
      <c r="G2430" s="3" t="s">
        <v>8458</v>
      </c>
      <c r="H2430" s="3" t="s">
        <v>3875</v>
      </c>
      <c r="I2430" s="3" t="s">
        <v>519</v>
      </c>
      <c r="J2430" s="3">
        <v>18.84</v>
      </c>
      <c r="K2430" s="3" t="s">
        <v>21</v>
      </c>
      <c r="L2430" s="3" t="s">
        <v>9629</v>
      </c>
      <c r="M2430" s="3" t="s">
        <v>9473</v>
      </c>
      <c r="N2430" s="6" t="str">
        <f>HYPERLINK("C:\Users\alexa\YandexDisk\Книги\Программирование\JavaScript\Современный учебник JavaScript [3 книги] [2019] Кантор.zip","Современный учебник JavaScript [3 книги] [2019] Кантор.zip")</f>
        <v>Современный учебник JavaScript [3 книги] [2019] Кантор.zip</v>
      </c>
      <c r="O2430" s="3" t="s">
        <v>9630</v>
      </c>
    </row>
    <row r="2431" spans="1:15" ht="179.4" x14ac:dyDescent="0.3">
      <c r="A2431" s="4">
        <v>2430</v>
      </c>
      <c r="B2431" s="5" t="s">
        <v>9631</v>
      </c>
      <c r="C2431" s="5" t="s">
        <v>9632</v>
      </c>
      <c r="D2431" s="5" t="s">
        <v>17</v>
      </c>
      <c r="E2431" s="5" t="s">
        <v>102</v>
      </c>
      <c r="F2431" s="5" t="s">
        <v>9471</v>
      </c>
      <c r="G2431" s="5" t="s">
        <v>8458</v>
      </c>
      <c r="H2431" s="5" t="s">
        <v>3875</v>
      </c>
      <c r="I2431" s="5" t="s">
        <v>20</v>
      </c>
      <c r="J2431" s="5">
        <v>3.13</v>
      </c>
      <c r="K2431" s="5" t="s">
        <v>21</v>
      </c>
      <c r="L2431" s="5" t="s">
        <v>9633</v>
      </c>
      <c r="M2431" s="5" t="s">
        <v>9473</v>
      </c>
      <c r="N2431" s="7" t="str">
        <f>HYPERLINK("C:\Users\alexa\YandexDisk\Книги\Программирование\JavaScript\Современный_jаvascript_для_нетерпеливых - 2021.pdf","Современный_jаvascript_для_нетерпеливых - 2021.pdf")</f>
        <v>Современный_jаvascript_для_нетерпеливых - 2021.pdf</v>
      </c>
      <c r="O2431" s="5" t="s">
        <v>9634</v>
      </c>
    </row>
    <row r="2432" spans="1:15" ht="151.80000000000001" x14ac:dyDescent="0.3">
      <c r="A2432" s="2">
        <v>2431</v>
      </c>
      <c r="B2432" s="3" t="s">
        <v>9635</v>
      </c>
      <c r="C2432" s="3" t="s">
        <v>9636</v>
      </c>
      <c r="D2432" s="3" t="s">
        <v>59</v>
      </c>
      <c r="E2432" s="3" t="s">
        <v>4289</v>
      </c>
      <c r="F2432" s="3" t="s">
        <v>9471</v>
      </c>
      <c r="G2432" s="3" t="s">
        <v>8458</v>
      </c>
      <c r="H2432" s="3" t="s">
        <v>3875</v>
      </c>
      <c r="I2432" s="3" t="s">
        <v>20</v>
      </c>
      <c r="J2432" s="3">
        <v>19.34</v>
      </c>
      <c r="K2432" s="3" t="s">
        <v>21</v>
      </c>
      <c r="L2432" s="3" t="s">
        <v>9637</v>
      </c>
      <c r="M2432" s="3" t="s">
        <v>9473</v>
      </c>
      <c r="N2432" s="6" t="str">
        <f>HYPERLINK("C:\Users\alexa\YandexDisk\Книги\Программирование\JavaScript\Солодушкин_С_И_Разработка_программных_комплексов_на_языке_JavaScript.pdf","Солодушкин_С_И_Разработка_программных_комплексов_на_языке_JavaScript.pdf")</f>
        <v>Солодушкин_С_И_Разработка_программных_комплексов_на_языке_JavaScript.pdf</v>
      </c>
      <c r="O2432" s="3" t="s">
        <v>9638</v>
      </c>
    </row>
    <row r="2433" spans="1:15" ht="138" x14ac:dyDescent="0.3">
      <c r="A2433" s="4">
        <v>2432</v>
      </c>
      <c r="B2433" s="5" t="s">
        <v>9639</v>
      </c>
      <c r="C2433" s="5" t="s">
        <v>9640</v>
      </c>
      <c r="D2433" s="5" t="s">
        <v>17</v>
      </c>
      <c r="E2433" s="5" t="s">
        <v>485</v>
      </c>
      <c r="F2433" s="5" t="s">
        <v>9471</v>
      </c>
      <c r="G2433" s="5" t="s">
        <v>8458</v>
      </c>
      <c r="H2433" s="5" t="s">
        <v>3875</v>
      </c>
      <c r="I2433" s="5" t="s">
        <v>20</v>
      </c>
      <c r="J2433" s="5">
        <v>16.04</v>
      </c>
      <c r="K2433" s="5" t="s">
        <v>21</v>
      </c>
      <c r="L2433" s="5" t="s">
        <v>9641</v>
      </c>
      <c r="M2433" s="5" t="s">
        <v>9473</v>
      </c>
      <c r="N2433" s="7" t="str">
        <f>HYPERLINK("C:\Users\alexa\YandexDisk\Книги\Программирование\JavaScript\Справочник JavaScript 2021.pdf","Справочник JavaScript 2021.pdf")</f>
        <v>Справочник JavaScript 2021.pdf</v>
      </c>
      <c r="O2433" s="5" t="s">
        <v>9642</v>
      </c>
    </row>
    <row r="2434" spans="1:15" ht="179.4" x14ac:dyDescent="0.3">
      <c r="A2434" s="2">
        <v>2433</v>
      </c>
      <c r="B2434" s="3" t="s">
        <v>9643</v>
      </c>
      <c r="C2434" s="3" t="s">
        <v>3440</v>
      </c>
      <c r="D2434" s="3" t="s">
        <v>476</v>
      </c>
      <c r="E2434" s="3" t="s">
        <v>227</v>
      </c>
      <c r="F2434" s="3" t="s">
        <v>9471</v>
      </c>
      <c r="G2434" s="3" t="s">
        <v>8458</v>
      </c>
      <c r="H2434" s="3" t="s">
        <v>3875</v>
      </c>
      <c r="I2434" s="3" t="s">
        <v>20</v>
      </c>
      <c r="J2434" s="3">
        <v>48.73</v>
      </c>
      <c r="K2434" s="3" t="s">
        <v>21</v>
      </c>
      <c r="L2434" s="3" t="s">
        <v>9644</v>
      </c>
      <c r="M2434" s="3" t="s">
        <v>9473</v>
      </c>
      <c r="N2434" s="6" t="str">
        <f>HYPERLINK("C:\Users\alexa\YandexDisk\Книги\Программирование\JavaScript\Фримен  jQuery для профессионалов 2013.pdf","Фримен  jQuery для профессионалов 2013.pdf")</f>
        <v>Фримен  jQuery для профессионалов 2013.pdf</v>
      </c>
      <c r="O2434" s="3" t="s">
        <v>9645</v>
      </c>
    </row>
    <row r="2435" spans="1:15" ht="165.6" x14ac:dyDescent="0.3">
      <c r="A2435" s="4">
        <v>2434</v>
      </c>
      <c r="B2435" s="5" t="s">
        <v>9646</v>
      </c>
      <c r="C2435" s="5" t="s">
        <v>9647</v>
      </c>
      <c r="D2435" s="5" t="s">
        <v>1022</v>
      </c>
      <c r="E2435" s="5"/>
      <c r="F2435" s="5" t="s">
        <v>9471</v>
      </c>
      <c r="G2435" s="5" t="s">
        <v>8458</v>
      </c>
      <c r="H2435" s="5" t="s">
        <v>3875</v>
      </c>
      <c r="I2435" s="5" t="s">
        <v>20</v>
      </c>
      <c r="J2435" s="5">
        <v>21.09</v>
      </c>
      <c r="K2435" s="5" t="s">
        <v>21</v>
      </c>
      <c r="L2435" s="5" t="s">
        <v>9648</v>
      </c>
      <c r="M2435" s="5" t="s">
        <v>9473</v>
      </c>
      <c r="N2435" s="7" t="str">
        <f>HYPERLINK("C:\Users\alexa\YandexDisk\Книги\Программирование\JavaScript\Фримен Э., Робсон Э. - Изучаем программирование на JavaScript (Head First O'Reilly) - 2015.pdf","Фримен Э., Робсон Э. - Изучаем программирование на JavaScript (Head First O'Reilly) - 2015.pdf")</f>
        <v>Фримен Э., Робсон Э. - Изучаем программирование на JavaScript (Head First O'Reilly) - 2015.pdf</v>
      </c>
      <c r="O2435" s="5" t="s">
        <v>9649</v>
      </c>
    </row>
    <row r="2436" spans="1:15" ht="179.4" x14ac:dyDescent="0.3">
      <c r="A2436" s="2">
        <v>2435</v>
      </c>
      <c r="B2436" s="3" t="s">
        <v>9589</v>
      </c>
      <c r="C2436" s="3" t="s">
        <v>9590</v>
      </c>
      <c r="D2436" s="3" t="s">
        <v>77</v>
      </c>
      <c r="E2436" s="3" t="s">
        <v>72</v>
      </c>
      <c r="F2436" s="3" t="s">
        <v>9471</v>
      </c>
      <c r="G2436" s="3" t="s">
        <v>8458</v>
      </c>
      <c r="H2436" s="3" t="s">
        <v>3875</v>
      </c>
      <c r="I2436" s="3" t="s">
        <v>20</v>
      </c>
      <c r="J2436" s="3">
        <v>42.25</v>
      </c>
      <c r="K2436" s="3" t="s">
        <v>21</v>
      </c>
      <c r="L2436" s="3" t="s">
        <v>9650</v>
      </c>
      <c r="M2436" s="3" t="s">
        <v>9473</v>
      </c>
      <c r="N2436" s="6" t="str">
        <f>HYPERLINK("C:\Users\alexa\YandexDisk\Книги\Программирование\JavaScript\Хавербеке_М_Выразительный_JavaScript.pdf","Хавербеке_М_Выразительный_JavaScript.pdf")</f>
        <v>Хавербеке_М_Выразительный_JavaScript.pdf</v>
      </c>
      <c r="O2436" s="3" t="s">
        <v>9651</v>
      </c>
    </row>
    <row r="2437" spans="1:15" ht="151.80000000000001" x14ac:dyDescent="0.3">
      <c r="A2437" s="4">
        <v>2436</v>
      </c>
      <c r="B2437" s="5" t="s">
        <v>9652</v>
      </c>
      <c r="C2437" s="5" t="s">
        <v>9653</v>
      </c>
      <c r="D2437" s="5" t="s">
        <v>476</v>
      </c>
      <c r="E2437" s="5" t="s">
        <v>18</v>
      </c>
      <c r="F2437" s="5" t="s">
        <v>9471</v>
      </c>
      <c r="G2437" s="5" t="s">
        <v>8458</v>
      </c>
      <c r="H2437" s="5" t="s">
        <v>3875</v>
      </c>
      <c r="I2437" s="5" t="s">
        <v>20</v>
      </c>
      <c r="J2437" s="5">
        <v>4.09</v>
      </c>
      <c r="K2437" s="5" t="s">
        <v>21</v>
      </c>
      <c r="L2437" s="5" t="s">
        <v>9654</v>
      </c>
      <c r="M2437" s="5" t="s">
        <v>9473</v>
      </c>
      <c r="N2437" s="7" t="str">
        <f>HYPERLINK("C:\Users\alexa\YandexDisk\Книги\Программирование\JavaScript\Чекко Р. - Графика на JavaScript - 2013.pdf","Чекко Р. - Графика на JavaScript - 2013.pdf")</f>
        <v>Чекко Р. - Графика на JavaScript - 2013.pdf</v>
      </c>
      <c r="O2437" s="5" t="s">
        <v>9655</v>
      </c>
    </row>
    <row r="2438" spans="1:15" ht="138" x14ac:dyDescent="0.3">
      <c r="A2438" s="2">
        <v>2437</v>
      </c>
      <c r="B2438" s="3" t="s">
        <v>9656</v>
      </c>
      <c r="C2438" s="3" t="s">
        <v>9657</v>
      </c>
      <c r="D2438" s="3" t="s">
        <v>17</v>
      </c>
      <c r="E2438" s="3" t="s">
        <v>148</v>
      </c>
      <c r="F2438" s="3" t="s">
        <v>9471</v>
      </c>
      <c r="G2438" s="3" t="s">
        <v>8458</v>
      </c>
      <c r="H2438" s="3" t="s">
        <v>3875</v>
      </c>
      <c r="I2438" s="3" t="s">
        <v>20</v>
      </c>
      <c r="J2438" s="3">
        <v>8.41</v>
      </c>
      <c r="K2438" s="3" t="s">
        <v>21</v>
      </c>
      <c r="L2438" s="3" t="s">
        <v>9658</v>
      </c>
      <c r="M2438" s="3" t="s">
        <v>9473</v>
      </c>
      <c r="N2438" s="6" t="str">
        <f>HYPERLINK("C:\Users\alexa\YandexDisk\Книги\Программирование\JavaScript\Янцев_В_В_JavaScript_Готовые_программы_учебное_пособие_для_вузов.pdf","Янцев_В_В_JavaScript_Готовые_программы_учебное_пособие_для_вузов.pdf")</f>
        <v>Янцев_В_В_JavaScript_Готовые_программы_учебное_пособие_для_вузов.pdf</v>
      </c>
      <c r="O2438" s="3" t="s">
        <v>9659</v>
      </c>
    </row>
    <row r="2439" spans="1:15" ht="220.8" x14ac:dyDescent="0.3">
      <c r="A2439" s="4">
        <v>2438</v>
      </c>
      <c r="B2439" s="5" t="s">
        <v>9660</v>
      </c>
      <c r="C2439" s="5" t="s">
        <v>9661</v>
      </c>
      <c r="D2439" s="5" t="s">
        <v>71</v>
      </c>
      <c r="E2439" s="5" t="s">
        <v>536</v>
      </c>
      <c r="F2439" s="5" t="s">
        <v>9662</v>
      </c>
      <c r="G2439" s="5" t="s">
        <v>8458</v>
      </c>
      <c r="H2439" s="5" t="s">
        <v>9663</v>
      </c>
      <c r="I2439" s="5" t="s">
        <v>20</v>
      </c>
      <c r="J2439" s="5">
        <v>4.09</v>
      </c>
      <c r="K2439" s="5" t="s">
        <v>21</v>
      </c>
      <c r="L2439" s="5" t="s">
        <v>9664</v>
      </c>
      <c r="M2439" s="5" t="s">
        <v>9665</v>
      </c>
      <c r="N2439" s="7" t="str">
        <f>HYPERLINK("C:\Users\alexa\YandexDisk\Книги\Программирование\Julia\Julia as a Second Language (MEAP v03).pdf","Julia as a Second Language (MEAP v03).pdf")</f>
        <v>Julia as a Second Language (MEAP v03).pdf</v>
      </c>
      <c r="O2439" s="5" t="s">
        <v>9666</v>
      </c>
    </row>
    <row r="2440" spans="1:15" ht="179.4" x14ac:dyDescent="0.3">
      <c r="A2440" s="2">
        <v>2439</v>
      </c>
      <c r="B2440" s="3" t="s">
        <v>9667</v>
      </c>
      <c r="C2440" s="3" t="s">
        <v>9668</v>
      </c>
      <c r="D2440" s="3"/>
      <c r="E2440" s="3" t="s">
        <v>557</v>
      </c>
      <c r="F2440" s="3" t="s">
        <v>9662</v>
      </c>
      <c r="G2440" s="3" t="s">
        <v>8458</v>
      </c>
      <c r="H2440" s="3" t="s">
        <v>9663</v>
      </c>
      <c r="I2440" s="3" t="s">
        <v>20</v>
      </c>
      <c r="J2440" s="3">
        <v>11.35</v>
      </c>
      <c r="K2440" s="3" t="s">
        <v>21</v>
      </c>
      <c r="L2440" s="3" t="s">
        <v>9669</v>
      </c>
      <c r="M2440" s="3" t="s">
        <v>9665</v>
      </c>
      <c r="N2440" s="6" t="str">
        <f>HYPERLINK("C:\Users\alexa\YandexDisk\Книги\Программирование\Julia\Julia for Data Analysis.pdf","Julia for Data Analysis.pdf")</f>
        <v>Julia for Data Analysis.pdf</v>
      </c>
      <c r="O2440" s="3" t="s">
        <v>9670</v>
      </c>
    </row>
    <row r="2441" spans="1:15" ht="165.6" x14ac:dyDescent="0.3">
      <c r="A2441" s="4">
        <v>2440</v>
      </c>
      <c r="B2441" s="5" t="s">
        <v>9671</v>
      </c>
      <c r="C2441" s="5" t="s">
        <v>9672</v>
      </c>
      <c r="D2441" s="5" t="s">
        <v>59</v>
      </c>
      <c r="E2441" s="5"/>
      <c r="F2441" s="5" t="s">
        <v>9662</v>
      </c>
      <c r="G2441" s="5" t="s">
        <v>8458</v>
      </c>
      <c r="H2441" s="5" t="s">
        <v>9663</v>
      </c>
      <c r="I2441" s="5" t="s">
        <v>20</v>
      </c>
      <c r="J2441" s="5">
        <v>4.29</v>
      </c>
      <c r="K2441" s="5" t="s">
        <v>21</v>
      </c>
      <c r="L2441" s="5" t="s">
        <v>9673</v>
      </c>
      <c r="M2441" s="5" t="s">
        <v>9665</v>
      </c>
      <c r="N2441" s="7" t="str">
        <f>HYPERLINK("C:\Users\alexa\YandexDisk\Книги\Программирование\Julia\julia-1.4.1 2020 .pdf","julia-1.4.1 2020 .pdf")</f>
        <v>julia-1.4.1 2020 .pdf</v>
      </c>
      <c r="O2441" s="5" t="s">
        <v>9674</v>
      </c>
    </row>
    <row r="2442" spans="1:15" ht="179.4" x14ac:dyDescent="0.3">
      <c r="A2442" s="2">
        <v>2441</v>
      </c>
      <c r="B2442" s="3" t="s">
        <v>9675</v>
      </c>
      <c r="C2442" s="3" t="s">
        <v>9661</v>
      </c>
      <c r="D2442" s="3"/>
      <c r="E2442" s="3"/>
      <c r="F2442" s="3" t="s">
        <v>9662</v>
      </c>
      <c r="G2442" s="3" t="s">
        <v>8458</v>
      </c>
      <c r="H2442" s="3" t="s">
        <v>9663</v>
      </c>
      <c r="I2442" s="3" t="s">
        <v>20</v>
      </c>
      <c r="J2442" s="3">
        <v>12.15</v>
      </c>
      <c r="K2442" s="3" t="s">
        <v>21</v>
      </c>
      <c r="L2442" s="3" t="s">
        <v>9676</v>
      </c>
      <c r="M2442" s="3" t="s">
        <v>9665</v>
      </c>
      <c r="N2442" s="6" t="str">
        <f>HYPERLINK("C:\Users\alexa\YandexDisk\Книги\Программирование\Julia\julia-for-beginners.pdf","julia-for-beginners.pdf")</f>
        <v>julia-for-beginners.pdf</v>
      </c>
      <c r="O2442" s="3" t="s">
        <v>9677</v>
      </c>
    </row>
    <row r="2443" spans="1:15" ht="193.2" x14ac:dyDescent="0.3">
      <c r="A2443" s="4">
        <v>2442</v>
      </c>
      <c r="B2443" s="5" t="s">
        <v>9678</v>
      </c>
      <c r="C2443" s="5" t="s">
        <v>9679</v>
      </c>
      <c r="D2443" s="5" t="s">
        <v>59</v>
      </c>
      <c r="E2443" s="5"/>
      <c r="F2443" s="5" t="s">
        <v>9662</v>
      </c>
      <c r="G2443" s="5" t="s">
        <v>8458</v>
      </c>
      <c r="H2443" s="5" t="s">
        <v>9663</v>
      </c>
      <c r="I2443" s="5" t="s">
        <v>20</v>
      </c>
      <c r="J2443" s="5">
        <v>12.9</v>
      </c>
      <c r="K2443" s="5" t="s">
        <v>21</v>
      </c>
      <c r="L2443" s="5" t="s">
        <v>9680</v>
      </c>
      <c r="M2443" s="5" t="s">
        <v>9665</v>
      </c>
      <c r="N2443" s="7" t="str">
        <f>HYPERLINK("C:\Users\alexa\YandexDisk\Книги\Программирование\Julia\Think_Julia_How_to_Think_Like_a_Computer_Scientist_by_Allen_Downey.pdf","Think_Julia_How_to_Think_Like_a_Computer_Scientist_by_Allen_Downey.pdf")</f>
        <v>Think_Julia_How_to_Think_Like_a_Computer_Scientist_by_Allen_Downey.pdf</v>
      </c>
      <c r="O2443" s="5" t="s">
        <v>9681</v>
      </c>
    </row>
    <row r="2444" spans="1:15" ht="165.6" x14ac:dyDescent="0.3">
      <c r="A2444" s="2">
        <v>2443</v>
      </c>
      <c r="B2444" s="3" t="s">
        <v>9682</v>
      </c>
      <c r="C2444" s="3" t="s">
        <v>9683</v>
      </c>
      <c r="D2444" s="3" t="s">
        <v>71</v>
      </c>
      <c r="E2444" s="3"/>
      <c r="F2444" s="3" t="s">
        <v>9662</v>
      </c>
      <c r="G2444" s="3" t="s">
        <v>8458</v>
      </c>
      <c r="H2444" s="3" t="s">
        <v>9663</v>
      </c>
      <c r="I2444" s="3" t="s">
        <v>20</v>
      </c>
      <c r="J2444" s="3">
        <v>1.73</v>
      </c>
      <c r="K2444" s="3" t="s">
        <v>21</v>
      </c>
      <c r="L2444" s="3" t="s">
        <v>9684</v>
      </c>
      <c r="M2444" s="3" t="s">
        <v>9665</v>
      </c>
      <c r="N2444" s="6" t="str">
        <f>HYPERLINK("C:\Users\alexa\YandexDisk\Книги\Программирование\Julia\Краткое описание языка  Julia 2022.pdf","Краткое описание языка  Julia 2022.pdf")</f>
        <v>Краткое описание языка  Julia 2022.pdf</v>
      </c>
      <c r="O2444" s="3" t="s">
        <v>9685</v>
      </c>
    </row>
    <row r="2445" spans="1:15" ht="165.6" x14ac:dyDescent="0.3">
      <c r="A2445" s="4">
        <v>2444</v>
      </c>
      <c r="B2445" s="5" t="s">
        <v>9686</v>
      </c>
      <c r="C2445" s="5"/>
      <c r="D2445" s="5"/>
      <c r="E2445" s="5"/>
      <c r="F2445" s="5" t="s">
        <v>9662</v>
      </c>
      <c r="G2445" s="5" t="s">
        <v>8458</v>
      </c>
      <c r="H2445" s="5" t="s">
        <v>9663</v>
      </c>
      <c r="I2445" s="5" t="s">
        <v>20</v>
      </c>
      <c r="J2445" s="5">
        <v>68.239999999999995</v>
      </c>
      <c r="K2445" s="5" t="s">
        <v>21</v>
      </c>
      <c r="L2445" s="5" t="s">
        <v>9687</v>
      </c>
      <c r="M2445" s="5" t="s">
        <v>9665</v>
      </c>
      <c r="N2445" s="7" t="str">
        <f>HYPERLINK("C:\Users\alexa\YandexDisk\Книги\Программирование\Julia\Осваиваем язык Julia.pdf","Осваиваем язык Julia.pdf")</f>
        <v>Осваиваем язык Julia.pdf</v>
      </c>
      <c r="O2445" s="5" t="s">
        <v>9688</v>
      </c>
    </row>
    <row r="2446" spans="1:15" ht="193.2" x14ac:dyDescent="0.3">
      <c r="A2446" s="2">
        <v>2445</v>
      </c>
      <c r="B2446" s="3" t="s">
        <v>9689</v>
      </c>
      <c r="C2446" s="3" t="s">
        <v>9690</v>
      </c>
      <c r="D2446" s="3" t="s">
        <v>77</v>
      </c>
      <c r="E2446" s="3" t="s">
        <v>9691</v>
      </c>
      <c r="F2446" s="3" t="s">
        <v>9662</v>
      </c>
      <c r="G2446" s="3" t="s">
        <v>8458</v>
      </c>
      <c r="H2446" s="3" t="s">
        <v>9663</v>
      </c>
      <c r="I2446" s="3" t="s">
        <v>20</v>
      </c>
      <c r="J2446" s="3">
        <v>1.47</v>
      </c>
      <c r="K2446" s="3" t="s">
        <v>21</v>
      </c>
      <c r="L2446" s="3" t="s">
        <v>9692</v>
      </c>
      <c r="M2446" s="3" t="s">
        <v>9665</v>
      </c>
      <c r="N2446" s="6" t="str">
        <f>HYPERLINK("C:\Users\alexa\YandexDisk\Книги\Программирование\Julia\Язык_Julia_как_инструмент_исследователя_.pdf","Язык_Julia_как_инструмент_исследователя_.pdf")</f>
        <v>Язык_Julia_как_инструмент_исследователя_.pdf</v>
      </c>
      <c r="O2446" s="3" t="s">
        <v>9693</v>
      </c>
    </row>
    <row r="2447" spans="1:15" ht="151.80000000000001" x14ac:dyDescent="0.3">
      <c r="A2447" s="4">
        <v>2446</v>
      </c>
      <c r="B2447" s="5" t="s">
        <v>9694</v>
      </c>
      <c r="C2447" s="5" t="s">
        <v>9113</v>
      </c>
      <c r="D2447" s="5" t="s">
        <v>27</v>
      </c>
      <c r="E2447" s="5" t="s">
        <v>227</v>
      </c>
      <c r="F2447" s="5" t="s">
        <v>9695</v>
      </c>
      <c r="G2447" s="5" t="s">
        <v>8458</v>
      </c>
      <c r="H2447" s="5" t="s">
        <v>9696</v>
      </c>
      <c r="I2447" s="5" t="s">
        <v>20</v>
      </c>
      <c r="J2447" s="5">
        <v>9.23</v>
      </c>
      <c r="K2447" s="5" t="s">
        <v>21</v>
      </c>
      <c r="L2447" s="5" t="s">
        <v>9697</v>
      </c>
      <c r="M2447" s="5" t="s">
        <v>9698</v>
      </c>
      <c r="N2447" s="7" t="str">
        <f>HYPERLINK("C:\Users\alexa\YandexDisk\Книги\Программирование\Kotlin\Apress.Beginning.Kotlin.pdf","Apress.Beginning.Kotlin.pdf")</f>
        <v>Apress.Beginning.Kotlin.pdf</v>
      </c>
      <c r="O2447" s="5" t="s">
        <v>9699</v>
      </c>
    </row>
    <row r="2448" spans="1:15" ht="179.4" x14ac:dyDescent="0.3">
      <c r="A2448" s="2">
        <v>2447</v>
      </c>
      <c r="B2448" s="3" t="s">
        <v>9700</v>
      </c>
      <c r="C2448" s="3" t="s">
        <v>9701</v>
      </c>
      <c r="D2448" s="3" t="s">
        <v>59</v>
      </c>
      <c r="E2448" s="3" t="s">
        <v>9702</v>
      </c>
      <c r="F2448" s="3" t="s">
        <v>9695</v>
      </c>
      <c r="G2448" s="3" t="s">
        <v>8458</v>
      </c>
      <c r="H2448" s="3" t="s">
        <v>9696</v>
      </c>
      <c r="I2448" s="3" t="s">
        <v>280</v>
      </c>
      <c r="J2448" s="3">
        <v>1.59</v>
      </c>
      <c r="K2448" s="3" t="s">
        <v>21</v>
      </c>
      <c r="L2448" s="3" t="s">
        <v>9703</v>
      </c>
      <c r="M2448" s="3" t="s">
        <v>9698</v>
      </c>
      <c r="N2448" s="6" t="str">
        <f>HYPERLINK("C:\Users\alexa\YandexDisk\Книги\Программирование\Kotlin\AtomicKotlin.epub","AtomicKotlin.epub")</f>
        <v>AtomicKotlin.epub</v>
      </c>
      <c r="O2448" s="3" t="s">
        <v>9704</v>
      </c>
    </row>
    <row r="2449" spans="1:15" ht="220.8" x14ac:dyDescent="0.3">
      <c r="A2449" s="4">
        <v>2448</v>
      </c>
      <c r="B2449" s="5" t="s">
        <v>9700</v>
      </c>
      <c r="C2449" s="5" t="s">
        <v>9705</v>
      </c>
      <c r="D2449" s="5" t="s">
        <v>59</v>
      </c>
      <c r="E2449" s="5" t="s">
        <v>296</v>
      </c>
      <c r="F2449" s="5" t="s">
        <v>9695</v>
      </c>
      <c r="G2449" s="5" t="s">
        <v>8458</v>
      </c>
      <c r="H2449" s="5" t="s">
        <v>9696</v>
      </c>
      <c r="I2449" s="5" t="s">
        <v>20</v>
      </c>
      <c r="J2449" s="5">
        <v>2.57</v>
      </c>
      <c r="K2449" s="5" t="s">
        <v>21</v>
      </c>
      <c r="L2449" s="5" t="s">
        <v>9706</v>
      </c>
      <c r="M2449" s="5" t="s">
        <v>9698</v>
      </c>
      <c r="N2449" s="7" t="str">
        <f>HYPERLINK("C:\Users\alexa\YandexDisk\Книги\Программирование\Kotlin\AtomicKotlin.pdf","AtomicKotlin.pdf")</f>
        <v>AtomicKotlin.pdf</v>
      </c>
      <c r="O2449" s="5" t="s">
        <v>9707</v>
      </c>
    </row>
    <row r="2450" spans="1:15" ht="151.80000000000001" x14ac:dyDescent="0.3">
      <c r="A2450" s="2">
        <v>2449</v>
      </c>
      <c r="B2450" s="3" t="s">
        <v>9694</v>
      </c>
      <c r="C2450" s="3" t="s">
        <v>9113</v>
      </c>
      <c r="D2450" s="3" t="s">
        <v>27</v>
      </c>
      <c r="E2450" s="3" t="s">
        <v>227</v>
      </c>
      <c r="F2450" s="3" t="s">
        <v>9695</v>
      </c>
      <c r="G2450" s="3" t="s">
        <v>8458</v>
      </c>
      <c r="H2450" s="3" t="s">
        <v>9696</v>
      </c>
      <c r="I2450" s="3" t="s">
        <v>20</v>
      </c>
      <c r="J2450" s="3">
        <v>9.23</v>
      </c>
      <c r="K2450" s="3" t="s">
        <v>21</v>
      </c>
      <c r="L2450" s="3" t="s">
        <v>9708</v>
      </c>
      <c r="M2450" s="3" t="s">
        <v>9698</v>
      </c>
      <c r="N2450" s="6" t="str">
        <f>HYPERLINK("C:\Users\alexa\YandexDisk\Книги\Программирование\Kotlin\Beginning.Kotlin.pdf","Beginning.Kotlin.pdf")</f>
        <v>Beginning.Kotlin.pdf</v>
      </c>
      <c r="O2450" s="3" t="s">
        <v>9709</v>
      </c>
    </row>
    <row r="2451" spans="1:15" ht="220.8" x14ac:dyDescent="0.3">
      <c r="A2451" s="4">
        <v>2450</v>
      </c>
      <c r="B2451" s="5" t="s">
        <v>9710</v>
      </c>
      <c r="C2451" s="5" t="s">
        <v>9711</v>
      </c>
      <c r="D2451" s="5" t="s">
        <v>71</v>
      </c>
      <c r="E2451" s="5"/>
      <c r="F2451" s="5" t="s">
        <v>9695</v>
      </c>
      <c r="G2451" s="5" t="s">
        <v>8458</v>
      </c>
      <c r="H2451" s="5" t="s">
        <v>9696</v>
      </c>
      <c r="I2451" s="5" t="s">
        <v>20</v>
      </c>
      <c r="J2451" s="5">
        <v>11.82</v>
      </c>
      <c r="K2451" s="5" t="s">
        <v>21</v>
      </c>
      <c r="L2451" s="5" t="s">
        <v>9712</v>
      </c>
      <c r="M2451" s="5" t="s">
        <v>9698</v>
      </c>
      <c r="N2451" s="7" t="str">
        <f>HYPERLINK("C:\Users\alexa\YandexDisk\Книги\Программирование\Kotlin\Data Structures &amp; Algorithms using Kotlin 2022.pdf","Data Structures &amp; Algorithms using Kotlin 2022.pdf")</f>
        <v>Data Structures &amp; Algorithms using Kotlin 2022.pdf</v>
      </c>
      <c r="O2451" s="5" t="s">
        <v>9713</v>
      </c>
    </row>
    <row r="2452" spans="1:15" ht="165.6" x14ac:dyDescent="0.3">
      <c r="A2452" s="2">
        <v>2451</v>
      </c>
      <c r="B2452" s="3" t="s">
        <v>9714</v>
      </c>
      <c r="C2452" s="3" t="s">
        <v>9715</v>
      </c>
      <c r="D2452" s="3" t="s">
        <v>59</v>
      </c>
      <c r="E2452" s="3" t="s">
        <v>18</v>
      </c>
      <c r="F2452" s="3" t="s">
        <v>9695</v>
      </c>
      <c r="G2452" s="3" t="s">
        <v>8458</v>
      </c>
      <c r="H2452" s="3" t="s">
        <v>9696</v>
      </c>
      <c r="I2452" s="3" t="s">
        <v>20</v>
      </c>
      <c r="J2452" s="3">
        <v>12.19</v>
      </c>
      <c r="K2452" s="3" t="s">
        <v>21</v>
      </c>
      <c r="L2452" s="3" t="s">
        <v>9716</v>
      </c>
      <c r="M2452" s="3" t="s">
        <v>9698</v>
      </c>
      <c r="N2452" s="6" t="str">
        <f>HYPERLINK("C:\Users\alexa\YandexDisk\Книги\Программирование\Kotlin\Head First. Kotlin (на русском).pdf","Head First. Kotlin (на русском).pdf")</f>
        <v>Head First. Kotlin (на русском).pdf</v>
      </c>
      <c r="O2452" s="3" t="s">
        <v>9717</v>
      </c>
    </row>
    <row r="2453" spans="1:15" ht="179.4" x14ac:dyDescent="0.3">
      <c r="A2453" s="4">
        <v>2452</v>
      </c>
      <c r="B2453" s="5" t="s">
        <v>9718</v>
      </c>
      <c r="C2453" s="5" t="s">
        <v>9719</v>
      </c>
      <c r="D2453" s="5" t="s">
        <v>17</v>
      </c>
      <c r="E2453" s="5" t="s">
        <v>442</v>
      </c>
      <c r="F2453" s="5" t="s">
        <v>9695</v>
      </c>
      <c r="G2453" s="5" t="s">
        <v>8458</v>
      </c>
      <c r="H2453" s="5" t="s">
        <v>9696</v>
      </c>
      <c r="I2453" s="5" t="s">
        <v>20</v>
      </c>
      <c r="J2453" s="5">
        <v>2.68</v>
      </c>
      <c r="K2453" s="5" t="s">
        <v>21</v>
      </c>
      <c r="L2453" s="5" t="s">
        <v>9720</v>
      </c>
      <c r="M2453" s="5" t="s">
        <v>9698</v>
      </c>
      <c r="N2453" s="7" t="str">
        <f>HYPERLINK("C:\Users\alexa\YandexDisk\Книги\Программирование\Kotlin\Java to Kotlin_Final 2021.pdf","Java to Kotlin_Final 2021.pdf")</f>
        <v>Java to Kotlin_Final 2021.pdf</v>
      </c>
      <c r="O2453" s="5" t="s">
        <v>9721</v>
      </c>
    </row>
    <row r="2454" spans="1:15" ht="193.2" x14ac:dyDescent="0.3">
      <c r="A2454" s="2">
        <v>2453</v>
      </c>
      <c r="B2454" s="3" t="s">
        <v>9722</v>
      </c>
      <c r="C2454" s="3" t="s">
        <v>9723</v>
      </c>
      <c r="D2454" s="3" t="s">
        <v>71</v>
      </c>
      <c r="E2454" s="3" t="s">
        <v>457</v>
      </c>
      <c r="F2454" s="3" t="s">
        <v>9695</v>
      </c>
      <c r="G2454" s="3" t="s">
        <v>8458</v>
      </c>
      <c r="H2454" s="3" t="s">
        <v>9696</v>
      </c>
      <c r="I2454" s="3" t="s">
        <v>20</v>
      </c>
      <c r="J2454" s="3">
        <v>29.27</v>
      </c>
      <c r="K2454" s="3" t="s">
        <v>21</v>
      </c>
      <c r="L2454" s="3" t="s">
        <v>9724</v>
      </c>
      <c r="M2454" s="3" t="s">
        <v>9698</v>
      </c>
      <c r="N2454" s="6" t="str">
        <f>HYPERLINK("C:\Users\alexa\YandexDisk\Книги\Программирование\Kotlin\Kotlin Coroutines by Tutorials 2022.pdf","Kotlin Coroutines by Tutorials 2022.pdf")</f>
        <v>Kotlin Coroutines by Tutorials 2022.pdf</v>
      </c>
      <c r="O2454" s="3" t="s">
        <v>9725</v>
      </c>
    </row>
    <row r="2455" spans="1:15" ht="193.2" x14ac:dyDescent="0.3">
      <c r="A2455" s="4">
        <v>2454</v>
      </c>
      <c r="B2455" s="5" t="s">
        <v>9726</v>
      </c>
      <c r="C2455" s="5" t="s">
        <v>9727</v>
      </c>
      <c r="D2455" s="5"/>
      <c r="E2455" s="5"/>
      <c r="F2455" s="5" t="s">
        <v>9695</v>
      </c>
      <c r="G2455" s="5" t="s">
        <v>8458</v>
      </c>
      <c r="H2455" s="5" t="s">
        <v>9696</v>
      </c>
      <c r="I2455" s="5" t="s">
        <v>20</v>
      </c>
      <c r="J2455" s="5">
        <v>7.25</v>
      </c>
      <c r="K2455" s="5" t="s">
        <v>21</v>
      </c>
      <c r="L2455" s="5" t="s">
        <v>9728</v>
      </c>
      <c r="M2455" s="5" t="s">
        <v>9698</v>
      </c>
      <c r="N2455" s="7" t="str">
        <f>HYPERLINK("C:\Users\alexa\YandexDisk\Книги\Программирование\Kotlin\Kotlin Kickstart.pdf","Kotlin Kickstart.pdf")</f>
        <v>Kotlin Kickstart.pdf</v>
      </c>
      <c r="O2455" s="5" t="s">
        <v>9729</v>
      </c>
    </row>
    <row r="2456" spans="1:15" ht="138" x14ac:dyDescent="0.3">
      <c r="A2456" s="2">
        <v>2455</v>
      </c>
      <c r="B2456" s="3" t="s">
        <v>9730</v>
      </c>
      <c r="C2456" s="3" t="s">
        <v>9731</v>
      </c>
      <c r="D2456" s="3"/>
      <c r="E2456" s="3" t="s">
        <v>9732</v>
      </c>
      <c r="F2456" s="3" t="s">
        <v>9695</v>
      </c>
      <c r="G2456" s="3" t="s">
        <v>8458</v>
      </c>
      <c r="H2456" s="3" t="s">
        <v>9696</v>
      </c>
      <c r="I2456" s="3" t="s">
        <v>20</v>
      </c>
      <c r="J2456" s="3">
        <v>35.75</v>
      </c>
      <c r="K2456" s="3" t="s">
        <v>21</v>
      </c>
      <c r="L2456" s="3" t="s">
        <v>9733</v>
      </c>
      <c r="M2456" s="3" t="s">
        <v>9698</v>
      </c>
      <c r="N2456" s="6" t="str">
        <f>HYPERLINK("C:\Users\alexa\YandexDisk\Книги\Программирование\Kotlin\Kotlin Multiplatform by Tutorials.pdf","Kotlin Multiplatform by Tutorials.pdf")</f>
        <v>Kotlin Multiplatform by Tutorials.pdf</v>
      </c>
      <c r="O2456" s="3" t="s">
        <v>9734</v>
      </c>
    </row>
    <row r="2457" spans="1:15" ht="138" x14ac:dyDescent="0.3">
      <c r="A2457" s="4">
        <v>2456</v>
      </c>
      <c r="B2457" s="5" t="s">
        <v>9735</v>
      </c>
      <c r="C2457" s="5" t="s">
        <v>9736</v>
      </c>
      <c r="D2457" s="5" t="s">
        <v>335</v>
      </c>
      <c r="E2457" s="5" t="s">
        <v>102</v>
      </c>
      <c r="F2457" s="5" t="s">
        <v>9695</v>
      </c>
      <c r="G2457" s="5" t="s">
        <v>8458</v>
      </c>
      <c r="H2457" s="5" t="s">
        <v>9696</v>
      </c>
      <c r="I2457" s="5" t="s">
        <v>20</v>
      </c>
      <c r="J2457" s="5">
        <v>26.47</v>
      </c>
      <c r="K2457" s="5" t="s">
        <v>21</v>
      </c>
      <c r="L2457" s="5" t="s">
        <v>9737</v>
      </c>
      <c r="M2457" s="5" t="s">
        <v>9698</v>
      </c>
      <c r="N2457" s="7" t="str">
        <f>HYPERLINK("C:\Users\alexa\YandexDisk\Книги\Программирование\Kotlin\Kotlin в иллюстрациях.pdf","Kotlin в иллюстрациях.pdf")</f>
        <v>Kotlin в иллюстрациях.pdf</v>
      </c>
      <c r="O2457" s="5" t="s">
        <v>9738</v>
      </c>
    </row>
    <row r="2458" spans="1:15" ht="151.80000000000001" x14ac:dyDescent="0.3">
      <c r="A2458" s="2">
        <v>2457</v>
      </c>
      <c r="B2458" s="3" t="s">
        <v>9739</v>
      </c>
      <c r="C2458" s="3" t="s">
        <v>9740</v>
      </c>
      <c r="D2458" s="3"/>
      <c r="E2458" s="3" t="s">
        <v>102</v>
      </c>
      <c r="F2458" s="3" t="s">
        <v>9695</v>
      </c>
      <c r="G2458" s="3" t="s">
        <v>8458</v>
      </c>
      <c r="H2458" s="3" t="s">
        <v>9696</v>
      </c>
      <c r="I2458" s="3" t="s">
        <v>20</v>
      </c>
      <c r="J2458" s="3">
        <v>6.11</v>
      </c>
      <c r="K2458" s="3" t="s">
        <v>21</v>
      </c>
      <c r="L2458" s="3" t="s">
        <v>9741</v>
      </c>
      <c r="M2458" s="3" t="s">
        <v>9698</v>
      </c>
      <c r="N2458" s="6" t="str">
        <f>HYPERLINK("C:\Users\alexa\YandexDisk\Книги\Программирование\Kotlin\Kotlin Волшебство.pdf","Kotlin Волшебство.pdf")</f>
        <v>Kotlin Волшебство.pdf</v>
      </c>
      <c r="O2458" s="3" t="s">
        <v>9742</v>
      </c>
    </row>
    <row r="2459" spans="1:15" ht="193.2" x14ac:dyDescent="0.3">
      <c r="A2459" s="4">
        <v>2458</v>
      </c>
      <c r="B2459" s="5" t="s">
        <v>9743</v>
      </c>
      <c r="C2459" s="5" t="s">
        <v>9744</v>
      </c>
      <c r="D2459" s="5" t="s">
        <v>32</v>
      </c>
      <c r="E2459" s="5" t="s">
        <v>9745</v>
      </c>
      <c r="F2459" s="5" t="s">
        <v>9695</v>
      </c>
      <c r="G2459" s="5" t="s">
        <v>8458</v>
      </c>
      <c r="H2459" s="5" t="s">
        <v>9696</v>
      </c>
      <c r="I2459" s="5" t="s">
        <v>20</v>
      </c>
      <c r="J2459" s="5">
        <v>8.4600000000000009</v>
      </c>
      <c r="K2459" s="5" t="s">
        <v>21</v>
      </c>
      <c r="L2459" s="5" t="s">
        <v>9746</v>
      </c>
      <c r="M2459" s="5" t="s">
        <v>9698</v>
      </c>
      <c r="N2459" s="7" t="str">
        <f>HYPERLINK("C:\Users\alexa\YandexDisk\Книги\Программирование\Kotlin\Kotlin для профи.pdf","Kotlin для профи.pdf")</f>
        <v>Kotlin для профи.pdf</v>
      </c>
      <c r="O2459" s="5" t="s">
        <v>9747</v>
      </c>
    </row>
    <row r="2460" spans="1:15" ht="124.2" x14ac:dyDescent="0.3">
      <c r="A2460" s="2">
        <v>2459</v>
      </c>
      <c r="B2460" s="3" t="s">
        <v>9748</v>
      </c>
      <c r="C2460" s="3"/>
      <c r="D2460" s="3" t="s">
        <v>59</v>
      </c>
      <c r="E2460" s="3"/>
      <c r="F2460" s="3" t="s">
        <v>9695</v>
      </c>
      <c r="G2460" s="3" t="s">
        <v>8458</v>
      </c>
      <c r="H2460" s="3" t="s">
        <v>9696</v>
      </c>
      <c r="I2460" s="3" t="s">
        <v>20</v>
      </c>
      <c r="J2460" s="3">
        <v>173.06</v>
      </c>
      <c r="K2460" s="3" t="s">
        <v>21</v>
      </c>
      <c r="L2460" s="3" t="s">
        <v>9749</v>
      </c>
      <c r="M2460" s="3" t="s">
        <v>9698</v>
      </c>
      <c r="N2460" s="6" t="str">
        <f>HYPERLINK("C:\Users\alexa\YandexDisk\Книги\Программирование\Kotlin\Kotlin программирование на примерах 2020.pdf","Kotlin программирование на примерах 2020.pdf")</f>
        <v>Kotlin программирование на примерах 2020.pdf</v>
      </c>
      <c r="O2460" s="3" t="s">
        <v>9750</v>
      </c>
    </row>
    <row r="2461" spans="1:15" ht="207" x14ac:dyDescent="0.3">
      <c r="A2461" s="4">
        <v>2460</v>
      </c>
      <c r="B2461" s="5" t="s">
        <v>9751</v>
      </c>
      <c r="C2461" s="5" t="s">
        <v>9752</v>
      </c>
      <c r="D2461" s="5" t="s">
        <v>335</v>
      </c>
      <c r="E2461" s="5" t="s">
        <v>336</v>
      </c>
      <c r="F2461" s="5" t="s">
        <v>9695</v>
      </c>
      <c r="G2461" s="5" t="s">
        <v>8458</v>
      </c>
      <c r="H2461" s="5" t="s">
        <v>9696</v>
      </c>
      <c r="I2461" s="5" t="s">
        <v>20</v>
      </c>
      <c r="J2461" s="5">
        <v>5.74</v>
      </c>
      <c r="K2461" s="5" t="s">
        <v>21</v>
      </c>
      <c r="L2461" s="5" t="s">
        <v>9753</v>
      </c>
      <c r="M2461" s="5" t="s">
        <v>9698</v>
      </c>
      <c r="N2461" s="7" t="str">
        <f>HYPERLINK("C:\Users\alexa\YandexDisk\Книги\Программирование\Kotlin\Kotlin. Паттерны проектирования и лучшие практики, 3-е изд..pdf","Kotlin. Паттерны проектирования и лучшие практики, 3-е изд..pdf")</f>
        <v>Kotlin. Паттерны проектирования и лучшие практики, 3-е изд..pdf</v>
      </c>
      <c r="O2461" s="5" t="s">
        <v>9754</v>
      </c>
    </row>
    <row r="2462" spans="1:15" ht="179.4" x14ac:dyDescent="0.3">
      <c r="A2462" s="2">
        <v>2461</v>
      </c>
      <c r="B2462" s="3" t="s">
        <v>9755</v>
      </c>
      <c r="C2462" s="3" t="s">
        <v>9756</v>
      </c>
      <c r="D2462" s="3" t="s">
        <v>71</v>
      </c>
      <c r="E2462" s="3" t="s">
        <v>18</v>
      </c>
      <c r="F2462" s="3" t="s">
        <v>9695</v>
      </c>
      <c r="G2462" s="3" t="s">
        <v>8458</v>
      </c>
      <c r="H2462" s="3" t="s">
        <v>9696</v>
      </c>
      <c r="I2462" s="3" t="s">
        <v>20</v>
      </c>
      <c r="J2462" s="3">
        <v>7.22</v>
      </c>
      <c r="K2462" s="3" t="s">
        <v>21</v>
      </c>
      <c r="L2462" s="3" t="s">
        <v>9757</v>
      </c>
      <c r="M2462" s="3" t="s">
        <v>9698</v>
      </c>
      <c r="N2462" s="6" t="str">
        <f>HYPERLINK("C:\Users\alexa\YandexDisk\Книги\Программирование\Kotlin\Kotlin. Программирование для профи.pdf","Kotlin. Программирование для профи.pdf")</f>
        <v>Kotlin. Программирование для профи.pdf</v>
      </c>
      <c r="O2462" s="3" t="s">
        <v>9758</v>
      </c>
    </row>
    <row r="2463" spans="1:15" ht="193.2" x14ac:dyDescent="0.3">
      <c r="A2463" s="4">
        <v>2462</v>
      </c>
      <c r="B2463" s="5" t="s">
        <v>9759</v>
      </c>
      <c r="C2463" s="5" t="s">
        <v>9760</v>
      </c>
      <c r="D2463" s="5" t="s">
        <v>17</v>
      </c>
      <c r="E2463" s="5" t="s">
        <v>102</v>
      </c>
      <c r="F2463" s="5" t="s">
        <v>9695</v>
      </c>
      <c r="G2463" s="5" t="s">
        <v>8458</v>
      </c>
      <c r="H2463" s="5" t="s">
        <v>9696</v>
      </c>
      <c r="I2463" s="5" t="s">
        <v>20</v>
      </c>
      <c r="J2463" s="5">
        <v>1.81</v>
      </c>
      <c r="K2463" s="5" t="s">
        <v>21</v>
      </c>
      <c r="L2463" s="5" t="s">
        <v>9761</v>
      </c>
      <c r="M2463" s="5" t="s">
        <v>9698</v>
      </c>
      <c r="N2463" s="7" t="str">
        <f>HYPERLINK("C:\Users\alexa\YandexDisk\Книги\Программирование\Kotlin\Kotlin. Сборник рецептов.pdf","Kotlin. Сборник рецептов.pdf")</f>
        <v>Kotlin. Сборник рецептов.pdf</v>
      </c>
      <c r="O2463" s="5" t="s">
        <v>9762</v>
      </c>
    </row>
    <row r="2464" spans="1:15" ht="165.6" x14ac:dyDescent="0.3">
      <c r="A2464" s="2">
        <v>2463</v>
      </c>
      <c r="B2464" s="3" t="s">
        <v>9763</v>
      </c>
      <c r="C2464" s="3" t="s">
        <v>9764</v>
      </c>
      <c r="D2464" s="3" t="s">
        <v>17</v>
      </c>
      <c r="E2464" s="3" t="s">
        <v>9765</v>
      </c>
      <c r="F2464" s="3" t="s">
        <v>9695</v>
      </c>
      <c r="G2464" s="3" t="s">
        <v>8458</v>
      </c>
      <c r="H2464" s="3" t="s">
        <v>9696</v>
      </c>
      <c r="I2464" s="3" t="s">
        <v>20</v>
      </c>
      <c r="J2464" s="3">
        <v>14.23</v>
      </c>
      <c r="K2464" s="3" t="s">
        <v>21</v>
      </c>
      <c r="L2464" s="3" t="s">
        <v>9766</v>
      </c>
      <c r="M2464" s="3" t="s">
        <v>9698</v>
      </c>
      <c r="N2464" s="6" t="str">
        <f>HYPERLINK("C:\Users\alexa\YandexDisk\Книги\Программирование\Kotlin\Kotlin.Programming.for.Beginners 2021.pdf","Kotlin.Programming.for.Beginners 2021.pdf")</f>
        <v>Kotlin.Programming.for.Beginners 2021.pdf</v>
      </c>
      <c r="O2464" s="3" t="s">
        <v>9767</v>
      </c>
    </row>
    <row r="2465" spans="1:15" ht="179.4" x14ac:dyDescent="0.3">
      <c r="A2465" s="4">
        <v>2464</v>
      </c>
      <c r="B2465" s="5" t="s">
        <v>9743</v>
      </c>
      <c r="C2465" s="5" t="s">
        <v>9744</v>
      </c>
      <c r="D2465" s="5" t="s">
        <v>32</v>
      </c>
      <c r="E2465" s="5" t="s">
        <v>9745</v>
      </c>
      <c r="F2465" s="5" t="s">
        <v>9695</v>
      </c>
      <c r="G2465" s="5" t="s">
        <v>8458</v>
      </c>
      <c r="H2465" s="5" t="s">
        <v>9696</v>
      </c>
      <c r="I2465" s="5" t="s">
        <v>20</v>
      </c>
      <c r="J2465" s="5">
        <v>8.4600000000000009</v>
      </c>
      <c r="K2465" s="5" t="s">
        <v>21</v>
      </c>
      <c r="L2465" s="5" t="s">
        <v>9768</v>
      </c>
      <c r="M2465" s="5" t="s">
        <v>9698</v>
      </c>
      <c r="N2465" s="7" t="str">
        <f>HYPERLINK("C:\Users\alexa\YandexDisk\Книги\Программирование\Kotlin\Kotlin_Программирование_для_профессионалов.pdf","Kotlin_Программирование_для_профессионалов.pdf")</f>
        <v>Kotlin_Программирование_для_профессионалов.pdf</v>
      </c>
      <c r="O2465" s="5" t="s">
        <v>9769</v>
      </c>
    </row>
    <row r="2466" spans="1:15" ht="207" x14ac:dyDescent="0.3">
      <c r="A2466" s="2">
        <v>2465</v>
      </c>
      <c r="B2466" s="3" t="s">
        <v>9770</v>
      </c>
      <c r="C2466" s="3" t="s">
        <v>9771</v>
      </c>
      <c r="D2466" s="3" t="s">
        <v>32</v>
      </c>
      <c r="E2466" s="3" t="s">
        <v>205</v>
      </c>
      <c r="F2466" s="3" t="s">
        <v>9695</v>
      </c>
      <c r="G2466" s="3" t="s">
        <v>8458</v>
      </c>
      <c r="H2466" s="3" t="s">
        <v>9696</v>
      </c>
      <c r="I2466" s="3" t="s">
        <v>20</v>
      </c>
      <c r="J2466" s="3">
        <v>5.72</v>
      </c>
      <c r="K2466" s="3" t="s">
        <v>21</v>
      </c>
      <c r="L2466" s="3" t="s">
        <v>9772</v>
      </c>
      <c r="M2466" s="3" t="s">
        <v>9698</v>
      </c>
      <c r="N2466" s="6" t="str">
        <f>HYPERLINK("C:\Users\alexa\YandexDisk\Книги\Программирование\Kotlin\Learning_Concurrency_in_Kotlin_Build_highly_efficient_and_robust.pdf","Learning_Concurrency_in_Kotlin_Build_highly_efficient_and_robust.pdf")</f>
        <v>Learning_Concurrency_in_Kotlin_Build_highly_efficient_and_robust.pdf</v>
      </c>
      <c r="O2466" s="3" t="s">
        <v>9773</v>
      </c>
    </row>
    <row r="2467" spans="1:15" ht="179.4" x14ac:dyDescent="0.3">
      <c r="A2467" s="4">
        <v>2466</v>
      </c>
      <c r="B2467" s="5" t="s">
        <v>9774</v>
      </c>
      <c r="C2467" s="5" t="s">
        <v>1805</v>
      </c>
      <c r="D2467" s="5"/>
      <c r="E2467" s="5"/>
      <c r="F2467" s="5" t="s">
        <v>9695</v>
      </c>
      <c r="G2467" s="5" t="s">
        <v>8458</v>
      </c>
      <c r="H2467" s="5" t="s">
        <v>9696</v>
      </c>
      <c r="I2467" s="5" t="s">
        <v>20</v>
      </c>
      <c r="J2467" s="5">
        <v>6.38</v>
      </c>
      <c r="K2467" s="5" t="s">
        <v>21</v>
      </c>
      <c r="L2467" s="5" t="s">
        <v>9775</v>
      </c>
      <c r="M2467" s="5" t="s">
        <v>9698</v>
      </c>
      <c r="N2467" s="7" t="str">
        <f>HYPERLINK("C:\Users\alexa\YandexDisk\Книги\Программирование\Kotlin\Mastering Kotlin A Beginner s Guide.pdf","Mastering Kotlin A Beginner s Guide.pdf")</f>
        <v>Mastering Kotlin A Beginner s Guide.pdf</v>
      </c>
      <c r="O2467" s="5" t="s">
        <v>9776</v>
      </c>
    </row>
    <row r="2468" spans="1:15" ht="193.2" x14ac:dyDescent="0.3">
      <c r="A2468" s="2">
        <v>2467</v>
      </c>
      <c r="B2468" s="3" t="s">
        <v>9777</v>
      </c>
      <c r="C2468" s="3" t="s">
        <v>9778</v>
      </c>
      <c r="D2468" s="3" t="s">
        <v>59</v>
      </c>
      <c r="E2468" s="3" t="s">
        <v>102</v>
      </c>
      <c r="F2468" s="3" t="s">
        <v>9695</v>
      </c>
      <c r="G2468" s="3" t="s">
        <v>8458</v>
      </c>
      <c r="H2468" s="3" t="s">
        <v>9696</v>
      </c>
      <c r="I2468" s="3" t="s">
        <v>20</v>
      </c>
      <c r="J2468" s="3">
        <v>6.11</v>
      </c>
      <c r="K2468" s="3" t="s">
        <v>21</v>
      </c>
      <c r="L2468" s="3" t="s">
        <v>9779</v>
      </c>
      <c r="M2468" s="3" t="s">
        <v>9698</v>
      </c>
      <c r="N2468" s="6" t="str">
        <f>HYPERLINK("C:\Users\alexa\YandexDisk\Книги\Программирование\Kotlin\Волшебство Kotlin (Пьер-Ив Симон) 2020.pdf","Волшебство Kotlin (Пьер-Ив Симон) 2020.pdf")</f>
        <v>Волшебство Kotlin (Пьер-Ив Симон) 2020.pdf</v>
      </c>
      <c r="O2468" s="3" t="s">
        <v>9780</v>
      </c>
    </row>
    <row r="2469" spans="1:15" ht="151.80000000000001" x14ac:dyDescent="0.3">
      <c r="A2469" s="4">
        <v>2468</v>
      </c>
      <c r="B2469" s="5" t="s">
        <v>9781</v>
      </c>
      <c r="C2469" s="5"/>
      <c r="D2469" s="5" t="s">
        <v>50</v>
      </c>
      <c r="E2469" s="5"/>
      <c r="F2469" s="5" t="s">
        <v>9695</v>
      </c>
      <c r="G2469" s="5" t="s">
        <v>8458</v>
      </c>
      <c r="H2469" s="5" t="s">
        <v>9696</v>
      </c>
      <c r="I2469" s="5" t="s">
        <v>20</v>
      </c>
      <c r="J2469" s="5">
        <v>39.869999999999997</v>
      </c>
      <c r="K2469" s="5" t="s">
        <v>21</v>
      </c>
      <c r="L2469" s="5" t="s">
        <v>9782</v>
      </c>
      <c r="M2469" s="5" t="s">
        <v>9698</v>
      </c>
      <c r="N2469" s="7" t="str">
        <f>HYPERLINK("C:\Users\alexa\YandexDisk\Книги\Программирование\Kotlin\Котлин в действии 2017.pdf","Котлин в действии 2017.pdf")</f>
        <v>Котлин в действии 2017.pdf</v>
      </c>
      <c r="O2469" s="5" t="s">
        <v>9783</v>
      </c>
    </row>
    <row r="2470" spans="1:15" ht="207" x14ac:dyDescent="0.3">
      <c r="A2470" s="2">
        <v>2469</v>
      </c>
      <c r="B2470" s="3" t="s">
        <v>9784</v>
      </c>
      <c r="C2470" s="3" t="s">
        <v>9785</v>
      </c>
      <c r="D2470" s="3" t="s">
        <v>27</v>
      </c>
      <c r="E2470" s="3" t="s">
        <v>402</v>
      </c>
      <c r="F2470" s="3" t="s">
        <v>9695</v>
      </c>
      <c r="G2470" s="3" t="s">
        <v>8458</v>
      </c>
      <c r="H2470" s="3" t="s">
        <v>9696</v>
      </c>
      <c r="I2470" s="3" t="s">
        <v>20</v>
      </c>
      <c r="J2470" s="3">
        <v>31.06</v>
      </c>
      <c r="K2470" s="3" t="s">
        <v>21</v>
      </c>
      <c r="L2470" s="3" t="s">
        <v>9786</v>
      </c>
      <c r="M2470" s="3" t="s">
        <v>9698</v>
      </c>
      <c r="N2470" s="6" t="str">
        <f>HYPERLINK("C:\Users\alexa\YandexDisk\Книги\Программирование\Kotlin\От Java к Kotlin.pdf","От Java к Kotlin.pdf")</f>
        <v>От Java к Kotlin.pdf</v>
      </c>
      <c r="O2470" s="3" t="s">
        <v>9787</v>
      </c>
    </row>
    <row r="2471" spans="1:15" ht="179.4" x14ac:dyDescent="0.3">
      <c r="A2471" s="4">
        <v>2470</v>
      </c>
      <c r="B2471" s="5" t="s">
        <v>9788</v>
      </c>
      <c r="C2471" s="5" t="s">
        <v>9789</v>
      </c>
      <c r="D2471" s="5"/>
      <c r="E2471" s="5"/>
      <c r="F2471" s="5" t="s">
        <v>9790</v>
      </c>
      <c r="G2471" s="5" t="s">
        <v>8458</v>
      </c>
      <c r="H2471" s="5" t="s">
        <v>9791</v>
      </c>
      <c r="I2471" s="5" t="s">
        <v>20</v>
      </c>
      <c r="J2471" s="5">
        <v>48.13</v>
      </c>
      <c r="K2471" s="5" t="s">
        <v>21</v>
      </c>
      <c r="L2471" s="5" t="s">
        <v>9792</v>
      </c>
      <c r="M2471" s="5" t="s">
        <v>9793</v>
      </c>
      <c r="N2471" s="7" t="str">
        <f>HYPERLINK("C:\Users\alexa\YandexDisk\Книги\Программирование\MATLAB\Mathematica_Beyond_Mathematics 2Ed.pdf","Mathematica_Beyond_Mathematics 2Ed.pdf")</f>
        <v>Mathematica_Beyond_Mathematics 2Ed.pdf</v>
      </c>
      <c r="O2471" s="5" t="s">
        <v>9794</v>
      </c>
    </row>
    <row r="2472" spans="1:15" ht="193.2" x14ac:dyDescent="0.3">
      <c r="A2472" s="2">
        <v>2471</v>
      </c>
      <c r="B2472" s="3" t="s">
        <v>9795</v>
      </c>
      <c r="C2472" s="3" t="s">
        <v>9796</v>
      </c>
      <c r="D2472" s="3" t="s">
        <v>114</v>
      </c>
      <c r="E2472" s="3" t="s">
        <v>102</v>
      </c>
      <c r="F2472" s="3" t="s">
        <v>9790</v>
      </c>
      <c r="G2472" s="3" t="s">
        <v>8458</v>
      </c>
      <c r="H2472" s="3" t="s">
        <v>9791</v>
      </c>
      <c r="I2472" s="3" t="s">
        <v>20</v>
      </c>
      <c r="J2472" s="3">
        <v>4.96</v>
      </c>
      <c r="K2472" s="3" t="s">
        <v>21</v>
      </c>
      <c r="L2472" s="3" t="s">
        <v>9797</v>
      </c>
      <c r="M2472" s="3" t="s">
        <v>9793</v>
      </c>
      <c r="N2472" s="6" t="str">
        <f>HYPERLINK("C:\Users\alexa\YandexDisk\Книги\Программирование\MATLAB\MATLAB. Теория и практика.pdf","MATLAB. Теория и практика.pdf")</f>
        <v>MATLAB. Теория и практика.pdf</v>
      </c>
      <c r="O2472" s="3" t="s">
        <v>9798</v>
      </c>
    </row>
    <row r="2473" spans="1:15" ht="262.2" x14ac:dyDescent="0.3">
      <c r="A2473" s="4">
        <v>2472</v>
      </c>
      <c r="B2473" s="5" t="s">
        <v>9799</v>
      </c>
      <c r="C2473" s="5" t="s">
        <v>9800</v>
      </c>
      <c r="D2473" s="5" t="s">
        <v>71</v>
      </c>
      <c r="E2473" s="5" t="s">
        <v>2519</v>
      </c>
      <c r="F2473" s="5" t="s">
        <v>9790</v>
      </c>
      <c r="G2473" s="5" t="s">
        <v>8458</v>
      </c>
      <c r="H2473" s="5" t="s">
        <v>9791</v>
      </c>
      <c r="I2473" s="5" t="s">
        <v>20</v>
      </c>
      <c r="J2473" s="5">
        <v>7.51</v>
      </c>
      <c r="K2473" s="5" t="s">
        <v>21</v>
      </c>
      <c r="L2473" s="5" t="s">
        <v>9801</v>
      </c>
      <c r="M2473" s="5" t="s">
        <v>9793</v>
      </c>
      <c r="N2473" s="7" t="str">
        <f>HYPERLINK("C:\Users\alexa\YandexDisk\Книги\Программирование\MATLAB\Теория_автоматического_управления.pdf","Теория_автоматического_управления.pdf")</f>
        <v>Теория_автоматического_управления.pdf</v>
      </c>
      <c r="O2473" s="5" t="s">
        <v>9802</v>
      </c>
    </row>
    <row r="2474" spans="1:15" ht="165.6" x14ac:dyDescent="0.3">
      <c r="A2474" s="2">
        <v>2473</v>
      </c>
      <c r="B2474" s="3" t="s">
        <v>9803</v>
      </c>
      <c r="C2474" s="3" t="s">
        <v>9804</v>
      </c>
      <c r="D2474" s="3" t="s">
        <v>1022</v>
      </c>
      <c r="E2474" s="3" t="s">
        <v>8043</v>
      </c>
      <c r="F2474" s="3" t="s">
        <v>9805</v>
      </c>
      <c r="G2474" s="3" t="s">
        <v>8458</v>
      </c>
      <c r="H2474" s="3" t="s">
        <v>9806</v>
      </c>
      <c r="I2474" s="3" t="s">
        <v>20</v>
      </c>
      <c r="J2474" s="3">
        <v>15.18</v>
      </c>
      <c r="K2474" s="3" t="s">
        <v>21</v>
      </c>
      <c r="L2474" s="3" t="s">
        <v>9807</v>
      </c>
      <c r="M2474" s="3" t="s">
        <v>9808</v>
      </c>
      <c r="N2474" s="6" t="str">
        <f>HYPERLINK("C:\Users\alexa\YandexDisk\Книги\Программирование\PHP\! РНР_и_MySQL_создание_интернет_магазинов.pdf","! РНР_и_MySQL_создание_интернет_магазинов.pdf")</f>
        <v>! РНР_и_MySQL_создание_интернет_магазинов.pdf</v>
      </c>
      <c r="O2474" s="3" t="s">
        <v>9809</v>
      </c>
    </row>
    <row r="2475" spans="1:15" ht="179.4" x14ac:dyDescent="0.3">
      <c r="A2475" s="4">
        <v>2474</v>
      </c>
      <c r="B2475" s="5" t="s">
        <v>9810</v>
      </c>
      <c r="C2475" s="5" t="s">
        <v>9811</v>
      </c>
      <c r="D2475" s="5" t="s">
        <v>476</v>
      </c>
      <c r="E2475" s="5" t="s">
        <v>187</v>
      </c>
      <c r="F2475" s="5" t="s">
        <v>9805</v>
      </c>
      <c r="G2475" s="5" t="s">
        <v>8458</v>
      </c>
      <c r="H2475" s="5" t="s">
        <v>9806</v>
      </c>
      <c r="I2475" s="5" t="s">
        <v>20</v>
      </c>
      <c r="J2475" s="5">
        <v>12.91</v>
      </c>
      <c r="K2475" s="5" t="s">
        <v>21</v>
      </c>
      <c r="L2475" s="5" t="s">
        <v>9812</v>
      </c>
      <c r="M2475" s="5" t="s">
        <v>9808</v>
      </c>
      <c r="N2475" s="7" t="str">
        <f>HYPERLINK("C:\Users\alexa\YandexDisk\Книги\Программирование\PHP\Brett McLaughlin.PHP and MySQL.- 2013.pdf","Brett McLaughlin.PHP and MySQL.- 2013.pdf")</f>
        <v>Brett McLaughlin.PHP and MySQL.- 2013.pdf</v>
      </c>
      <c r="O2475" s="5" t="s">
        <v>9813</v>
      </c>
    </row>
    <row r="2476" spans="1:15" ht="207" x14ac:dyDescent="0.3">
      <c r="A2476" s="2">
        <v>2475</v>
      </c>
      <c r="B2476" s="3" t="s">
        <v>9814</v>
      </c>
      <c r="C2476" s="3" t="s">
        <v>9815</v>
      </c>
      <c r="D2476" s="3" t="s">
        <v>114</v>
      </c>
      <c r="E2476" s="3" t="s">
        <v>442</v>
      </c>
      <c r="F2476" s="3" t="s">
        <v>9805</v>
      </c>
      <c r="G2476" s="3" t="s">
        <v>8458</v>
      </c>
      <c r="H2476" s="3" t="s">
        <v>9806</v>
      </c>
      <c r="I2476" s="3" t="s">
        <v>20</v>
      </c>
      <c r="J2476" s="3">
        <v>5.54</v>
      </c>
      <c r="K2476" s="3" t="s">
        <v>21</v>
      </c>
      <c r="L2476" s="3" t="s">
        <v>9816</v>
      </c>
      <c r="M2476" s="3" t="s">
        <v>9808</v>
      </c>
      <c r="N2476" s="6" t="str">
        <f>HYPERLINK("C:\Users\alexa\YandexDisk\Книги\Программирование\PHP\David Sklar Learning PHP 2016.pdf","David Sklar Learning PHP 2016.pdf")</f>
        <v>David Sklar Learning PHP 2016.pdf</v>
      </c>
      <c r="O2476" s="3" t="s">
        <v>9817</v>
      </c>
    </row>
    <row r="2477" spans="1:15" ht="151.80000000000001" x14ac:dyDescent="0.3">
      <c r="A2477" s="4">
        <v>2476</v>
      </c>
      <c r="B2477" s="5" t="s">
        <v>9818</v>
      </c>
      <c r="C2477" s="5" t="s">
        <v>9819</v>
      </c>
      <c r="D2477" s="5" t="s">
        <v>27</v>
      </c>
      <c r="E2477" s="5" t="s">
        <v>205</v>
      </c>
      <c r="F2477" s="5" t="s">
        <v>9805</v>
      </c>
      <c r="G2477" s="5" t="s">
        <v>8458</v>
      </c>
      <c r="H2477" s="5" t="s">
        <v>9806</v>
      </c>
      <c r="I2477" s="5" t="s">
        <v>20</v>
      </c>
      <c r="J2477" s="5">
        <v>5.13</v>
      </c>
      <c r="K2477" s="5" t="s">
        <v>21</v>
      </c>
      <c r="L2477" s="5" t="s">
        <v>9820</v>
      </c>
      <c r="M2477" s="5" t="s">
        <v>9808</v>
      </c>
      <c r="N2477" s="7" t="str">
        <f>HYPERLINK("C:\Users\alexa\YandexDisk\Книги\Программирование\PHP\DRUPAL-10.pdf","DRUPAL-10.pdf")</f>
        <v>DRUPAL-10.pdf</v>
      </c>
      <c r="O2477" s="5" t="s">
        <v>9821</v>
      </c>
    </row>
    <row r="2478" spans="1:15" ht="27.6" x14ac:dyDescent="0.3">
      <c r="A2478" s="2">
        <v>2477</v>
      </c>
      <c r="B2478" s="3" t="s">
        <v>9822</v>
      </c>
      <c r="C2478" s="3"/>
      <c r="D2478" s="3"/>
      <c r="E2478" s="3"/>
      <c r="F2478" s="3" t="s">
        <v>9805</v>
      </c>
      <c r="G2478" s="3" t="s">
        <v>8458</v>
      </c>
      <c r="H2478" s="3" t="s">
        <v>9806</v>
      </c>
      <c r="I2478" s="3" t="s">
        <v>519</v>
      </c>
      <c r="J2478" s="3">
        <v>6.55</v>
      </c>
      <c r="K2478" s="3" t="s">
        <v>21</v>
      </c>
      <c r="L2478" s="3" t="s">
        <v>9823</v>
      </c>
      <c r="M2478" s="3" t="s">
        <v>9808</v>
      </c>
      <c r="N2478" s="6" t="str">
        <f>HYPERLINK("C:\Users\alexa\YandexDisk\Книги\Программирование\PHP\Laravel 9.zip","Laravel 9.zip")</f>
        <v>Laravel 9.zip</v>
      </c>
      <c r="O2478" s="3" t="s">
        <v>930</v>
      </c>
    </row>
    <row r="2479" spans="1:15" ht="165.6" x14ac:dyDescent="0.3">
      <c r="A2479" s="4">
        <v>2478</v>
      </c>
      <c r="B2479" s="5" t="s">
        <v>9824</v>
      </c>
      <c r="C2479" s="5" t="s">
        <v>3468</v>
      </c>
      <c r="D2479" s="5" t="s">
        <v>17</v>
      </c>
      <c r="E2479" s="5" t="s">
        <v>402</v>
      </c>
      <c r="F2479" s="5" t="s">
        <v>9805</v>
      </c>
      <c r="G2479" s="5" t="s">
        <v>8458</v>
      </c>
      <c r="H2479" s="5" t="s">
        <v>9806</v>
      </c>
      <c r="I2479" s="5" t="s">
        <v>20</v>
      </c>
      <c r="J2479" s="5">
        <v>7.15</v>
      </c>
      <c r="K2479" s="5" t="s">
        <v>21</v>
      </c>
      <c r="L2479" s="5" t="s">
        <v>9825</v>
      </c>
      <c r="M2479" s="5" t="s">
        <v>9808</v>
      </c>
      <c r="N2479" s="7" t="str">
        <f>HYPERLINK("C:\Users\alexa\YandexDisk\Книги\Программирование\PHP\Laravel_8_Быстрая_разработка_веб_сайтов_на_PHP.pdf","Laravel_8_Быстрая_разработка_веб_сайтов_на_PHP.pdf")</f>
        <v>Laravel_8_Быстрая_разработка_веб_сайтов_на_PHP.pdf</v>
      </c>
      <c r="O2479" s="5" t="s">
        <v>9826</v>
      </c>
    </row>
    <row r="2480" spans="1:15" ht="179.4" x14ac:dyDescent="0.3">
      <c r="A2480" s="2">
        <v>2479</v>
      </c>
      <c r="B2480" s="3" t="s">
        <v>9827</v>
      </c>
      <c r="C2480" s="3" t="s">
        <v>9828</v>
      </c>
      <c r="D2480" s="3" t="s">
        <v>59</v>
      </c>
      <c r="E2480" s="3" t="s">
        <v>18</v>
      </c>
      <c r="F2480" s="3" t="s">
        <v>9805</v>
      </c>
      <c r="G2480" s="3" t="s">
        <v>8458</v>
      </c>
      <c r="H2480" s="3" t="s">
        <v>9806</v>
      </c>
      <c r="I2480" s="3" t="s">
        <v>20</v>
      </c>
      <c r="J2480" s="3">
        <v>43.55</v>
      </c>
      <c r="K2480" s="3" t="s">
        <v>21</v>
      </c>
      <c r="L2480" s="3" t="s">
        <v>9829</v>
      </c>
      <c r="M2480" s="3" t="s">
        <v>9808</v>
      </c>
      <c r="N2480" s="6" t="str">
        <f>HYPERLINK("C:\Users\alexa\YandexDisk\Книги\Программирование\PHP\Laravel_Полное_руководство.pdf","Laravel_Полное_руководство.pdf")</f>
        <v>Laravel_Полное_руководство.pdf</v>
      </c>
      <c r="O2480" s="3" t="s">
        <v>9830</v>
      </c>
    </row>
    <row r="2481" spans="1:15" ht="151.80000000000001" x14ac:dyDescent="0.3">
      <c r="A2481" s="4">
        <v>2480</v>
      </c>
      <c r="B2481" s="5" t="s">
        <v>9831</v>
      </c>
      <c r="C2481" s="5" t="s">
        <v>9832</v>
      </c>
      <c r="D2481" s="5" t="s">
        <v>32</v>
      </c>
      <c r="E2481" s="5" t="s">
        <v>205</v>
      </c>
      <c r="F2481" s="5" t="s">
        <v>9805</v>
      </c>
      <c r="G2481" s="5" t="s">
        <v>8458</v>
      </c>
      <c r="H2481" s="5" t="s">
        <v>9806</v>
      </c>
      <c r="I2481" s="5" t="s">
        <v>20</v>
      </c>
      <c r="J2481" s="5">
        <v>3.13</v>
      </c>
      <c r="K2481" s="5" t="s">
        <v>21</v>
      </c>
      <c r="L2481" s="5" t="s">
        <v>9833</v>
      </c>
      <c r="M2481" s="5" t="s">
        <v>9808</v>
      </c>
      <c r="N2481" s="7" t="str">
        <f>HYPERLINK("C:\Users\alexa\YandexDisk\Книги\Программирование\PHP\Packt.Beginning.PHP - 2018.pdf","Packt.Beginning.PHP - 2018.pdf")</f>
        <v>Packt.Beginning.PHP - 2018.pdf</v>
      </c>
      <c r="O2481" s="5" t="s">
        <v>9834</v>
      </c>
    </row>
    <row r="2482" spans="1:15" ht="193.2" x14ac:dyDescent="0.3">
      <c r="A2482" s="2">
        <v>2481</v>
      </c>
      <c r="B2482" s="3" t="s">
        <v>9835</v>
      </c>
      <c r="C2482" s="3" t="s">
        <v>9836</v>
      </c>
      <c r="D2482" s="3" t="s">
        <v>17</v>
      </c>
      <c r="E2482" s="3" t="s">
        <v>227</v>
      </c>
      <c r="F2482" s="3" t="s">
        <v>9805</v>
      </c>
      <c r="G2482" s="3" t="s">
        <v>8458</v>
      </c>
      <c r="H2482" s="3" t="s">
        <v>9806</v>
      </c>
      <c r="I2482" s="3" t="s">
        <v>20</v>
      </c>
      <c r="J2482" s="3">
        <v>44.67</v>
      </c>
      <c r="K2482" s="3" t="s">
        <v>21</v>
      </c>
      <c r="L2482" s="3" t="s">
        <v>9837</v>
      </c>
      <c r="M2482" s="3" t="s">
        <v>9808</v>
      </c>
      <c r="N2482" s="6" t="str">
        <f>HYPERLINK("C:\Users\alexa\YandexDisk\Книги\Программирование\PHP\PHP 8 объекты, шаблоны и методики.pdf","PHP 8 объекты, шаблоны и методики.pdf")</f>
        <v>PHP 8 объекты, шаблоны и методики.pdf</v>
      </c>
      <c r="O2482" s="3" t="s">
        <v>9838</v>
      </c>
    </row>
    <row r="2483" spans="1:15" ht="179.4" x14ac:dyDescent="0.3">
      <c r="A2483" s="4">
        <v>2482</v>
      </c>
      <c r="B2483" s="5" t="s">
        <v>9839</v>
      </c>
      <c r="C2483" s="5" t="s">
        <v>9840</v>
      </c>
      <c r="D2483" s="5" t="s">
        <v>27</v>
      </c>
      <c r="E2483" s="5" t="s">
        <v>402</v>
      </c>
      <c r="F2483" s="5" t="s">
        <v>9805</v>
      </c>
      <c r="G2483" s="5" t="s">
        <v>8458</v>
      </c>
      <c r="H2483" s="5" t="s">
        <v>9806</v>
      </c>
      <c r="I2483" s="5" t="s">
        <v>20</v>
      </c>
      <c r="J2483" s="5">
        <v>59.68</v>
      </c>
      <c r="K2483" s="5" t="s">
        <v>21</v>
      </c>
      <c r="L2483" s="5" t="s">
        <v>9841</v>
      </c>
      <c r="M2483" s="5" t="s">
        <v>9808</v>
      </c>
      <c r="N2483" s="7" t="str">
        <f>HYPERLINK("C:\Users\alexa\YandexDisk\Книги\Программирование\PHP\PHP 8. Наиболее полное руководство.pdf","PHP 8. Наиболее полное руководство.pdf")</f>
        <v>PHP 8. Наиболее полное руководство.pdf</v>
      </c>
      <c r="O2483" s="5" t="s">
        <v>9842</v>
      </c>
    </row>
    <row r="2484" spans="1:15" ht="220.8" x14ac:dyDescent="0.3">
      <c r="A2484" s="2">
        <v>2483</v>
      </c>
      <c r="B2484" s="3" t="s">
        <v>9843</v>
      </c>
      <c r="C2484" s="3" t="s">
        <v>9836</v>
      </c>
      <c r="D2484" s="3" t="s">
        <v>1022</v>
      </c>
      <c r="E2484" s="3" t="s">
        <v>734</v>
      </c>
      <c r="F2484" s="3" t="s">
        <v>9805</v>
      </c>
      <c r="G2484" s="3" t="s">
        <v>8458</v>
      </c>
      <c r="H2484" s="3" t="s">
        <v>9806</v>
      </c>
      <c r="I2484" s="3" t="s">
        <v>20</v>
      </c>
      <c r="J2484" s="3">
        <v>33.08</v>
      </c>
      <c r="K2484" s="3" t="s">
        <v>21</v>
      </c>
      <c r="L2484" s="3" t="s">
        <v>9844</v>
      </c>
      <c r="M2484" s="3" t="s">
        <v>9808</v>
      </c>
      <c r="N2484" s="6" t="str">
        <f>HYPERLINK("C:\Users\alexa\YandexDisk\Книги\Программирование\PHP\PHP Объекты и шаблоны программирования 2015.pdf","PHP Объекты и шаблоны программирования 2015.pdf")</f>
        <v>PHP Объекты и шаблоны программирования 2015.pdf</v>
      </c>
      <c r="O2484" s="3" t="s">
        <v>9845</v>
      </c>
    </row>
    <row r="2485" spans="1:15" ht="193.2" x14ac:dyDescent="0.3">
      <c r="A2485" s="4">
        <v>2484</v>
      </c>
      <c r="B2485" s="5" t="s">
        <v>9846</v>
      </c>
      <c r="C2485" s="5" t="s">
        <v>9847</v>
      </c>
      <c r="D2485" s="5" t="s">
        <v>1022</v>
      </c>
      <c r="E2485" s="5" t="s">
        <v>18</v>
      </c>
      <c r="F2485" s="5" t="s">
        <v>9805</v>
      </c>
      <c r="G2485" s="5" t="s">
        <v>8458</v>
      </c>
      <c r="H2485" s="5" t="s">
        <v>9806</v>
      </c>
      <c r="I2485" s="5" t="s">
        <v>20</v>
      </c>
      <c r="J2485" s="5">
        <v>5.6</v>
      </c>
      <c r="K2485" s="5" t="s">
        <v>21</v>
      </c>
      <c r="L2485" s="5" t="s">
        <v>9848</v>
      </c>
      <c r="M2485" s="5" t="s">
        <v>9808</v>
      </c>
      <c r="N2485" s="7" t="str">
        <f>HYPERLINK("C:\Users\alexa\YandexDisk\Книги\Программирование\PHP\PHP Рецепты программирования.pdf","PHP Рецепты программирования.pdf")</f>
        <v>PHP Рецепты программирования.pdf</v>
      </c>
      <c r="O2485" s="5" t="s">
        <v>9849</v>
      </c>
    </row>
    <row r="2486" spans="1:15" ht="207" x14ac:dyDescent="0.3">
      <c r="A2486" s="2">
        <v>2485</v>
      </c>
      <c r="B2486" s="3" t="s">
        <v>9850</v>
      </c>
      <c r="C2486" s="3" t="s">
        <v>1805</v>
      </c>
      <c r="D2486" s="3"/>
      <c r="E2486" s="3"/>
      <c r="F2486" s="3" t="s">
        <v>9805</v>
      </c>
      <c r="G2486" s="3" t="s">
        <v>8458</v>
      </c>
      <c r="H2486" s="3" t="s">
        <v>9806</v>
      </c>
      <c r="I2486" s="3" t="s">
        <v>20</v>
      </c>
      <c r="J2486" s="3">
        <v>6.43</v>
      </c>
      <c r="K2486" s="3" t="s">
        <v>21</v>
      </c>
      <c r="L2486" s="3" t="s">
        <v>9851</v>
      </c>
      <c r="M2486" s="3" t="s">
        <v>9808</v>
      </c>
      <c r="N2486" s="6" t="str">
        <f>HYPERLINK("C:\Users\alexa\YandexDisk\Книги\Программирование\PHP\PHP-The Ultimate Guide.pdf","PHP-The Ultimate Guide.pdf")</f>
        <v>PHP-The Ultimate Guide.pdf</v>
      </c>
      <c r="O2486" s="3" t="s">
        <v>9852</v>
      </c>
    </row>
    <row r="2487" spans="1:15" ht="27.6" x14ac:dyDescent="0.3">
      <c r="A2487" s="4">
        <v>2486</v>
      </c>
      <c r="B2487" s="5" t="s">
        <v>9853</v>
      </c>
      <c r="C2487" s="5"/>
      <c r="D2487" s="5"/>
      <c r="E2487" s="5"/>
      <c r="F2487" s="5" t="s">
        <v>9805</v>
      </c>
      <c r="G2487" s="5" t="s">
        <v>8458</v>
      </c>
      <c r="H2487" s="5" t="s">
        <v>9806</v>
      </c>
      <c r="I2487" s="5" t="s">
        <v>519</v>
      </c>
      <c r="J2487" s="5">
        <v>1.1000000000000001</v>
      </c>
      <c r="K2487" s="5" t="s">
        <v>21</v>
      </c>
      <c r="L2487" s="5" t="s">
        <v>9854</v>
      </c>
      <c r="M2487" s="5" t="s">
        <v>9808</v>
      </c>
      <c r="N2487" s="7" t="str">
        <f>HYPERLINK("C:\Users\alexa\YandexDisk\Книги\Программирование\PHP\PHP-задачник.zip","PHP-задачник.zip")</f>
        <v>PHP-задачник.zip</v>
      </c>
      <c r="O2487" s="5" t="s">
        <v>930</v>
      </c>
    </row>
    <row r="2488" spans="1:15" ht="179.4" x14ac:dyDescent="0.3">
      <c r="A2488" s="2">
        <v>2487</v>
      </c>
      <c r="B2488" s="3" t="s">
        <v>9835</v>
      </c>
      <c r="C2488" s="3" t="s">
        <v>9836</v>
      </c>
      <c r="D2488" s="3" t="s">
        <v>17</v>
      </c>
      <c r="E2488" s="3" t="s">
        <v>227</v>
      </c>
      <c r="F2488" s="3" t="s">
        <v>9805</v>
      </c>
      <c r="G2488" s="3" t="s">
        <v>8458</v>
      </c>
      <c r="H2488" s="3" t="s">
        <v>9806</v>
      </c>
      <c r="I2488" s="3" t="s">
        <v>20</v>
      </c>
      <c r="J2488" s="3">
        <v>44.69</v>
      </c>
      <c r="K2488" s="3" t="s">
        <v>21</v>
      </c>
      <c r="L2488" s="3" t="s">
        <v>9855</v>
      </c>
      <c r="M2488" s="3" t="s">
        <v>9808</v>
      </c>
      <c r="N2488" s="6" t="str">
        <f>HYPERLINK("C:\Users\alexa\YandexDisk\Книги\Программирование\PHP\PHP_8_объекты,_шаблоны_и_методики_программирования,_6_е_издание.pdf","PHP_8_объекты,_шаблоны_и_методики_программирования,_6_е_издание.pdf")</f>
        <v>PHP_8_объекты,_шаблоны_и_методики_программирования,_6_е_издание.pdf</v>
      </c>
      <c r="O2488" s="3" t="s">
        <v>9856</v>
      </c>
    </row>
    <row r="2489" spans="1:15" ht="179.4" x14ac:dyDescent="0.3">
      <c r="A2489" s="4">
        <v>2488</v>
      </c>
      <c r="B2489" s="5" t="s">
        <v>9857</v>
      </c>
      <c r="C2489" s="5" t="s">
        <v>9858</v>
      </c>
      <c r="D2489" s="5" t="s">
        <v>186</v>
      </c>
      <c r="E2489" s="5" t="s">
        <v>18</v>
      </c>
      <c r="F2489" s="5" t="s">
        <v>9805</v>
      </c>
      <c r="G2489" s="5" t="s">
        <v>8458</v>
      </c>
      <c r="H2489" s="5" t="s">
        <v>9806</v>
      </c>
      <c r="I2489" s="5" t="s">
        <v>20</v>
      </c>
      <c r="J2489" s="5">
        <v>13.82</v>
      </c>
      <c r="K2489" s="5" t="s">
        <v>21</v>
      </c>
      <c r="L2489" s="5" t="s">
        <v>9859</v>
      </c>
      <c r="M2489" s="5" t="s">
        <v>9808</v>
      </c>
      <c r="N2489" s="7" t="str">
        <f>HYPERLINK("C:\Users\alexa\YandexDisk\Книги\Программирование\PHP\PHP_и_MySQL_Исчерпывающее_руководство.pdf","PHP_и_MySQL_Исчерпывающее_руководство.pdf")</f>
        <v>PHP_и_MySQL_Исчерпывающее_руководство.pdf</v>
      </c>
      <c r="O2489" s="5" t="s">
        <v>9860</v>
      </c>
    </row>
    <row r="2490" spans="1:15" ht="193.2" x14ac:dyDescent="0.3">
      <c r="A2490" s="2">
        <v>2489</v>
      </c>
      <c r="B2490" s="3" t="s">
        <v>9861</v>
      </c>
      <c r="C2490" s="3" t="s">
        <v>9862</v>
      </c>
      <c r="D2490" s="3" t="s">
        <v>476</v>
      </c>
      <c r="E2490" s="3" t="s">
        <v>1023</v>
      </c>
      <c r="F2490" s="3" t="s">
        <v>9805</v>
      </c>
      <c r="G2490" s="3" t="s">
        <v>8458</v>
      </c>
      <c r="H2490" s="3" t="s">
        <v>9806</v>
      </c>
      <c r="I2490" s="3" t="s">
        <v>20</v>
      </c>
      <c r="J2490" s="3">
        <v>17.34</v>
      </c>
      <c r="K2490" s="3" t="s">
        <v>21</v>
      </c>
      <c r="L2490" s="3" t="s">
        <v>9863</v>
      </c>
      <c r="M2490" s="3" t="s">
        <v>9808</v>
      </c>
      <c r="N2490" s="6" t="str">
        <f>HYPERLINK("C:\Users\alexa\YandexDisk\Книги\Программирование\PHP\PHP_и_MySQL_от_новичка до проф. 2015.pdf","PHP_и_MySQL_от_новичка до проф. 2015.pdf")</f>
        <v>PHP_и_MySQL_от_новичка до проф. 2015.pdf</v>
      </c>
      <c r="O2490" s="3" t="s">
        <v>9864</v>
      </c>
    </row>
    <row r="2491" spans="1:15" ht="179.4" x14ac:dyDescent="0.3">
      <c r="A2491" s="4">
        <v>2490</v>
      </c>
      <c r="B2491" s="5" t="s">
        <v>9865</v>
      </c>
      <c r="C2491" s="5" t="s">
        <v>9866</v>
      </c>
      <c r="D2491" s="5" t="s">
        <v>59</v>
      </c>
      <c r="E2491" s="5" t="s">
        <v>485</v>
      </c>
      <c r="F2491" s="5" t="s">
        <v>9805</v>
      </c>
      <c r="G2491" s="5" t="s">
        <v>8458</v>
      </c>
      <c r="H2491" s="5" t="s">
        <v>9806</v>
      </c>
      <c r="I2491" s="5" t="s">
        <v>20</v>
      </c>
      <c r="J2491" s="5">
        <v>26.1</v>
      </c>
      <c r="K2491" s="5" t="s">
        <v>21</v>
      </c>
      <c r="L2491" s="5" t="s">
        <v>9867</v>
      </c>
      <c r="M2491" s="5" t="s">
        <v>9808</v>
      </c>
      <c r="N2491" s="7" t="str">
        <f>HYPERLINK("C:\Users\alexa\YandexDisk\Книги\Программирование\PHP\PHP_Полное_руководство_и_справочник_функций_2020_Лукьянов.pdf","PHP_Полное_руководство_и_справочник_функций_2020_Лукьянов.pdf")</f>
        <v>PHP_Полное_руководство_и_справочник_функций_2020_Лукьянов.pdf</v>
      </c>
      <c r="O2491" s="5" t="s">
        <v>9868</v>
      </c>
    </row>
    <row r="2492" spans="1:15" ht="179.4" x14ac:dyDescent="0.3">
      <c r="A2492" s="2">
        <v>2491</v>
      </c>
      <c r="B2492" s="3" t="s">
        <v>9869</v>
      </c>
      <c r="C2492" s="3" t="s">
        <v>9870</v>
      </c>
      <c r="D2492" s="3" t="s">
        <v>59</v>
      </c>
      <c r="E2492" s="3" t="s">
        <v>9871</v>
      </c>
      <c r="F2492" s="3" t="s">
        <v>9805</v>
      </c>
      <c r="G2492" s="3" t="s">
        <v>8458</v>
      </c>
      <c r="H2492" s="3" t="s">
        <v>9806</v>
      </c>
      <c r="I2492" s="3" t="s">
        <v>20</v>
      </c>
      <c r="J2492" s="3">
        <v>16.260000000000002</v>
      </c>
      <c r="K2492" s="3" t="s">
        <v>21</v>
      </c>
      <c r="L2492" s="3" t="s">
        <v>9872</v>
      </c>
      <c r="M2492" s="3" t="s">
        <v>9808</v>
      </c>
      <c r="N2492" s="6" t="str">
        <f>HYPERLINK("C:\Users\alexa\YandexDisk\Книги\Программирование\PHP\Symfony 5. Быстрый старт.pdf","Symfony 5. Быстрый старт.pdf")</f>
        <v>Symfony 5. Быстрый старт.pdf</v>
      </c>
      <c r="O2492" s="3" t="s">
        <v>9873</v>
      </c>
    </row>
    <row r="2493" spans="1:15" ht="165.6" x14ac:dyDescent="0.3">
      <c r="A2493" s="4">
        <v>2492</v>
      </c>
      <c r="B2493" s="5" t="s">
        <v>9869</v>
      </c>
      <c r="C2493" s="5" t="s">
        <v>9870</v>
      </c>
      <c r="D2493" s="5" t="s">
        <v>59</v>
      </c>
      <c r="E2493" s="5" t="s">
        <v>9871</v>
      </c>
      <c r="F2493" s="5" t="s">
        <v>9805</v>
      </c>
      <c r="G2493" s="5" t="s">
        <v>8458</v>
      </c>
      <c r="H2493" s="5" t="s">
        <v>9806</v>
      </c>
      <c r="I2493" s="5" t="s">
        <v>20</v>
      </c>
      <c r="J2493" s="5">
        <v>16.190000000000001</v>
      </c>
      <c r="K2493" s="5" t="s">
        <v>21</v>
      </c>
      <c r="L2493" s="5" t="s">
        <v>9874</v>
      </c>
      <c r="M2493" s="5" t="s">
        <v>9808</v>
      </c>
      <c r="N2493" s="7" t="str">
        <f>HYPERLINK("C:\Users\alexa\YandexDisk\Книги\Программирование\PHP\Быстрый_старт_Symfony_2020.pdf","Быстрый_старт_Symfony_2020.pdf")</f>
        <v>Быстрый_старт_Symfony_2020.pdf</v>
      </c>
      <c r="O2493" s="5" t="s">
        <v>9875</v>
      </c>
    </row>
    <row r="2494" spans="1:15" ht="220.8" x14ac:dyDescent="0.3">
      <c r="A2494" s="2">
        <v>2493</v>
      </c>
      <c r="B2494" s="3" t="s">
        <v>9876</v>
      </c>
      <c r="C2494" s="3" t="s">
        <v>9877</v>
      </c>
      <c r="D2494" s="3" t="s">
        <v>50</v>
      </c>
      <c r="E2494" s="3" t="s">
        <v>92</v>
      </c>
      <c r="F2494" s="3" t="s">
        <v>9805</v>
      </c>
      <c r="G2494" s="3" t="s">
        <v>8458</v>
      </c>
      <c r="H2494" s="3" t="s">
        <v>9806</v>
      </c>
      <c r="I2494" s="3" t="s">
        <v>519</v>
      </c>
      <c r="J2494" s="3">
        <v>105.59</v>
      </c>
      <c r="K2494" s="3" t="s">
        <v>21</v>
      </c>
      <c r="L2494" s="3" t="s">
        <v>9878</v>
      </c>
      <c r="M2494" s="3" t="s">
        <v>9808</v>
      </c>
      <c r="N2494" s="6" t="str">
        <f>HYPERLINK("C:\Users\alexa\YandexDisk\Книги\Программирование\PHP\Веллинг_Л_,_Томсон_Л_Разработка_веб_приложений_с_помощью_PHP_и_MySQL.zip","Веллинг_Л_,_Томсон_Л_Разработка_веб_приложений_с_помощью_PHP_и_MySQL.zip")</f>
        <v>Веллинг_Л_,_Томсон_Л_Разработка_веб_приложений_с_помощью_PHP_и_MySQL.zip</v>
      </c>
      <c r="O2494" s="3" t="s">
        <v>9879</v>
      </c>
    </row>
    <row r="2495" spans="1:15" ht="138" x14ac:dyDescent="0.3">
      <c r="A2495" s="4">
        <v>2494</v>
      </c>
      <c r="B2495" s="5" t="s">
        <v>9880</v>
      </c>
      <c r="C2495" s="5" t="s">
        <v>9881</v>
      </c>
      <c r="D2495" s="5" t="s">
        <v>50</v>
      </c>
      <c r="E2495" s="5" t="s">
        <v>5182</v>
      </c>
      <c r="F2495" s="5" t="s">
        <v>9805</v>
      </c>
      <c r="G2495" s="5" t="s">
        <v>8458</v>
      </c>
      <c r="H2495" s="5" t="s">
        <v>9806</v>
      </c>
      <c r="I2495" s="5" t="s">
        <v>20</v>
      </c>
      <c r="J2495" s="5">
        <v>25.2</v>
      </c>
      <c r="K2495" s="5" t="s">
        <v>21</v>
      </c>
      <c r="L2495" s="5" t="s">
        <v>9882</v>
      </c>
      <c r="M2495" s="5" t="s">
        <v>9808</v>
      </c>
      <c r="N2495" s="7" t="str">
        <f>HYPERLINK("C:\Users\alexa\YandexDisk\Книги\Программирование\PHP\Дэвид Скляр - Изучаем РНР 7.  Руководство по созданию интерактивных веб-сайтов - 2017.pdf","Дэвид Скляр - Изучаем РНР 7.  Руководство по созданию интерактивных веб-сайтов - 2017.pdf")</f>
        <v>Дэвид Скляр - Изучаем РНР 7.  Руководство по созданию интерактивных веб-сайтов - 2017.pdf</v>
      </c>
      <c r="O2495" s="5" t="s">
        <v>9883</v>
      </c>
    </row>
    <row r="2496" spans="1:15" ht="151.80000000000001" x14ac:dyDescent="0.3">
      <c r="A2496" s="2">
        <v>2495</v>
      </c>
      <c r="B2496" s="3" t="s">
        <v>9884</v>
      </c>
      <c r="C2496" s="3" t="s">
        <v>9885</v>
      </c>
      <c r="D2496" s="3" t="s">
        <v>186</v>
      </c>
      <c r="E2496" s="3"/>
      <c r="F2496" s="3" t="s">
        <v>9805</v>
      </c>
      <c r="G2496" s="3" t="s">
        <v>8458</v>
      </c>
      <c r="H2496" s="3" t="s">
        <v>9806</v>
      </c>
      <c r="I2496" s="3" t="s">
        <v>721</v>
      </c>
      <c r="J2496" s="3">
        <v>21.66</v>
      </c>
      <c r="K2496" s="3" t="s">
        <v>21</v>
      </c>
      <c r="L2496" s="3" t="s">
        <v>9886</v>
      </c>
      <c r="M2496" s="3" t="s">
        <v>9808</v>
      </c>
      <c r="N2496" s="6" t="str">
        <f>HYPERLINK("C:\Users\alexa\YandexDisk\Книги\Программирование\PHP\Жадаев PHP для начинающих 2014.djvu","Жадаев PHP для начинающих 2014.djvu")</f>
        <v>Жадаев PHP для начинающих 2014.djvu</v>
      </c>
      <c r="O2496" s="3" t="s">
        <v>9887</v>
      </c>
    </row>
    <row r="2497" spans="1:15" ht="138" x14ac:dyDescent="0.3">
      <c r="A2497" s="4">
        <v>2496</v>
      </c>
      <c r="B2497" s="5" t="s">
        <v>9884</v>
      </c>
      <c r="C2497" s="5" t="s">
        <v>9888</v>
      </c>
      <c r="D2497" s="5" t="s">
        <v>186</v>
      </c>
      <c r="E2497" s="5" t="s">
        <v>18</v>
      </c>
      <c r="F2497" s="5" t="s">
        <v>9805</v>
      </c>
      <c r="G2497" s="5" t="s">
        <v>8458</v>
      </c>
      <c r="H2497" s="5" t="s">
        <v>9806</v>
      </c>
      <c r="I2497" s="5" t="s">
        <v>20</v>
      </c>
      <c r="J2497" s="5">
        <v>2.96</v>
      </c>
      <c r="K2497" s="5" t="s">
        <v>21</v>
      </c>
      <c r="L2497" s="5" t="s">
        <v>9889</v>
      </c>
      <c r="M2497" s="5" t="s">
        <v>9808</v>
      </c>
      <c r="N2497" s="7" t="str">
        <f>HYPERLINK("C:\Users\alexa\YandexDisk\Книги\Программирование\PHP\Жадаев PHP для начинающих 2014.pdf","Жадаев PHP для начинающих 2014.pdf")</f>
        <v>Жадаев PHP для начинающих 2014.pdf</v>
      </c>
      <c r="O2497" s="5" t="s">
        <v>9890</v>
      </c>
    </row>
    <row r="2498" spans="1:15" ht="193.2" x14ac:dyDescent="0.3">
      <c r="A2498" s="2">
        <v>2497</v>
      </c>
      <c r="B2498" s="3" t="s">
        <v>9891</v>
      </c>
      <c r="C2498" s="3" t="s">
        <v>9892</v>
      </c>
      <c r="D2498" s="3" t="s">
        <v>17</v>
      </c>
      <c r="E2498" s="3" t="s">
        <v>2</v>
      </c>
      <c r="F2498" s="3" t="s">
        <v>9805</v>
      </c>
      <c r="G2498" s="3" t="s">
        <v>8458</v>
      </c>
      <c r="H2498" s="3" t="s">
        <v>9806</v>
      </c>
      <c r="I2498" s="3" t="s">
        <v>20</v>
      </c>
      <c r="J2498" s="3">
        <v>1.42</v>
      </c>
      <c r="K2498" s="3" t="s">
        <v>21</v>
      </c>
      <c r="L2498" s="3" t="s">
        <v>9893</v>
      </c>
      <c r="M2498" s="3" t="s">
        <v>9808</v>
      </c>
      <c r="N2498" s="6" t="str">
        <f>HYPERLINK("C:\Users\alexa\YandexDisk\Книги\Программирование\PHP\Как написать и продать PHP скрипт.pdf","Как написать и продать PHP скрипт.pdf")</f>
        <v>Как написать и продать PHP скрипт.pdf</v>
      </c>
      <c r="O2498" s="3" t="s">
        <v>9894</v>
      </c>
    </row>
    <row r="2499" spans="1:15" ht="165.6" x14ac:dyDescent="0.3">
      <c r="A2499" s="4">
        <v>2498</v>
      </c>
      <c r="B2499" s="5" t="s">
        <v>9895</v>
      </c>
      <c r="C2499" s="5" t="s">
        <v>9896</v>
      </c>
      <c r="D2499" s="5" t="s">
        <v>114</v>
      </c>
      <c r="E2499" s="5" t="s">
        <v>402</v>
      </c>
      <c r="F2499" s="5" t="s">
        <v>9805</v>
      </c>
      <c r="G2499" s="5" t="s">
        <v>8458</v>
      </c>
      <c r="H2499" s="5" t="s">
        <v>9806</v>
      </c>
      <c r="I2499" s="5" t="s">
        <v>20</v>
      </c>
      <c r="J2499" s="5">
        <v>11.96</v>
      </c>
      <c r="K2499" s="5" t="s">
        <v>21</v>
      </c>
      <c r="L2499" s="5" t="s">
        <v>9897</v>
      </c>
      <c r="M2499" s="5" t="s">
        <v>9808</v>
      </c>
      <c r="N2499" s="7" t="str">
        <f>HYPERLINK("C:\Users\alexa\YandexDisk\Книги\Программирование\PHP\Котеров_PHP_7_Наиболее_полное_руководство.pdf","Котеров_PHP_7_Наиболее_полное_руководство.pdf")</f>
        <v>Котеров_PHP_7_Наиболее_полное_руководство.pdf</v>
      </c>
      <c r="O2499" s="5" t="s">
        <v>9898</v>
      </c>
    </row>
    <row r="2500" spans="1:15" ht="165.6" x14ac:dyDescent="0.3">
      <c r="A2500" s="2">
        <v>2499</v>
      </c>
      <c r="B2500" s="3" t="s">
        <v>9899</v>
      </c>
      <c r="C2500" s="3" t="s">
        <v>9900</v>
      </c>
      <c r="D2500" s="3" t="s">
        <v>114</v>
      </c>
      <c r="E2500" s="3" t="s">
        <v>442</v>
      </c>
      <c r="F2500" s="3" t="s">
        <v>9805</v>
      </c>
      <c r="G2500" s="3" t="s">
        <v>8458</v>
      </c>
      <c r="H2500" s="3" t="s">
        <v>9806</v>
      </c>
      <c r="I2500" s="3" t="s">
        <v>20</v>
      </c>
      <c r="J2500" s="3">
        <v>27.32</v>
      </c>
      <c r="K2500" s="3" t="s">
        <v>21</v>
      </c>
      <c r="L2500" s="3" t="s">
        <v>9901</v>
      </c>
      <c r="M2500" s="3" t="s">
        <v>9808</v>
      </c>
      <c r="N2500" s="6" t="str">
        <f>HYPERLINK("C:\Users\alexa\YandexDisk\Книги\Программирование\PHP\Локхарт  Современный PHP 2016.pdf","Локхарт  Современный PHP 2016.pdf")</f>
        <v>Локхарт  Современный PHP 2016.pdf</v>
      </c>
      <c r="O2500" s="3" t="s">
        <v>9902</v>
      </c>
    </row>
    <row r="2501" spans="1:15" ht="151.80000000000001" x14ac:dyDescent="0.3">
      <c r="A2501" s="4">
        <v>2500</v>
      </c>
      <c r="B2501" s="5" t="s">
        <v>9865</v>
      </c>
      <c r="C2501" s="5" t="s">
        <v>9866</v>
      </c>
      <c r="D2501" s="5" t="s">
        <v>59</v>
      </c>
      <c r="E2501" s="5" t="s">
        <v>485</v>
      </c>
      <c r="F2501" s="5" t="s">
        <v>9805</v>
      </c>
      <c r="G2501" s="5" t="s">
        <v>8458</v>
      </c>
      <c r="H2501" s="5" t="s">
        <v>9806</v>
      </c>
      <c r="I2501" s="5" t="s">
        <v>20</v>
      </c>
      <c r="J2501" s="5">
        <v>26.1</v>
      </c>
      <c r="K2501" s="5" t="s">
        <v>21</v>
      </c>
      <c r="L2501" s="5" t="s">
        <v>9903</v>
      </c>
      <c r="M2501" s="5" t="s">
        <v>9808</v>
      </c>
      <c r="N2501" s="7" t="str">
        <f>HYPERLINK("C:\Users\alexa\YandexDisk\Книги\Программирование\PHP\Лукьянов_М_PHP_Полное_руководство_и_справочник_функций_2020.pdf","Лукьянов_М_PHP_Полное_руководство_и_справочник_функций_2020.pdf")</f>
        <v>Лукьянов_М_PHP_Полное_руководство_и_справочник_функций_2020.pdf</v>
      </c>
      <c r="O2501" s="5" t="s">
        <v>9904</v>
      </c>
    </row>
    <row r="2502" spans="1:15" ht="234.6" x14ac:dyDescent="0.3">
      <c r="A2502" s="2">
        <v>2501</v>
      </c>
      <c r="B2502" s="3" t="s">
        <v>9905</v>
      </c>
      <c r="C2502" s="3" t="s">
        <v>9906</v>
      </c>
      <c r="D2502" s="3" t="s">
        <v>59</v>
      </c>
      <c r="E2502" s="3" t="s">
        <v>102</v>
      </c>
      <c r="F2502" s="3" t="s">
        <v>9805</v>
      </c>
      <c r="G2502" s="3" t="s">
        <v>8458</v>
      </c>
      <c r="H2502" s="3" t="s">
        <v>9806</v>
      </c>
      <c r="I2502" s="3" t="s">
        <v>20</v>
      </c>
      <c r="J2502" s="3">
        <v>3.24</v>
      </c>
      <c r="K2502" s="3" t="s">
        <v>21</v>
      </c>
      <c r="L2502" s="3" t="s">
        <v>9907</v>
      </c>
      <c r="M2502" s="3" t="s">
        <v>9808</v>
      </c>
      <c r="N2502" s="6" t="str">
        <f>HYPERLINK("C:\Users\alexa\YandexDisk\Книги\Программирование\PHP\Нобак_Принципы_разработки_програмных_пакетов.pdf","Нобак_Принципы_разработки_програмных_пакетов.pdf")</f>
        <v>Нобак_Принципы_разработки_програмных_пакетов.pdf</v>
      </c>
      <c r="O2502" s="3" t="s">
        <v>9908</v>
      </c>
    </row>
    <row r="2503" spans="1:15" ht="220.8" x14ac:dyDescent="0.3">
      <c r="A2503" s="4">
        <v>2502</v>
      </c>
      <c r="B2503" s="5" t="s">
        <v>9909</v>
      </c>
      <c r="C2503" s="5" t="s">
        <v>9910</v>
      </c>
      <c r="D2503" s="5" t="s">
        <v>77</v>
      </c>
      <c r="E2503" s="5" t="s">
        <v>143</v>
      </c>
      <c r="F2503" s="5" t="s">
        <v>9805</v>
      </c>
      <c r="G2503" s="5" t="s">
        <v>8458</v>
      </c>
      <c r="H2503" s="5" t="s">
        <v>9806</v>
      </c>
      <c r="I2503" s="5" t="s">
        <v>20</v>
      </c>
      <c r="J2503" s="5">
        <v>1.84</v>
      </c>
      <c r="K2503" s="5" t="s">
        <v>21</v>
      </c>
      <c r="L2503" s="5" t="s">
        <v>9911</v>
      </c>
      <c r="M2503" s="5" t="s">
        <v>9808</v>
      </c>
      <c r="N2503" s="7" t="str">
        <f>HYPERLINK("C:\Users\alexa\YandexDisk\Книги\Программирование\PHP\ОРГАНИЗАЦИЯ_ДОСТУПА_К_ДАННЫМ_ИЗ_PHP_ПРИЛОЖЕНИЙ_ДЛЯ_РАЗЛИЧНЫХ_СУБД.pdf","ОРГАНИЗАЦИЯ_ДОСТУПА_К_ДАННЫМ_ИЗ_PHP_ПРИЛОЖЕНИЙ_ДЛЯ_РАЗЛИЧНЫХ_СУБД.pdf")</f>
        <v>ОРГАНИЗАЦИЯ_ДОСТУПА_К_ДАННЫМ_ИЗ_PHP_ПРИЛОЖЕНИЙ_ДЛЯ_РАЗЛИЧНЫХ_СУБД.pdf</v>
      </c>
      <c r="O2503" s="5" t="s">
        <v>9912</v>
      </c>
    </row>
    <row r="2504" spans="1:15" ht="165.6" x14ac:dyDescent="0.3">
      <c r="A2504" s="2">
        <v>2503</v>
      </c>
      <c r="B2504" s="3" t="s">
        <v>9913</v>
      </c>
      <c r="C2504" s="3" t="s">
        <v>9914</v>
      </c>
      <c r="D2504" s="3" t="s">
        <v>50</v>
      </c>
      <c r="E2504" s="3" t="s">
        <v>9915</v>
      </c>
      <c r="F2504" s="3" t="s">
        <v>9805</v>
      </c>
      <c r="G2504" s="3" t="s">
        <v>8458</v>
      </c>
      <c r="H2504" s="3" t="s">
        <v>9806</v>
      </c>
      <c r="I2504" s="3" t="s">
        <v>20</v>
      </c>
      <c r="J2504" s="3">
        <v>5.81</v>
      </c>
      <c r="K2504" s="3" t="s">
        <v>21</v>
      </c>
      <c r="L2504" s="3" t="s">
        <v>9916</v>
      </c>
      <c r="M2504" s="3" t="s">
        <v>9808</v>
      </c>
      <c r="N2504" s="6" t="str">
        <f>HYPERLINK("C:\Users\alexa\YandexDisk\Книги\Программирование\PHP\Погружение в рефакторинг (PHP) 2017.pdf","Погружение в рефакторинг (PHP) 2017.pdf")</f>
        <v>Погружение в рефакторинг (PHP) 2017.pdf</v>
      </c>
      <c r="O2504" s="3" t="s">
        <v>9917</v>
      </c>
    </row>
    <row r="2505" spans="1:15" ht="138" x14ac:dyDescent="0.3">
      <c r="A2505" s="4">
        <v>2504</v>
      </c>
      <c r="B2505" s="5" t="s">
        <v>9918</v>
      </c>
      <c r="C2505" s="5" t="s">
        <v>8653</v>
      </c>
      <c r="D2505" s="5" t="s">
        <v>17</v>
      </c>
      <c r="E2505" s="5" t="s">
        <v>9919</v>
      </c>
      <c r="F2505" s="5" t="s">
        <v>9805</v>
      </c>
      <c r="G2505" s="5" t="s">
        <v>8458</v>
      </c>
      <c r="H2505" s="5" t="s">
        <v>9806</v>
      </c>
      <c r="I2505" s="5" t="s">
        <v>20</v>
      </c>
      <c r="J2505" s="5">
        <v>6.11</v>
      </c>
      <c r="K2505" s="5" t="s">
        <v>21</v>
      </c>
      <c r="L2505" s="5" t="s">
        <v>9920</v>
      </c>
      <c r="M2505" s="5" t="s">
        <v>9808</v>
      </c>
      <c r="N2505" s="7" t="str">
        <f>HYPERLINK("C:\Users\alexa\YandexDisk\Книги\Программирование\PHP\Программирование на PHP в примерах и задачах.pdf","Программирование на PHP в примерах и задачах.pdf")</f>
        <v>Программирование на PHP в примерах и задачах.pdf</v>
      </c>
      <c r="O2505" s="5" t="s">
        <v>9921</v>
      </c>
    </row>
    <row r="2506" spans="1:15" ht="207" x14ac:dyDescent="0.3">
      <c r="A2506" s="2">
        <v>2505</v>
      </c>
      <c r="B2506" s="3" t="s">
        <v>9922</v>
      </c>
      <c r="C2506" s="3" t="s">
        <v>9923</v>
      </c>
      <c r="D2506" s="3" t="s">
        <v>17</v>
      </c>
      <c r="E2506" s="3" t="s">
        <v>9924</v>
      </c>
      <c r="F2506" s="3" t="s">
        <v>9805</v>
      </c>
      <c r="G2506" s="3" t="s">
        <v>8458</v>
      </c>
      <c r="H2506" s="3" t="s">
        <v>9806</v>
      </c>
      <c r="I2506" s="3" t="s">
        <v>20</v>
      </c>
      <c r="J2506" s="3">
        <v>6.68</v>
      </c>
      <c r="K2506" s="3" t="s">
        <v>21</v>
      </c>
      <c r="L2506" s="3" t="s">
        <v>9925</v>
      </c>
      <c r="M2506" s="3" t="s">
        <v>9808</v>
      </c>
      <c r="N2506" s="6" t="str">
        <f>HYPERLINK("C:\Users\alexa\YandexDisk\Книги\Программирование\PHP\Программирование_с_использованием_PHP_и_MySQL_в_разработке_в.pdf","Программирование_с_использованием_PHP_и_MySQL_в_разработке_в.pdf")</f>
        <v>Программирование_с_использованием_PHP_и_MySQL_в_разработке_в.pdf</v>
      </c>
      <c r="O2506" s="3" t="s">
        <v>9926</v>
      </c>
    </row>
    <row r="2507" spans="1:15" ht="151.80000000000001" x14ac:dyDescent="0.3">
      <c r="A2507" s="4">
        <v>2506</v>
      </c>
      <c r="B2507" s="5" t="s">
        <v>9927</v>
      </c>
      <c r="C2507" s="5" t="s">
        <v>9928</v>
      </c>
      <c r="D2507" s="5" t="s">
        <v>109</v>
      </c>
      <c r="E2507" s="5" t="s">
        <v>402</v>
      </c>
      <c r="F2507" s="5" t="s">
        <v>9805</v>
      </c>
      <c r="G2507" s="5" t="s">
        <v>8458</v>
      </c>
      <c r="H2507" s="5" t="s">
        <v>9806</v>
      </c>
      <c r="I2507" s="5" t="s">
        <v>20</v>
      </c>
      <c r="J2507" s="5">
        <v>24.19</v>
      </c>
      <c r="K2507" s="5" t="s">
        <v>21</v>
      </c>
      <c r="L2507" s="5" t="s">
        <v>9929</v>
      </c>
      <c r="M2507" s="5" t="s">
        <v>9808</v>
      </c>
      <c r="N2507" s="7" t="str">
        <f>HYPERLINK("C:\Users\alexa\YandexDisk\Книги\Программирование\PHP\Разработка веб-приложений на PHP 8.pdf","Разработка веб-приложений на PHP 8.pdf")</f>
        <v>Разработка веб-приложений на PHP 8.pdf</v>
      </c>
      <c r="O2507" s="5" t="s">
        <v>9930</v>
      </c>
    </row>
    <row r="2508" spans="1:15" ht="207" x14ac:dyDescent="0.3">
      <c r="A2508" s="2">
        <v>2507</v>
      </c>
      <c r="B2508" s="3" t="s">
        <v>9931</v>
      </c>
      <c r="C2508" s="3" t="s">
        <v>9932</v>
      </c>
      <c r="D2508" s="3" t="s">
        <v>59</v>
      </c>
      <c r="E2508" s="3" t="s">
        <v>102</v>
      </c>
      <c r="F2508" s="3" t="s">
        <v>9805</v>
      </c>
      <c r="G2508" s="3" t="s">
        <v>8458</v>
      </c>
      <c r="H2508" s="3" t="s">
        <v>9806</v>
      </c>
      <c r="I2508" s="3" t="s">
        <v>20</v>
      </c>
      <c r="J2508" s="3">
        <v>3.24</v>
      </c>
      <c r="K2508" s="3" t="s">
        <v>21</v>
      </c>
      <c r="L2508" s="3" t="s">
        <v>9933</v>
      </c>
      <c r="M2508" s="3" t="s">
        <v>9808</v>
      </c>
      <c r="N2508" s="6" t="str">
        <f>HYPERLINK("C:\Users\alexa\YandexDisk\Книги\Программирование\PHP\Разработка программных пакетов.pdf","Разработка программных пакетов.pdf")</f>
        <v>Разработка программных пакетов.pdf</v>
      </c>
      <c r="O2508" s="3" t="s">
        <v>9934</v>
      </c>
    </row>
    <row r="2509" spans="1:15" ht="207" x14ac:dyDescent="0.3">
      <c r="A2509" s="4">
        <v>2508</v>
      </c>
      <c r="B2509" s="5" t="s">
        <v>9935</v>
      </c>
      <c r="C2509" s="5" t="s">
        <v>9936</v>
      </c>
      <c r="D2509" s="5" t="s">
        <v>1022</v>
      </c>
      <c r="E2509" s="5" t="s">
        <v>8043</v>
      </c>
      <c r="F2509" s="5" t="s">
        <v>9805</v>
      </c>
      <c r="G2509" s="5" t="s">
        <v>8458</v>
      </c>
      <c r="H2509" s="5" t="s">
        <v>9806</v>
      </c>
      <c r="I2509" s="5" t="s">
        <v>20</v>
      </c>
      <c r="J2509" s="5">
        <v>15.18</v>
      </c>
      <c r="K2509" s="5" t="s">
        <v>21</v>
      </c>
      <c r="L2509" s="5" t="s">
        <v>9937</v>
      </c>
      <c r="M2509" s="5" t="s">
        <v>9808</v>
      </c>
      <c r="N2509" s="7" t="str">
        <f>HYPERLINK("C:\Users\alexa\YandexDisk\Книги\Программирование\PHP\РНР_и_MySQL_создание_интернет_магазинов.pdf","РНР_и_MySQL_создание_интернет_магазинов.pdf")</f>
        <v>РНР_и_MySQL_создание_интернет_магазинов.pdf</v>
      </c>
      <c r="O2509" s="5" t="s">
        <v>9938</v>
      </c>
    </row>
    <row r="2510" spans="1:15" ht="179.4" x14ac:dyDescent="0.3">
      <c r="A2510" s="2">
        <v>2509</v>
      </c>
      <c r="B2510" s="3" t="s">
        <v>9939</v>
      </c>
      <c r="C2510" s="3" t="s">
        <v>9940</v>
      </c>
      <c r="D2510" s="3" t="s">
        <v>32</v>
      </c>
      <c r="E2510" s="3" t="s">
        <v>402</v>
      </c>
      <c r="F2510" s="3" t="s">
        <v>9805</v>
      </c>
      <c r="G2510" s="3" t="s">
        <v>8458</v>
      </c>
      <c r="H2510" s="3" t="s">
        <v>9806</v>
      </c>
      <c r="I2510" s="3" t="s">
        <v>20</v>
      </c>
      <c r="J2510" s="3">
        <v>33.79</v>
      </c>
      <c r="K2510" s="3" t="s">
        <v>21</v>
      </c>
      <c r="L2510" s="3" t="s">
        <v>9941</v>
      </c>
      <c r="M2510" s="3" t="s">
        <v>9808</v>
      </c>
      <c r="N2510" s="6" t="str">
        <f>HYPERLINK("C:\Users\alexa\YandexDisk\Книги\Программирование\PHP\Самоучитель PHP 7.pdf","Самоучитель PHP 7.pdf")</f>
        <v>Самоучитель PHP 7.pdf</v>
      </c>
      <c r="O2510" s="3" t="s">
        <v>9942</v>
      </c>
    </row>
    <row r="2511" spans="1:15" ht="165.6" x14ac:dyDescent="0.3">
      <c r="A2511" s="4">
        <v>2510</v>
      </c>
      <c r="B2511" s="5" t="s">
        <v>9943</v>
      </c>
      <c r="C2511" s="5" t="s">
        <v>9944</v>
      </c>
      <c r="D2511" s="5" t="s">
        <v>17</v>
      </c>
      <c r="E2511" s="5" t="s">
        <v>18</v>
      </c>
      <c r="F2511" s="5" t="s">
        <v>9805</v>
      </c>
      <c r="G2511" s="5" t="s">
        <v>8458</v>
      </c>
      <c r="H2511" s="5" t="s">
        <v>9806</v>
      </c>
      <c r="I2511" s="5" t="s">
        <v>20</v>
      </c>
      <c r="J2511" s="5">
        <v>6.4</v>
      </c>
      <c r="K2511" s="5" t="s">
        <v>21</v>
      </c>
      <c r="L2511" s="5" t="s">
        <v>9945</v>
      </c>
      <c r="M2511" s="5" t="s">
        <v>9808</v>
      </c>
      <c r="N2511" s="7" t="str">
        <f>HYPERLINK("C:\Users\alexa\YandexDisk\Книги\Программирование\PHP\Создаем_динамические_веб_сайты_на_PHP_4_е_международное_издание.pdf","Создаем_динамические_веб_сайты_на_PHP_4_е_международное_издание.pdf")</f>
        <v>Создаем_динамические_веб_сайты_на_PHP_4_е_международное_издание.pdf</v>
      </c>
      <c r="O2511" s="5" t="s">
        <v>9946</v>
      </c>
    </row>
    <row r="2512" spans="1:15" ht="151.80000000000001" x14ac:dyDescent="0.3">
      <c r="A2512" s="2">
        <v>2511</v>
      </c>
      <c r="B2512" s="3" t="s">
        <v>9943</v>
      </c>
      <c r="C2512" s="3" t="s">
        <v>9944</v>
      </c>
      <c r="D2512" s="3" t="s">
        <v>17</v>
      </c>
      <c r="E2512" s="3" t="s">
        <v>18</v>
      </c>
      <c r="F2512" s="3" t="s">
        <v>9805</v>
      </c>
      <c r="G2512" s="3" t="s">
        <v>8458</v>
      </c>
      <c r="H2512" s="3" t="s">
        <v>9806</v>
      </c>
      <c r="I2512" s="3" t="s">
        <v>20</v>
      </c>
      <c r="J2512" s="3">
        <v>6.4</v>
      </c>
      <c r="K2512" s="3" t="s">
        <v>21</v>
      </c>
      <c r="L2512" s="3" t="s">
        <v>9947</v>
      </c>
      <c r="M2512" s="3" t="s">
        <v>9808</v>
      </c>
      <c r="N2512" s="6" t="str">
        <f>HYPERLINK("C:\Users\alexa\YandexDisk\Книги\Программирование\PHP\Татро Макинтайр Создаем_динамические_веб_сайты_на_PHP - 2021.pdf","Татро Макинтайр Создаем_динамические_веб_сайты_на_PHP - 2021.pdf")</f>
        <v>Татро Макинтайр Создаем_динамические_веб_сайты_на_PHP - 2021.pdf</v>
      </c>
      <c r="O2512" s="3" t="s">
        <v>9948</v>
      </c>
    </row>
    <row r="2513" spans="1:15" ht="124.2" x14ac:dyDescent="0.3">
      <c r="A2513" s="4">
        <v>2512</v>
      </c>
      <c r="B2513" s="5" t="s">
        <v>9949</v>
      </c>
      <c r="C2513" s="5" t="s">
        <v>9950</v>
      </c>
      <c r="D2513" s="5" t="s">
        <v>476</v>
      </c>
      <c r="E2513" s="5"/>
      <c r="F2513" s="5" t="s">
        <v>9805</v>
      </c>
      <c r="G2513" s="5" t="s">
        <v>8458</v>
      </c>
      <c r="H2513" s="5" t="s">
        <v>9806</v>
      </c>
      <c r="I2513" s="5" t="s">
        <v>721</v>
      </c>
      <c r="J2513" s="5">
        <v>10.94</v>
      </c>
      <c r="K2513" s="5" t="s">
        <v>21</v>
      </c>
      <c r="L2513" s="5" t="s">
        <v>9951</v>
      </c>
      <c r="M2513" s="5" t="s">
        <v>9808</v>
      </c>
      <c r="N2513" s="7" t="str">
        <f>HYPERLINK("C:\Users\alexa\YandexDisk\Книги\Программирование\PHP\Хопкинс PHP. Быстрый старт 2013.djvu","Хопкинс PHP. Быстрый старт 2013.djvu")</f>
        <v>Хопкинс PHP. Быстрый старт 2013.djvu</v>
      </c>
      <c r="O2513" s="5" t="s">
        <v>9952</v>
      </c>
    </row>
    <row r="2514" spans="1:15" ht="179.4" x14ac:dyDescent="0.3">
      <c r="A2514" s="2">
        <v>2513</v>
      </c>
      <c r="B2514" s="3" t="s">
        <v>9949</v>
      </c>
      <c r="C2514" s="3" t="s">
        <v>9950</v>
      </c>
      <c r="D2514" s="3" t="s">
        <v>476</v>
      </c>
      <c r="E2514" s="3" t="s">
        <v>1023</v>
      </c>
      <c r="F2514" s="3" t="s">
        <v>9805</v>
      </c>
      <c r="G2514" s="3" t="s">
        <v>8458</v>
      </c>
      <c r="H2514" s="3" t="s">
        <v>9806</v>
      </c>
      <c r="I2514" s="3" t="s">
        <v>20</v>
      </c>
      <c r="J2514" s="3">
        <v>2.82</v>
      </c>
      <c r="K2514" s="3" t="s">
        <v>21</v>
      </c>
      <c r="L2514" s="3" t="s">
        <v>9953</v>
      </c>
      <c r="M2514" s="3" t="s">
        <v>9808</v>
      </c>
      <c r="N2514" s="6" t="str">
        <f>HYPERLINK("C:\Users\alexa\YandexDisk\Книги\Программирование\PHP\Хопкинс PHP. Быстрый старт 2013.pdf","Хопкинс PHP. Быстрый старт 2013.pdf")</f>
        <v>Хопкинс PHP. Быстрый старт 2013.pdf</v>
      </c>
      <c r="O2514" s="3" t="s">
        <v>9954</v>
      </c>
    </row>
    <row r="2515" spans="1:15" ht="193.2" x14ac:dyDescent="0.3">
      <c r="A2515" s="4">
        <v>2514</v>
      </c>
      <c r="B2515" s="5" t="s">
        <v>9955</v>
      </c>
      <c r="C2515" s="5" t="s">
        <v>9956</v>
      </c>
      <c r="D2515" s="5" t="s">
        <v>27</v>
      </c>
      <c r="E2515" s="5" t="s">
        <v>102</v>
      </c>
      <c r="F2515" s="5" t="s">
        <v>9957</v>
      </c>
      <c r="G2515" s="5" t="s">
        <v>8458</v>
      </c>
      <c r="H2515" s="5" t="s">
        <v>9958</v>
      </c>
      <c r="I2515" s="5" t="s">
        <v>20</v>
      </c>
      <c r="J2515" s="5">
        <v>5.92</v>
      </c>
      <c r="K2515" s="5" t="s">
        <v>21</v>
      </c>
      <c r="L2515" s="5" t="s">
        <v>9959</v>
      </c>
      <c r="M2515" s="5" t="s">
        <v>9960</v>
      </c>
      <c r="N2515" s="7" t="str">
        <f>HYPERLINK("C:\Users\alexa\YandexDisk\Книги\Программирование\Python\!!!!Pyomo_Моделирование_оптимизации_на_Python_2023.pdf","!!!!Pyomo_Моделирование_оптимизации_на_Python_2023.pdf")</f>
        <v>!!!!Pyomo_Моделирование_оптимизации_на_Python_2023.pdf</v>
      </c>
      <c r="O2515" s="5" t="s">
        <v>9961</v>
      </c>
    </row>
    <row r="2516" spans="1:15" ht="234.6" x14ac:dyDescent="0.3">
      <c r="A2516" s="2">
        <v>2515</v>
      </c>
      <c r="B2516" s="3" t="s">
        <v>9962</v>
      </c>
      <c r="C2516" s="3" t="s">
        <v>9963</v>
      </c>
      <c r="D2516" s="3" t="s">
        <v>71</v>
      </c>
      <c r="E2516" s="3" t="s">
        <v>536</v>
      </c>
      <c r="F2516" s="3" t="s">
        <v>9957</v>
      </c>
      <c r="G2516" s="3" t="s">
        <v>8458</v>
      </c>
      <c r="H2516" s="3" t="s">
        <v>9958</v>
      </c>
      <c r="I2516" s="3" t="s">
        <v>20</v>
      </c>
      <c r="J2516" s="3">
        <v>4.87</v>
      </c>
      <c r="K2516" s="3" t="s">
        <v>21</v>
      </c>
      <c r="L2516" s="3" t="s">
        <v>9964</v>
      </c>
      <c r="M2516" s="3" t="s">
        <v>9960</v>
      </c>
      <c r="N2516" s="6" t="str">
        <f>HYPERLINK("C:\Users\alexa\YandexDisk\Книги\Программирование\Python\!!!The Well-Grounded Python Developer MEAP5_2022.pdf","!!!The Well-Grounded Python Developer MEAP5_2022.pdf")</f>
        <v>!!!The Well-Grounded Python Developer MEAP5_2022.pdf</v>
      </c>
      <c r="O2516" s="3" t="s">
        <v>9965</v>
      </c>
    </row>
    <row r="2517" spans="1:15" ht="179.4" x14ac:dyDescent="0.3">
      <c r="A2517" s="4">
        <v>2516</v>
      </c>
      <c r="B2517" s="5" t="s">
        <v>9966</v>
      </c>
      <c r="C2517" s="5" t="s">
        <v>9967</v>
      </c>
      <c r="D2517" s="5" t="s">
        <v>27</v>
      </c>
      <c r="E2517" s="5" t="s">
        <v>18</v>
      </c>
      <c r="F2517" s="5" t="s">
        <v>9957</v>
      </c>
      <c r="G2517" s="5" t="s">
        <v>8458</v>
      </c>
      <c r="H2517" s="5" t="s">
        <v>9958</v>
      </c>
      <c r="I2517" s="5" t="s">
        <v>20</v>
      </c>
      <c r="J2517" s="5">
        <v>4.71</v>
      </c>
      <c r="K2517" s="5" t="s">
        <v>21</v>
      </c>
      <c r="L2517" s="5" t="s">
        <v>9968</v>
      </c>
      <c r="M2517" s="5" t="s">
        <v>9960</v>
      </c>
      <c r="N2517" s="7" t="str">
        <f>HYPERLINK("C:\Users\alexa\YandexDisk\Книги\Программирование\Python\!!!Основы Python для Data Science.pdf","!!!Основы Python для Data Science.pdf")</f>
        <v>!!!Основы Python для Data Science.pdf</v>
      </c>
      <c r="O2517" s="5" t="s">
        <v>9969</v>
      </c>
    </row>
    <row r="2518" spans="1:15" ht="151.80000000000001" x14ac:dyDescent="0.3">
      <c r="A2518" s="2">
        <v>2517</v>
      </c>
      <c r="B2518" s="3" t="s">
        <v>9970</v>
      </c>
      <c r="C2518" s="3" t="s">
        <v>9971</v>
      </c>
      <c r="D2518" s="3" t="s">
        <v>17</v>
      </c>
      <c r="E2518" s="3" t="s">
        <v>102</v>
      </c>
      <c r="F2518" s="3" t="s">
        <v>9957</v>
      </c>
      <c r="G2518" s="3" t="s">
        <v>8458</v>
      </c>
      <c r="H2518" s="3" t="s">
        <v>9958</v>
      </c>
      <c r="I2518" s="3" t="s">
        <v>20</v>
      </c>
      <c r="J2518" s="3">
        <v>1.65</v>
      </c>
      <c r="K2518" s="3" t="s">
        <v>21</v>
      </c>
      <c r="L2518" s="3" t="s">
        <v>9972</v>
      </c>
      <c r="M2518" s="3" t="s">
        <v>9960</v>
      </c>
      <c r="N2518" s="6" t="str">
        <f>HYPERLINK("C:\Users\alexa\YandexDisk\Книги\Программирование\Python\!!Python Сборник упражнений.pdf","!!Python Сборник упражнений.pdf")</f>
        <v>!!Python Сборник упражнений.pdf</v>
      </c>
      <c r="O2518" s="3" t="s">
        <v>9973</v>
      </c>
    </row>
    <row r="2519" spans="1:15" ht="179.4" x14ac:dyDescent="0.3">
      <c r="A2519" s="4">
        <v>2518</v>
      </c>
      <c r="B2519" s="5" t="s">
        <v>9974</v>
      </c>
      <c r="C2519" s="5" t="s">
        <v>9975</v>
      </c>
      <c r="D2519" s="5" t="s">
        <v>109</v>
      </c>
      <c r="E2519" s="5" t="s">
        <v>18</v>
      </c>
      <c r="F2519" s="5" t="s">
        <v>9957</v>
      </c>
      <c r="G2519" s="5" t="s">
        <v>8458</v>
      </c>
      <c r="H2519" s="5" t="s">
        <v>9958</v>
      </c>
      <c r="I2519" s="5" t="s">
        <v>280</v>
      </c>
      <c r="J2519" s="5">
        <v>13.69</v>
      </c>
      <c r="K2519" s="5" t="s">
        <v>21</v>
      </c>
      <c r="L2519" s="5" t="s">
        <v>9976</v>
      </c>
      <c r="M2519" s="5" t="s">
        <v>9960</v>
      </c>
      <c r="N2519" s="7" t="str">
        <f>HYPERLINK("C:\Users\alexa\YandexDisk\Книги\Программирование\Python\!!_Рецепты_Python.epub","!!_Рецепты_Python.epub")</f>
        <v>!!_Рецепты_Python.epub</v>
      </c>
      <c r="O2519" s="5" t="s">
        <v>9977</v>
      </c>
    </row>
    <row r="2520" spans="1:15" ht="207" x14ac:dyDescent="0.3">
      <c r="A2520" s="2">
        <v>2519</v>
      </c>
      <c r="B2520" s="3" t="s">
        <v>9974</v>
      </c>
      <c r="C2520" s="3" t="s">
        <v>9978</v>
      </c>
      <c r="D2520" s="3" t="s">
        <v>109</v>
      </c>
      <c r="E2520" s="3" t="s">
        <v>18</v>
      </c>
      <c r="F2520" s="3" t="s">
        <v>9957</v>
      </c>
      <c r="G2520" s="3" t="s">
        <v>8458</v>
      </c>
      <c r="H2520" s="3" t="s">
        <v>9958</v>
      </c>
      <c r="I2520" s="3" t="s">
        <v>20</v>
      </c>
      <c r="J2520" s="3">
        <v>7.58</v>
      </c>
      <c r="K2520" s="3" t="s">
        <v>21</v>
      </c>
      <c r="L2520" s="3" t="s">
        <v>9979</v>
      </c>
      <c r="M2520" s="3" t="s">
        <v>9960</v>
      </c>
      <c r="N2520" s="6" t="str">
        <f>HYPERLINK("C:\Users\alexa\YandexDisk\Книги\Программирование\Python\!!_Рецепты_Python.pdf","!!_Рецепты_Python.pdf")</f>
        <v>!!_Рецепты_Python.pdf</v>
      </c>
      <c r="O2520" s="3" t="s">
        <v>9980</v>
      </c>
    </row>
    <row r="2521" spans="1:15" ht="179.4" x14ac:dyDescent="0.3">
      <c r="A2521" s="4">
        <v>2520</v>
      </c>
      <c r="B2521" s="5" t="s">
        <v>9981</v>
      </c>
      <c r="C2521" s="5" t="s">
        <v>9982</v>
      </c>
      <c r="D2521" s="5" t="s">
        <v>17</v>
      </c>
      <c r="E2521" s="5" t="s">
        <v>9983</v>
      </c>
      <c r="F2521" s="5" t="s">
        <v>9957</v>
      </c>
      <c r="G2521" s="5" t="s">
        <v>8458</v>
      </c>
      <c r="H2521" s="5" t="s">
        <v>9958</v>
      </c>
      <c r="I2521" s="5" t="s">
        <v>20</v>
      </c>
      <c r="J2521" s="5">
        <v>3.75</v>
      </c>
      <c r="K2521" s="5" t="s">
        <v>21</v>
      </c>
      <c r="L2521" s="5" t="s">
        <v>9984</v>
      </c>
      <c r="M2521" s="5" t="s">
        <v>9960</v>
      </c>
      <c r="N2521" s="7" t="str">
        <f>HYPERLINK("C:\Users\alexa\YandexDisk\Книги\Программирование\Python\!Mark_Roseman Modern_Tkinter_for_Busy_Python_Developers 2021.pdf","!Mark_Roseman Modern_Tkinter_for_Busy_Python_Developers 2021.pdf")</f>
        <v>!Mark_Roseman Modern_Tkinter_for_Busy_Python_Developers 2021.pdf</v>
      </c>
      <c r="O2521" s="5" t="s">
        <v>9985</v>
      </c>
    </row>
    <row r="2522" spans="1:15" ht="179.4" x14ac:dyDescent="0.3">
      <c r="A2522" s="2">
        <v>2521</v>
      </c>
      <c r="B2522" s="3" t="s">
        <v>9986</v>
      </c>
      <c r="C2522" s="3" t="s">
        <v>9987</v>
      </c>
      <c r="D2522" s="3" t="s">
        <v>27</v>
      </c>
      <c r="E2522" s="3" t="s">
        <v>8797</v>
      </c>
      <c r="F2522" s="3" t="s">
        <v>9957</v>
      </c>
      <c r="G2522" s="3" t="s">
        <v>8458</v>
      </c>
      <c r="H2522" s="3" t="s">
        <v>9958</v>
      </c>
      <c r="I2522" s="3" t="s">
        <v>20</v>
      </c>
      <c r="J2522" s="3">
        <v>7.7</v>
      </c>
      <c r="K2522" s="3" t="s">
        <v>21</v>
      </c>
      <c r="L2522" s="3" t="s">
        <v>9988</v>
      </c>
      <c r="M2522" s="3" t="s">
        <v>9960</v>
      </c>
      <c r="N2522" s="6" t="str">
        <f>HYPERLINK("C:\Users\alexa\YandexDisk\Книги\Программирование\Python\!Python большая книга примеров.pdf","!Python большая книга примеров.pdf")</f>
        <v>!Python большая книга примеров.pdf</v>
      </c>
      <c r="O2522" s="3" t="s">
        <v>9989</v>
      </c>
    </row>
    <row r="2523" spans="1:15" ht="234.6" x14ac:dyDescent="0.3">
      <c r="A2523" s="4">
        <v>2522</v>
      </c>
      <c r="B2523" s="5" t="s">
        <v>9990</v>
      </c>
      <c r="C2523" s="5" t="s">
        <v>9991</v>
      </c>
      <c r="D2523" s="5"/>
      <c r="E2523" s="5"/>
      <c r="F2523" s="5" t="s">
        <v>9957</v>
      </c>
      <c r="G2523" s="5" t="s">
        <v>8458</v>
      </c>
      <c r="H2523" s="5" t="s">
        <v>9958</v>
      </c>
      <c r="I2523" s="5" t="s">
        <v>280</v>
      </c>
      <c r="J2523" s="5">
        <v>7.75</v>
      </c>
      <c r="K2523" s="5" t="s">
        <v>21</v>
      </c>
      <c r="L2523" s="5" t="s">
        <v>9992</v>
      </c>
      <c r="M2523" s="5" t="s">
        <v>9960</v>
      </c>
      <c r="N2523" s="7" t="str">
        <f>HYPERLINK("C:\Users\alexa\YandexDisk\Книги\Программирование\Python\Advance.Core.Python.Programming.epub","Advance.Core.Python.Programming.epub")</f>
        <v>Advance.Core.Python.Programming.epub</v>
      </c>
      <c r="O2523" s="5" t="s">
        <v>9993</v>
      </c>
    </row>
    <row r="2524" spans="1:15" ht="193.2" x14ac:dyDescent="0.3">
      <c r="A2524" s="2">
        <v>2523</v>
      </c>
      <c r="B2524" s="3" t="s">
        <v>9994</v>
      </c>
      <c r="C2524" s="3" t="s">
        <v>6515</v>
      </c>
      <c r="D2524" s="3" t="s">
        <v>50</v>
      </c>
      <c r="E2524" s="3"/>
      <c r="F2524" s="3" t="s">
        <v>9957</v>
      </c>
      <c r="G2524" s="3" t="s">
        <v>8458</v>
      </c>
      <c r="H2524" s="3" t="s">
        <v>9958</v>
      </c>
      <c r="I2524" s="3" t="s">
        <v>20</v>
      </c>
      <c r="J2524" s="3">
        <v>19.239999999999998</v>
      </c>
      <c r="K2524" s="3" t="s">
        <v>21</v>
      </c>
      <c r="L2524" s="3" t="s">
        <v>9995</v>
      </c>
      <c r="M2524" s="3" t="s">
        <v>9960</v>
      </c>
      <c r="N2524" s="6" t="str">
        <f>HYPERLINK("C:\Users\alexa\YandexDisk\Книги\Программирование\Python\Allen_B_Dauni-Tsifrovaya_obrabotka_signalov_na_yazyke_Python-2017.pdf","Allen_B_Dauni-Tsifrovaya_obrabotka_signalov_na_yazyke_Python-2017.pdf")</f>
        <v>Allen_B_Dauni-Tsifrovaya_obrabotka_signalov_na_yazyke_Python-2017.pdf</v>
      </c>
      <c r="O2524" s="3" t="s">
        <v>9996</v>
      </c>
    </row>
    <row r="2525" spans="1:15" ht="179.4" x14ac:dyDescent="0.3">
      <c r="A2525" s="4">
        <v>2524</v>
      </c>
      <c r="B2525" s="5" t="s">
        <v>9997</v>
      </c>
      <c r="C2525" s="5" t="s">
        <v>9998</v>
      </c>
      <c r="D2525" s="5" t="s">
        <v>59</v>
      </c>
      <c r="E2525" s="5" t="s">
        <v>205</v>
      </c>
      <c r="F2525" s="5" t="s">
        <v>9957</v>
      </c>
      <c r="G2525" s="5" t="s">
        <v>8458</v>
      </c>
      <c r="H2525" s="5" t="s">
        <v>9958</v>
      </c>
      <c r="I2525" s="5" t="s">
        <v>20</v>
      </c>
      <c r="J2525" s="5">
        <v>17.52</v>
      </c>
      <c r="K2525" s="5" t="s">
        <v>21</v>
      </c>
      <c r="L2525" s="5" t="s">
        <v>9999</v>
      </c>
      <c r="M2525" s="5" t="s">
        <v>9960</v>
      </c>
      <c r="N2525" s="7" t="str">
        <f>HYPERLINK("C:\Users\alexa\YandexDisk\Книги\Программирование\Python\Applying_Math_with_Python 2020.pdf","Applying_Math_with_Python 2020.pdf")</f>
        <v>Applying_Math_with_Python 2020.pdf</v>
      </c>
      <c r="O2525" s="5" t="s">
        <v>10000</v>
      </c>
    </row>
    <row r="2526" spans="1:15" ht="151.80000000000001" x14ac:dyDescent="0.3">
      <c r="A2526" s="2">
        <v>2525</v>
      </c>
      <c r="B2526" s="3" t="s">
        <v>10001</v>
      </c>
      <c r="C2526" s="3" t="s">
        <v>10002</v>
      </c>
      <c r="D2526" s="3" t="s">
        <v>71</v>
      </c>
      <c r="E2526" s="3"/>
      <c r="F2526" s="3" t="s">
        <v>9957</v>
      </c>
      <c r="G2526" s="3" t="s">
        <v>8458</v>
      </c>
      <c r="H2526" s="3" t="s">
        <v>9958</v>
      </c>
      <c r="I2526" s="3" t="s">
        <v>20</v>
      </c>
      <c r="J2526" s="3">
        <v>13.59</v>
      </c>
      <c r="K2526" s="3" t="s">
        <v>21</v>
      </c>
      <c r="L2526" s="3" t="s">
        <v>10003</v>
      </c>
      <c r="M2526" s="3" t="s">
        <v>9960</v>
      </c>
      <c r="N2526" s="6" t="str">
        <f>HYPERLINK("C:\Users\alexa\YandexDisk\Книги\Программирование\Python\Asyncio_и_конкурентное_программирование_на_Python_2022_Фаулер.pdf","Asyncio_и_конкурентное_программирование_на_Python_2022_Фаулер.pdf")</f>
        <v>Asyncio_и_конкурентное_программирование_на_Python_2022_Фаулер.pdf</v>
      </c>
      <c r="O2526" s="3" t="s">
        <v>10004</v>
      </c>
    </row>
    <row r="2527" spans="1:15" ht="207" x14ac:dyDescent="0.3">
      <c r="A2527" s="4">
        <v>2526</v>
      </c>
      <c r="B2527" s="5" t="s">
        <v>10005</v>
      </c>
      <c r="C2527" s="5" t="s">
        <v>2771</v>
      </c>
      <c r="D2527" s="5"/>
      <c r="E2527" s="5" t="s">
        <v>587</v>
      </c>
      <c r="F2527" s="5" t="s">
        <v>9957</v>
      </c>
      <c r="G2527" s="5" t="s">
        <v>8458</v>
      </c>
      <c r="H2527" s="5" t="s">
        <v>9958</v>
      </c>
      <c r="I2527" s="5" t="s">
        <v>20</v>
      </c>
      <c r="J2527" s="5">
        <v>14.06</v>
      </c>
      <c r="K2527" s="5" t="s">
        <v>21</v>
      </c>
      <c r="L2527" s="5" t="s">
        <v>10006</v>
      </c>
      <c r="M2527" s="5" t="s">
        <v>9960</v>
      </c>
      <c r="N2527" s="7" t="str">
        <f>HYPERLINK("C:\Users\alexa\YandexDisk\Книги\Программирование\Python\Automate_the_Boring_Stuff_with_Python,_2nd_Edition.pdf","Automate_the_Boring_Stuff_with_Python,_2nd_Edition.pdf")</f>
        <v>Automate_the_Boring_Stuff_with_Python,_2nd_Edition.pdf</v>
      </c>
      <c r="O2527" s="5" t="s">
        <v>10007</v>
      </c>
    </row>
    <row r="2528" spans="1:15" ht="165.6" x14ac:dyDescent="0.3">
      <c r="A2528" s="2">
        <v>2527</v>
      </c>
      <c r="B2528" s="3" t="s">
        <v>10008</v>
      </c>
      <c r="C2528" s="3" t="s">
        <v>10009</v>
      </c>
      <c r="D2528" s="3" t="s">
        <v>50</v>
      </c>
      <c r="E2528" s="3" t="s">
        <v>18</v>
      </c>
      <c r="F2528" s="3" t="s">
        <v>9957</v>
      </c>
      <c r="G2528" s="3" t="s">
        <v>8458</v>
      </c>
      <c r="H2528" s="3" t="s">
        <v>9958</v>
      </c>
      <c r="I2528" s="3" t="s">
        <v>20</v>
      </c>
      <c r="J2528" s="3">
        <v>19.29</v>
      </c>
      <c r="K2528" s="3" t="s">
        <v>21</v>
      </c>
      <c r="L2528" s="3" t="s">
        <v>10010</v>
      </c>
      <c r="M2528" s="3" t="s">
        <v>9960</v>
      </c>
      <c r="N2528" s="6" t="str">
        <f>HYPERLINK("C:\Users\alexa\YandexDisk\Книги\Программирование\Python\Avtostopom_po_Python.pdf","Avtostopom_po_Python.pdf")</f>
        <v>Avtostopom_po_Python.pdf</v>
      </c>
      <c r="O2528" s="3" t="s">
        <v>10011</v>
      </c>
    </row>
    <row r="2529" spans="1:15" ht="151.80000000000001" x14ac:dyDescent="0.3">
      <c r="A2529" s="4">
        <v>2528</v>
      </c>
      <c r="B2529" s="5" t="s">
        <v>10012</v>
      </c>
      <c r="C2529" s="5" t="s">
        <v>10013</v>
      </c>
      <c r="D2529" s="5" t="s">
        <v>71</v>
      </c>
      <c r="E2529" s="5" t="s">
        <v>227</v>
      </c>
      <c r="F2529" s="5" t="s">
        <v>9957</v>
      </c>
      <c r="G2529" s="5" t="s">
        <v>8458</v>
      </c>
      <c r="H2529" s="5" t="s">
        <v>9958</v>
      </c>
      <c r="I2529" s="5" t="s">
        <v>20</v>
      </c>
      <c r="J2529" s="5">
        <v>9.7100000000000009</v>
      </c>
      <c r="K2529" s="5" t="s">
        <v>21</v>
      </c>
      <c r="L2529" s="5" t="s">
        <v>10014</v>
      </c>
      <c r="M2529" s="5" t="s">
        <v>9960</v>
      </c>
      <c r="N2529" s="7" t="str">
        <f>HYPERLINK("C:\Users\alexa\YandexDisk\Книги\Программирование\Python\Beginning PyQt A Hands-on.pdf","Beginning PyQt A Hands-on.pdf")</f>
        <v>Beginning PyQt A Hands-on.pdf</v>
      </c>
      <c r="O2529" s="5" t="s">
        <v>10015</v>
      </c>
    </row>
    <row r="2530" spans="1:15" ht="179.4" x14ac:dyDescent="0.3">
      <c r="A2530" s="2">
        <v>2529</v>
      </c>
      <c r="B2530" s="3" t="s">
        <v>10016</v>
      </c>
      <c r="C2530" s="3" t="s">
        <v>10017</v>
      </c>
      <c r="D2530" s="3"/>
      <c r="E2530" s="3"/>
      <c r="F2530" s="3" t="s">
        <v>9957</v>
      </c>
      <c r="G2530" s="3" t="s">
        <v>8458</v>
      </c>
      <c r="H2530" s="3" t="s">
        <v>9958</v>
      </c>
      <c r="I2530" s="3" t="s">
        <v>20</v>
      </c>
      <c r="J2530" s="3">
        <v>11.99</v>
      </c>
      <c r="K2530" s="3" t="s">
        <v>21</v>
      </c>
      <c r="L2530" s="3" t="s">
        <v>10018</v>
      </c>
      <c r="M2530" s="3" t="s">
        <v>9960</v>
      </c>
      <c r="N2530" s="6" t="str">
        <f>HYPERLINK("C:\Users\alexa\YandexDisk\Книги\Программирование\Python\Beginning_Programming_with_Python_For_Dummies_3Ed.pdf","Beginning_Programming_with_Python_For_Dummies_3Ed.pdf")</f>
        <v>Beginning_Programming_with_Python_For_Dummies_3Ed.pdf</v>
      </c>
      <c r="O2530" s="3" t="s">
        <v>10019</v>
      </c>
    </row>
    <row r="2531" spans="1:15" ht="165.6" x14ac:dyDescent="0.3">
      <c r="A2531" s="4">
        <v>2530</v>
      </c>
      <c r="B2531" s="5" t="s">
        <v>10020</v>
      </c>
      <c r="C2531" s="5" t="s">
        <v>2771</v>
      </c>
      <c r="D2531" s="5" t="s">
        <v>17</v>
      </c>
      <c r="E2531" s="5" t="s">
        <v>72</v>
      </c>
      <c r="F2531" s="5" t="s">
        <v>9957</v>
      </c>
      <c r="G2531" s="5" t="s">
        <v>8458</v>
      </c>
      <c r="H2531" s="5" t="s">
        <v>9958</v>
      </c>
      <c r="I2531" s="5" t="s">
        <v>20</v>
      </c>
      <c r="J2531" s="5">
        <v>7.85</v>
      </c>
      <c r="K2531" s="5" t="s">
        <v>21</v>
      </c>
      <c r="L2531" s="5" t="s">
        <v>10021</v>
      </c>
      <c r="M2531" s="5" t="s">
        <v>9960</v>
      </c>
      <c r="N2531" s="7" t="str">
        <f>HYPERLINK("C:\Users\alexa\YandexDisk\Книги\Программирование\Python\Beyond_the_Basic_Stuff_with_Python_Best_Practices_for_Writing_Clean.pdf","Beyond_the_Basic_Stuff_with_Python_Best_Practices_for_Writing_Clean.pdf")</f>
        <v>Beyond_the_Basic_Stuff_with_Python_Best_Practices_for_Writing_Clean.pdf</v>
      </c>
      <c r="O2531" s="5" t="s">
        <v>10022</v>
      </c>
    </row>
    <row r="2532" spans="1:15" ht="151.80000000000001" x14ac:dyDescent="0.3">
      <c r="A2532" s="2">
        <v>2531</v>
      </c>
      <c r="B2532" s="3" t="s">
        <v>10023</v>
      </c>
      <c r="C2532" s="3" t="s">
        <v>10024</v>
      </c>
      <c r="D2532" s="3" t="s">
        <v>71</v>
      </c>
      <c r="E2532" s="3" t="s">
        <v>227</v>
      </c>
      <c r="F2532" s="3" t="s">
        <v>9957</v>
      </c>
      <c r="G2532" s="3" t="s">
        <v>8458</v>
      </c>
      <c r="H2532" s="3" t="s">
        <v>9958</v>
      </c>
      <c r="I2532" s="3" t="s">
        <v>20</v>
      </c>
      <c r="J2532" s="3">
        <v>3.11</v>
      </c>
      <c r="K2532" s="3" t="s">
        <v>21</v>
      </c>
      <c r="L2532" s="3" t="s">
        <v>10025</v>
      </c>
      <c r="M2532" s="3" t="s">
        <v>9960</v>
      </c>
      <c r="N2532" s="6" t="str">
        <f>HYPERLINK("C:\Users\alexa\YandexDisk\Книги\Программирование\Python\C.and.Python.Applications.pdf","C.and.Python.Applications.pdf")</f>
        <v>C.and.Python.Applications.pdf</v>
      </c>
      <c r="O2532" s="3" t="s">
        <v>10026</v>
      </c>
    </row>
    <row r="2533" spans="1:15" ht="207" x14ac:dyDescent="0.3">
      <c r="A2533" s="4">
        <v>2532</v>
      </c>
      <c r="B2533" s="5" t="s">
        <v>10027</v>
      </c>
      <c r="C2533" s="5" t="s">
        <v>10028</v>
      </c>
      <c r="D2533" s="5" t="s">
        <v>59</v>
      </c>
      <c r="E2533" s="5"/>
      <c r="F2533" s="5" t="s">
        <v>9957</v>
      </c>
      <c r="G2533" s="5" t="s">
        <v>8458</v>
      </c>
      <c r="H2533" s="5" t="s">
        <v>9958</v>
      </c>
      <c r="I2533" s="5" t="s">
        <v>20</v>
      </c>
      <c r="J2533" s="5">
        <v>11.68</v>
      </c>
      <c r="K2533" s="5" t="s">
        <v>21</v>
      </c>
      <c r="L2533" s="5" t="s">
        <v>10029</v>
      </c>
      <c r="M2533" s="5" t="s">
        <v>9960</v>
      </c>
      <c r="N2533" s="7" t="str">
        <f>HYPERLINK("C:\Users\alexa\YandexDisk\Книги\Программирование\Python\Create GUI Applications with Python and QT5.pdf","Create GUI Applications with Python and QT5.pdf")</f>
        <v>Create GUI Applications with Python and QT5.pdf</v>
      </c>
      <c r="O2533" s="5" t="s">
        <v>10030</v>
      </c>
    </row>
    <row r="2534" spans="1:15" ht="193.2" x14ac:dyDescent="0.3">
      <c r="A2534" s="2">
        <v>2533</v>
      </c>
      <c r="B2534" s="3" t="s">
        <v>10031</v>
      </c>
      <c r="C2534" s="3" t="s">
        <v>10032</v>
      </c>
      <c r="D2534" s="3" t="s">
        <v>59</v>
      </c>
      <c r="E2534" s="3" t="s">
        <v>536</v>
      </c>
      <c r="F2534" s="3" t="s">
        <v>9957</v>
      </c>
      <c r="G2534" s="3" t="s">
        <v>8458</v>
      </c>
      <c r="H2534" s="3" t="s">
        <v>9958</v>
      </c>
      <c r="I2534" s="3" t="s">
        <v>20</v>
      </c>
      <c r="J2534" s="3">
        <v>4.09</v>
      </c>
      <c r="K2534" s="3" t="s">
        <v>21</v>
      </c>
      <c r="L2534" s="3" t="s">
        <v>10033</v>
      </c>
      <c r="M2534" s="3" t="s">
        <v>9960</v>
      </c>
      <c r="N2534" s="6" t="str">
        <f>HYPERLINK("C:\Users\alexa\YandexDisk\Книги\Программирование\Python\Dane_Hillard_Practices_of_the_Python_Pro_Manning_Publications_2020.pdf","Dane_Hillard_Practices_of_the_Python_Pro_Manning_Publications_2020.pdf")</f>
        <v>Dane_Hillard_Practices_of_the_Python_Pro_Manning_Publications_2020.pdf</v>
      </c>
      <c r="O2534" s="3" t="s">
        <v>10034</v>
      </c>
    </row>
    <row r="2535" spans="1:15" ht="193.2" x14ac:dyDescent="0.3">
      <c r="A2535" s="4">
        <v>2534</v>
      </c>
      <c r="B2535" s="5" t="s">
        <v>10035</v>
      </c>
      <c r="C2535" s="5" t="s">
        <v>10036</v>
      </c>
      <c r="D2535" s="5" t="s">
        <v>27</v>
      </c>
      <c r="E2535" s="5" t="s">
        <v>3305</v>
      </c>
      <c r="F2535" s="5" t="s">
        <v>9957</v>
      </c>
      <c r="G2535" s="5" t="s">
        <v>8458</v>
      </c>
      <c r="H2535" s="5" t="s">
        <v>9958</v>
      </c>
      <c r="I2535" s="5" t="s">
        <v>20</v>
      </c>
      <c r="J2535" s="5">
        <v>4.37</v>
      </c>
      <c r="K2535" s="5" t="s">
        <v>21</v>
      </c>
      <c r="L2535" s="5" t="s">
        <v>10037</v>
      </c>
      <c r="M2535" s="5" t="s">
        <v>9960</v>
      </c>
      <c r="N2535" s="7" t="str">
        <f>HYPERLINK("C:\Users\alexa\YandexDisk\Книги\Программирование\Python\Data Structure with Python.pdf","Data Structure with Python.pdf")</f>
        <v>Data Structure with Python.pdf</v>
      </c>
      <c r="O2535" s="5" t="s">
        <v>10038</v>
      </c>
    </row>
    <row r="2536" spans="1:15" ht="165.6" x14ac:dyDescent="0.3">
      <c r="A2536" s="2">
        <v>2535</v>
      </c>
      <c r="B2536" s="3" t="s">
        <v>10039</v>
      </c>
      <c r="C2536" s="3" t="s">
        <v>10040</v>
      </c>
      <c r="D2536" s="3"/>
      <c r="E2536" s="3"/>
      <c r="F2536" s="3" t="s">
        <v>9957</v>
      </c>
      <c r="G2536" s="3" t="s">
        <v>8458</v>
      </c>
      <c r="H2536" s="3" t="s">
        <v>9958</v>
      </c>
      <c r="I2536" s="3" t="s">
        <v>20</v>
      </c>
      <c r="J2536" s="3">
        <v>40.6</v>
      </c>
      <c r="K2536" s="3" t="s">
        <v>21</v>
      </c>
      <c r="L2536" s="3" t="s">
        <v>10041</v>
      </c>
      <c r="M2536" s="3" t="s">
        <v>9960</v>
      </c>
      <c r="N2536" s="6" t="str">
        <f>HYPERLINK("C:\Users\alexa\YandexDisk\Книги\Программирование\Python\Data Structures  Algorithms in Python...pdf","Data Structures  Algorithms in Python...pdf")</f>
        <v>Data Structures  Algorithms in Python...pdf</v>
      </c>
      <c r="O2536" s="3" t="s">
        <v>10042</v>
      </c>
    </row>
    <row r="2537" spans="1:15" ht="165.6" x14ac:dyDescent="0.3">
      <c r="A2537" s="4">
        <v>2536</v>
      </c>
      <c r="B2537" s="5" t="s">
        <v>10043</v>
      </c>
      <c r="C2537" s="5" t="s">
        <v>10044</v>
      </c>
      <c r="D2537" s="5" t="s">
        <v>59</v>
      </c>
      <c r="E2537" s="5" t="s">
        <v>18</v>
      </c>
      <c r="F2537" s="5" t="s">
        <v>9957</v>
      </c>
      <c r="G2537" s="5" t="s">
        <v>8458</v>
      </c>
      <c r="H2537" s="5" t="s">
        <v>9958</v>
      </c>
      <c r="I2537" s="5" t="s">
        <v>20</v>
      </c>
      <c r="J2537" s="5">
        <v>11.7</v>
      </c>
      <c r="K2537" s="5" t="s">
        <v>21</v>
      </c>
      <c r="L2537" s="5" t="s">
        <v>10045</v>
      </c>
      <c r="M2537" s="5" t="s">
        <v>9960</v>
      </c>
      <c r="N2537" s="7" t="str">
        <f>HYPERLINK("C:\Users\alexa\YandexDisk\Книги\Программирование\Python\Deytel_Iskusstvennyy_intellekt_bolshie_dannye_i_oblachnye_vychisleniya.pdf","Deytel_Iskusstvennyy_intellekt_bolshie_dannye_i_oblachnye_vychisleniya.pdf")</f>
        <v>Deytel_Iskusstvennyy_intellekt_bolshie_dannye_i_oblachnye_vychisleniya.pdf</v>
      </c>
      <c r="O2537" s="5" t="s">
        <v>10046</v>
      </c>
    </row>
    <row r="2538" spans="1:15" ht="138" x14ac:dyDescent="0.3">
      <c r="A2538" s="2">
        <v>2537</v>
      </c>
      <c r="B2538" s="3" t="s">
        <v>10047</v>
      </c>
      <c r="C2538" s="3" t="s">
        <v>10048</v>
      </c>
      <c r="D2538" s="3" t="s">
        <v>114</v>
      </c>
      <c r="E2538" s="3"/>
      <c r="F2538" s="3" t="s">
        <v>9957</v>
      </c>
      <c r="G2538" s="3" t="s">
        <v>8458</v>
      </c>
      <c r="H2538" s="3" t="s">
        <v>9958</v>
      </c>
      <c r="I2538" s="3" t="s">
        <v>20</v>
      </c>
      <c r="J2538" s="3">
        <v>2.0099999999999998</v>
      </c>
      <c r="K2538" s="3" t="s">
        <v>21</v>
      </c>
      <c r="L2538" s="3" t="s">
        <v>10049</v>
      </c>
      <c r="M2538" s="3" t="s">
        <v>9960</v>
      </c>
      <c r="N2538" s="6" t="str">
        <f>HYPERLINK("C:\Users\alexa\YandexDisk\Книги\Программирование\Python\Exploring Data Using Python 3.pdf","Exploring Data Using Python 3.pdf")</f>
        <v>Exploring Data Using Python 3.pdf</v>
      </c>
      <c r="O2538" s="3" t="s">
        <v>10050</v>
      </c>
    </row>
    <row r="2539" spans="1:15" ht="220.8" x14ac:dyDescent="0.3">
      <c r="A2539" s="4">
        <v>2538</v>
      </c>
      <c r="B2539" s="5" t="s">
        <v>10051</v>
      </c>
      <c r="C2539" s="5" t="s">
        <v>10052</v>
      </c>
      <c r="D2539" s="5" t="s">
        <v>71</v>
      </c>
      <c r="E2539" s="5" t="s">
        <v>536</v>
      </c>
      <c r="F2539" s="5" t="s">
        <v>9957</v>
      </c>
      <c r="G2539" s="5" t="s">
        <v>8458</v>
      </c>
      <c r="H2539" s="5" t="s">
        <v>9958</v>
      </c>
      <c r="I2539" s="5" t="s">
        <v>20</v>
      </c>
      <c r="J2539" s="5">
        <v>14.84</v>
      </c>
      <c r="K2539" s="5" t="s">
        <v>21</v>
      </c>
      <c r="L2539" s="5" t="s">
        <v>10053</v>
      </c>
      <c r="M2539" s="5" t="s">
        <v>9960</v>
      </c>
      <c r="N2539" s="7" t="str">
        <f>HYPERLINK("C:\Users\alexa\YandexDisk\Книги\Программирование\Python\Fast Python for Data Science M V8 2022.pdf","Fast Python for Data Science M V8 2022.pdf")</f>
        <v>Fast Python for Data Science M V8 2022.pdf</v>
      </c>
      <c r="O2539" s="5" t="s">
        <v>10054</v>
      </c>
    </row>
    <row r="2540" spans="1:15" ht="138" x14ac:dyDescent="0.3">
      <c r="A2540" s="2">
        <v>2539</v>
      </c>
      <c r="B2540" s="3" t="s">
        <v>5098</v>
      </c>
      <c r="C2540" s="3" t="s">
        <v>5099</v>
      </c>
      <c r="D2540" s="3" t="s">
        <v>27</v>
      </c>
      <c r="E2540" s="3" t="s">
        <v>102</v>
      </c>
      <c r="F2540" s="3" t="s">
        <v>9957</v>
      </c>
      <c r="G2540" s="3" t="s">
        <v>8458</v>
      </c>
      <c r="H2540" s="3" t="s">
        <v>9958</v>
      </c>
      <c r="I2540" s="3" t="s">
        <v>20</v>
      </c>
      <c r="J2540" s="3">
        <v>3.5</v>
      </c>
      <c r="K2540" s="3" t="s">
        <v>21</v>
      </c>
      <c r="L2540" s="3" t="s">
        <v>10055</v>
      </c>
      <c r="M2540" s="3" t="s">
        <v>9960</v>
      </c>
      <c r="N2540" s="6" t="str">
        <f>HYPERLINK("C:\Users\alexa\YandexDisk\Книги\Программирование\Python\GPT_3 на Python в примерах.pdf","GPT_3 на Python в примерах.pdf")</f>
        <v>GPT_3 на Python в примерах.pdf</v>
      </c>
      <c r="O2540" s="3" t="s">
        <v>10056</v>
      </c>
    </row>
    <row r="2541" spans="1:15" ht="151.80000000000001" x14ac:dyDescent="0.3">
      <c r="A2541" s="4">
        <v>2540</v>
      </c>
      <c r="B2541" s="5" t="s">
        <v>10057</v>
      </c>
      <c r="C2541" s="5" t="s">
        <v>10058</v>
      </c>
      <c r="D2541" s="5"/>
      <c r="E2541" s="5"/>
      <c r="F2541" s="5" t="s">
        <v>9957</v>
      </c>
      <c r="G2541" s="5" t="s">
        <v>8458</v>
      </c>
      <c r="H2541" s="5" t="s">
        <v>9958</v>
      </c>
      <c r="I2541" s="5" t="s">
        <v>20</v>
      </c>
      <c r="J2541" s="5">
        <v>45.44</v>
      </c>
      <c r="K2541" s="5" t="s">
        <v>21</v>
      </c>
      <c r="L2541" s="5" t="s">
        <v>10059</v>
      </c>
      <c r="M2541" s="5" t="s">
        <v>9960</v>
      </c>
      <c r="N2541" s="7" t="str">
        <f>HYPERLINK("C:\Users\alexa\YandexDisk\Книги\Программирование\Python\Handbook.of.Computer.Programming.with.Python.pdf","Handbook.of.Computer.Programming.with.Python.pdf")</f>
        <v>Handbook.of.Computer.Programming.with.Python.pdf</v>
      </c>
      <c r="O2541" s="5" t="s">
        <v>10060</v>
      </c>
    </row>
    <row r="2542" spans="1:15" ht="151.80000000000001" x14ac:dyDescent="0.3">
      <c r="A2542" s="2">
        <v>2541</v>
      </c>
      <c r="B2542" s="3" t="s">
        <v>10061</v>
      </c>
      <c r="C2542" s="3" t="s">
        <v>10062</v>
      </c>
      <c r="D2542" s="3" t="s">
        <v>17</v>
      </c>
      <c r="E2542" s="3" t="s">
        <v>10063</v>
      </c>
      <c r="F2542" s="3" t="s">
        <v>9957</v>
      </c>
      <c r="G2542" s="3" t="s">
        <v>8458</v>
      </c>
      <c r="H2542" s="3" t="s">
        <v>9958</v>
      </c>
      <c r="I2542" s="3" t="s">
        <v>280</v>
      </c>
      <c r="J2542" s="3">
        <v>6.69</v>
      </c>
      <c r="K2542" s="3" t="s">
        <v>21</v>
      </c>
      <c r="L2542" s="3" t="s">
        <v>10064</v>
      </c>
      <c r="M2542" s="3" t="s">
        <v>9960</v>
      </c>
      <c r="N2542" s="6" t="str">
        <f>HYPERLINK("C:\Users\alexa\YandexDisk\Книги\Программирование\Python\Hands_on_Python_Programming_for_Beginners_Learn_Practical_Python.epub","Hands_on_Python_Programming_for_Beginners_Learn_Practical_Python.epub")</f>
        <v>Hands_on_Python_Programming_for_Beginners_Learn_Practical_Python.epub</v>
      </c>
      <c r="O2542" s="3" t="s">
        <v>10065</v>
      </c>
    </row>
    <row r="2543" spans="1:15" ht="151.80000000000001" x14ac:dyDescent="0.3">
      <c r="A2543" s="4">
        <v>2542</v>
      </c>
      <c r="B2543" s="5" t="s">
        <v>10066</v>
      </c>
      <c r="C2543" s="5" t="s">
        <v>10067</v>
      </c>
      <c r="D2543" s="5"/>
      <c r="E2543" s="5"/>
      <c r="F2543" s="5" t="s">
        <v>9957</v>
      </c>
      <c r="G2543" s="5" t="s">
        <v>8458</v>
      </c>
      <c r="H2543" s="5" t="s">
        <v>9958</v>
      </c>
      <c r="I2543" s="5" t="s">
        <v>20</v>
      </c>
      <c r="J2543" s="5">
        <v>87.02</v>
      </c>
      <c r="K2543" s="5" t="s">
        <v>21</v>
      </c>
      <c r="L2543" s="5" t="s">
        <v>10068</v>
      </c>
      <c r="M2543" s="5" t="s">
        <v>9960</v>
      </c>
      <c r="N2543" s="7" t="str">
        <f>HYPERLINK("C:\Users\alexa\YandexDisk\Книги\Программирование\Python\HeadFirst Pol Barry  Python Brain-Friendly Guide.pdf","HeadFirst Pol Barry  Python Brain-Friendly Guide.pdf")</f>
        <v>HeadFirst Pol Barry  Python Brain-Friendly Guide.pdf</v>
      </c>
      <c r="O2543" s="5" t="s">
        <v>10069</v>
      </c>
    </row>
    <row r="2544" spans="1:15" ht="193.2" x14ac:dyDescent="0.3">
      <c r="A2544" s="2">
        <v>2543</v>
      </c>
      <c r="B2544" s="3" t="s">
        <v>10066</v>
      </c>
      <c r="C2544" s="3" t="s">
        <v>10067</v>
      </c>
      <c r="D2544" s="3" t="s">
        <v>50</v>
      </c>
      <c r="E2544" s="3" t="s">
        <v>10070</v>
      </c>
      <c r="F2544" s="3" t="s">
        <v>9957</v>
      </c>
      <c r="G2544" s="3" t="s">
        <v>8458</v>
      </c>
      <c r="H2544" s="3" t="s">
        <v>9958</v>
      </c>
      <c r="I2544" s="3" t="s">
        <v>20</v>
      </c>
      <c r="J2544" s="3">
        <v>24.56</v>
      </c>
      <c r="K2544" s="3" t="s">
        <v>21</v>
      </c>
      <c r="L2544" s="3" t="s">
        <v>10071</v>
      </c>
      <c r="M2544" s="3" t="s">
        <v>9960</v>
      </c>
      <c r="N2544" s="6" t="str">
        <f>HYPERLINK("C:\Users\alexa\YandexDisk\Книги\Программирование\Python\HeadFirst Пол Бэрри Изучаем программирование на Python.pdf","HeadFirst Пол Бэрри Изучаем программирование на Python.pdf")</f>
        <v>HeadFirst Пол Бэрри Изучаем программирование на Python.pdf</v>
      </c>
      <c r="O2544" s="3" t="s">
        <v>10072</v>
      </c>
    </row>
    <row r="2545" spans="1:15" ht="165.6" x14ac:dyDescent="0.3">
      <c r="A2545" s="4">
        <v>2544</v>
      </c>
      <c r="B2545" s="5" t="s">
        <v>10073</v>
      </c>
      <c r="C2545" s="5" t="s">
        <v>10074</v>
      </c>
      <c r="D2545" s="5" t="s">
        <v>59</v>
      </c>
      <c r="E2545" s="5" t="s">
        <v>1431</v>
      </c>
      <c r="F2545" s="5" t="s">
        <v>9957</v>
      </c>
      <c r="G2545" s="5" t="s">
        <v>8458</v>
      </c>
      <c r="H2545" s="5" t="s">
        <v>9958</v>
      </c>
      <c r="I2545" s="5" t="s">
        <v>20</v>
      </c>
      <c r="J2545" s="5">
        <v>77.930000000000007</v>
      </c>
      <c r="K2545" s="5" t="s">
        <v>21</v>
      </c>
      <c r="L2545" s="5" t="s">
        <v>10075</v>
      </c>
      <c r="M2545" s="5" t="s">
        <v>9960</v>
      </c>
      <c r="N2545" s="7" t="str">
        <f>HYPERLINK("C:\Users\alexa\YandexDisk\Книги\Программирование\Python\HeadFirst Эрик Фримен Учимся_программировать_с_примерами_на_Python 2020.pdf","HeadFirst Эрик Фримен Учимся_программировать_с_примерами_на_Python 2020.pdf")</f>
        <v>HeadFirst Эрик Фримен Учимся_программировать_с_примерами_на_Python 2020.pdf</v>
      </c>
      <c r="O2545" s="5" t="s">
        <v>10076</v>
      </c>
    </row>
    <row r="2546" spans="1:15" ht="165.6" x14ac:dyDescent="0.3">
      <c r="A2546" s="2">
        <v>2545</v>
      </c>
      <c r="B2546" s="3" t="s">
        <v>10077</v>
      </c>
      <c r="C2546" s="3" t="s">
        <v>10078</v>
      </c>
      <c r="D2546" s="3" t="s">
        <v>476</v>
      </c>
      <c r="E2546" s="3" t="s">
        <v>86</v>
      </c>
      <c r="F2546" s="3" t="s">
        <v>9957</v>
      </c>
      <c r="G2546" s="3" t="s">
        <v>8458</v>
      </c>
      <c r="H2546" s="3" t="s">
        <v>9958</v>
      </c>
      <c r="I2546" s="3" t="s">
        <v>20</v>
      </c>
      <c r="J2546" s="3">
        <v>13.43</v>
      </c>
      <c r="K2546" s="3" t="s">
        <v>21</v>
      </c>
      <c r="L2546" s="3" t="s">
        <v>10079</v>
      </c>
      <c r="M2546" s="3" t="s">
        <v>9960</v>
      </c>
      <c r="N2546" s="6" t="str">
        <f>HYPERLINK("C:\Users\alexa\YandexDisk\Книги\Программирование\Python\Introduction to Computation and Programming using Python (rev. ed.) [Guttag 2013-08-09].pdf","Introduction to Computation and Programming using Python (rev. ed.) [Guttag 2013-08-09].pdf")</f>
        <v>Introduction to Computation and Programming using Python (rev. ed.) [Guttag 2013-08-09].pdf</v>
      </c>
      <c r="O2546" s="3" t="s">
        <v>10080</v>
      </c>
    </row>
    <row r="2547" spans="1:15" ht="138" x14ac:dyDescent="0.3">
      <c r="A2547" s="4">
        <v>2546</v>
      </c>
      <c r="B2547" s="5" t="s">
        <v>10081</v>
      </c>
      <c r="C2547" s="5" t="s">
        <v>10082</v>
      </c>
      <c r="D2547" s="5" t="s">
        <v>59</v>
      </c>
      <c r="E2547" s="5" t="s">
        <v>678</v>
      </c>
      <c r="F2547" s="5" t="s">
        <v>9957</v>
      </c>
      <c r="G2547" s="5" t="s">
        <v>8458</v>
      </c>
      <c r="H2547" s="5" t="s">
        <v>9958</v>
      </c>
      <c r="I2547" s="5" t="s">
        <v>20</v>
      </c>
      <c r="J2547" s="5">
        <v>1.86</v>
      </c>
      <c r="K2547" s="5" t="s">
        <v>21</v>
      </c>
      <c r="L2547" s="5" t="s">
        <v>10083</v>
      </c>
      <c r="M2547" s="5" t="s">
        <v>9960</v>
      </c>
      <c r="N2547" s="7" t="str">
        <f>HYPERLINK("C:\Users\alexa\YandexDisk\Книги\Программирование\Python\Introduction to Scientific Programming With Python (2020).pdf","Introduction to Scientific Programming With Python (2020).pdf")</f>
        <v>Introduction to Scientific Programming With Python (2020).pdf</v>
      </c>
      <c r="O2547" s="5" t="s">
        <v>10084</v>
      </c>
    </row>
    <row r="2548" spans="1:15" ht="179.4" x14ac:dyDescent="0.3">
      <c r="A2548" s="2">
        <v>2547</v>
      </c>
      <c r="B2548" s="3" t="s">
        <v>10085</v>
      </c>
      <c r="C2548" s="3" t="s">
        <v>2771</v>
      </c>
      <c r="D2548" s="3" t="s">
        <v>50</v>
      </c>
      <c r="E2548" s="3" t="s">
        <v>10086</v>
      </c>
      <c r="F2548" s="3" t="s">
        <v>9957</v>
      </c>
      <c r="G2548" s="3" t="s">
        <v>8458</v>
      </c>
      <c r="H2548" s="3" t="s">
        <v>9958</v>
      </c>
      <c r="I2548" s="3" t="s">
        <v>20</v>
      </c>
      <c r="J2548" s="3">
        <v>8.42</v>
      </c>
      <c r="K2548" s="3" t="s">
        <v>21</v>
      </c>
      <c r="L2548" s="3" t="s">
        <v>10087</v>
      </c>
      <c r="M2548" s="3" t="s">
        <v>9960</v>
      </c>
      <c r="N2548" s="6" t="str">
        <f>HYPERLINK("C:\Users\alexa\YandexDisk\Книги\Программирование\Python\Invent_Your_Own_Computer_Games_with_Python_by_Al_Sweigart_z_lib.pdf","Invent_Your_Own_Computer_Games_with_Python_by_Al_Sweigart_z_lib.pdf")</f>
        <v>Invent_Your_Own_Computer_Games_with_Python_by_Al_Sweigart_z_lib.pdf</v>
      </c>
      <c r="O2548" s="3" t="s">
        <v>10088</v>
      </c>
    </row>
    <row r="2549" spans="1:15" ht="165.6" x14ac:dyDescent="0.3">
      <c r="A2549" s="4">
        <v>2548</v>
      </c>
      <c r="B2549" s="5" t="s">
        <v>10089</v>
      </c>
      <c r="C2549" s="5" t="s">
        <v>10090</v>
      </c>
      <c r="D2549" s="5"/>
      <c r="E2549" s="5"/>
      <c r="F2549" s="5" t="s">
        <v>9957</v>
      </c>
      <c r="G2549" s="5" t="s">
        <v>8458</v>
      </c>
      <c r="H2549" s="5" t="s">
        <v>9958</v>
      </c>
      <c r="I2549" s="5" t="s">
        <v>20</v>
      </c>
      <c r="J2549" s="5">
        <v>4.8899999999999997</v>
      </c>
      <c r="K2549" s="5" t="s">
        <v>21</v>
      </c>
      <c r="L2549" s="5" t="s">
        <v>10091</v>
      </c>
      <c r="M2549" s="5" t="s">
        <v>9960</v>
      </c>
      <c r="N2549" s="7" t="str">
        <f>HYPERLINK("C:\Users\alexa\YandexDisk\Книги\Программирование\Python\Irv_Kalb_Object_Oriented_Python_Master_OOP_by_Building_Games_and.pdf","Irv_Kalb_Object_Oriented_Python_Master_OOP_by_Building_Games_and.pdf")</f>
        <v>Irv_Kalb_Object_Oriented_Python_Master_OOP_by_Building_Games_and.pdf</v>
      </c>
      <c r="O2549" s="5" t="s">
        <v>10092</v>
      </c>
    </row>
    <row r="2550" spans="1:15" ht="151.80000000000001" x14ac:dyDescent="0.3">
      <c r="A2550" s="2">
        <v>2549</v>
      </c>
      <c r="B2550" s="3" t="s">
        <v>10093</v>
      </c>
      <c r="C2550" s="3" t="s">
        <v>10094</v>
      </c>
      <c r="D2550" s="3" t="s">
        <v>837</v>
      </c>
      <c r="E2550" s="3" t="s">
        <v>1566</v>
      </c>
      <c r="F2550" s="3" t="s">
        <v>9957</v>
      </c>
      <c r="G2550" s="3" t="s">
        <v>8458</v>
      </c>
      <c r="H2550" s="3" t="s">
        <v>9958</v>
      </c>
      <c r="I2550" s="3" t="s">
        <v>20</v>
      </c>
      <c r="J2550" s="3">
        <v>10.68</v>
      </c>
      <c r="K2550" s="3" t="s">
        <v>21</v>
      </c>
      <c r="L2550" s="3" t="s">
        <v>10095</v>
      </c>
      <c r="M2550" s="3" t="s">
        <v>9960</v>
      </c>
      <c r="N2550" s="6" t="str">
        <f>HYPERLINK("C:\Users\alexa\YandexDisk\Книги\Программирование\Python\Izuchaem_Python_4e_izd (1).pdf","Izuchaem_Python_4e_izd (1).pdf")</f>
        <v>Izuchaem_Python_4e_izd (1).pdf</v>
      </c>
      <c r="O2550" s="3" t="s">
        <v>10096</v>
      </c>
    </row>
    <row r="2551" spans="1:15" ht="165.6" x14ac:dyDescent="0.3">
      <c r="A2551" s="4">
        <v>2550</v>
      </c>
      <c r="B2551" s="5" t="s">
        <v>10097</v>
      </c>
      <c r="C2551" s="5" t="s">
        <v>688</v>
      </c>
      <c r="D2551" s="5" t="s">
        <v>17</v>
      </c>
      <c r="E2551" s="5" t="s">
        <v>72</v>
      </c>
      <c r="F2551" s="5" t="s">
        <v>9957</v>
      </c>
      <c r="G2551" s="5" t="s">
        <v>8458</v>
      </c>
      <c r="H2551" s="5" t="s">
        <v>9958</v>
      </c>
      <c r="I2551" s="5" t="s">
        <v>20</v>
      </c>
      <c r="J2551" s="5">
        <v>1.96</v>
      </c>
      <c r="K2551" s="5" t="s">
        <v>21</v>
      </c>
      <c r="L2551" s="5" t="s">
        <v>10098</v>
      </c>
      <c r="M2551" s="5" t="s">
        <v>9960</v>
      </c>
      <c r="N2551" s="7" t="str">
        <f>HYPERLINK("C:\Users\alexa\YandexDisk\Книги\Программирование\Python\Learn_to_Code_by_Solving_Problems_A_Python_Programming.pdf","Learn_to_Code_by_Solving_Problems_A_Python_Programming.pdf")</f>
        <v>Learn_to_Code_by_Solving_Problems_A_Python_Programming.pdf</v>
      </c>
      <c r="O2551" s="5" t="s">
        <v>10099</v>
      </c>
    </row>
    <row r="2552" spans="1:15" ht="193.2" x14ac:dyDescent="0.3">
      <c r="A2552" s="2">
        <v>2551</v>
      </c>
      <c r="B2552" s="3" t="s">
        <v>10100</v>
      </c>
      <c r="C2552" s="3" t="s">
        <v>10101</v>
      </c>
      <c r="D2552" s="3" t="s">
        <v>2624</v>
      </c>
      <c r="E2552" s="3" t="s">
        <v>1566</v>
      </c>
      <c r="F2552" s="3" t="s">
        <v>9957</v>
      </c>
      <c r="G2552" s="3" t="s">
        <v>8458</v>
      </c>
      <c r="H2552" s="3" t="s">
        <v>9958</v>
      </c>
      <c r="I2552" s="3" t="s">
        <v>20</v>
      </c>
      <c r="J2552" s="3">
        <v>5.75</v>
      </c>
      <c r="K2552" s="3" t="s">
        <v>21</v>
      </c>
      <c r="L2552" s="3" t="s">
        <v>10102</v>
      </c>
      <c r="M2552" s="3" t="s">
        <v>9960</v>
      </c>
      <c r="N2552" s="6" t="str">
        <f>HYPERLINK("C:\Users\alexa\YandexDisk\Книги\Программирование\Python\Mark_Sammerfild_Programmirovanie_na_Python_3_p.pdf","Mark_Sammerfild_Programmirovanie_na_Python_3_p.pdf")</f>
        <v>Mark_Sammerfild_Programmirovanie_na_Python_3_p.pdf</v>
      </c>
      <c r="O2552" s="3" t="s">
        <v>10103</v>
      </c>
    </row>
    <row r="2553" spans="1:15" ht="165.6" x14ac:dyDescent="0.3">
      <c r="A2553" s="4">
        <v>2552</v>
      </c>
      <c r="B2553" s="5" t="s">
        <v>10104</v>
      </c>
      <c r="C2553" s="5" t="s">
        <v>10028</v>
      </c>
      <c r="D2553" s="5" t="s">
        <v>77</v>
      </c>
      <c r="E2553" s="5" t="s">
        <v>296</v>
      </c>
      <c r="F2553" s="5" t="s">
        <v>9957</v>
      </c>
      <c r="G2553" s="5" t="s">
        <v>8458</v>
      </c>
      <c r="H2553" s="5" t="s">
        <v>9958</v>
      </c>
      <c r="I2553" s="5" t="s">
        <v>20</v>
      </c>
      <c r="J2553" s="5">
        <v>7.47</v>
      </c>
      <c r="K2553" s="5" t="s">
        <v>21</v>
      </c>
      <c r="L2553" s="5" t="s">
        <v>10105</v>
      </c>
      <c r="M2553" s="5" t="s">
        <v>9960</v>
      </c>
      <c r="N2553" s="7" t="str">
        <f>HYPERLINK("C:\Users\alexa\YandexDisk\Книги\Программирование\Python\Martin_Fitzpatrick_Create_Simple_GUI_Applications_with_Python_Qt5.pdf","Martin_Fitzpatrick_Create_Simple_GUI_Applications_with_Python_Qt5.pdf")</f>
        <v>Martin_Fitzpatrick_Create_Simple_GUI_Applications_with_Python_Qt5.pdf</v>
      </c>
      <c r="O2553" s="5" t="s">
        <v>10106</v>
      </c>
    </row>
    <row r="2554" spans="1:15" ht="138" x14ac:dyDescent="0.3">
      <c r="A2554" s="2">
        <v>2553</v>
      </c>
      <c r="B2554" s="3" t="s">
        <v>10107</v>
      </c>
      <c r="C2554" s="3" t="s">
        <v>10108</v>
      </c>
      <c r="D2554" s="3" t="s">
        <v>27</v>
      </c>
      <c r="E2554" s="3" t="s">
        <v>10109</v>
      </c>
      <c r="F2554" s="3" t="s">
        <v>9957</v>
      </c>
      <c r="G2554" s="3" t="s">
        <v>8458</v>
      </c>
      <c r="H2554" s="3" t="s">
        <v>9958</v>
      </c>
      <c r="I2554" s="3" t="s">
        <v>20</v>
      </c>
      <c r="J2554" s="3">
        <v>3.04</v>
      </c>
      <c r="K2554" s="3" t="s">
        <v>21</v>
      </c>
      <c r="L2554" s="3" t="s">
        <v>10110</v>
      </c>
      <c r="M2554" s="3" t="s">
        <v>9960</v>
      </c>
      <c r="N2554" s="6" t="str">
        <f>HYPERLINK("C:\Users\alexa\YandexDisk\Книги\Программирование\Python\mastering.python.50.specific.tips.for.writing.better.code.pdf","mastering.python.50.specific.tips.for.writing.better.code.pdf")</f>
        <v>mastering.python.50.specific.tips.for.writing.better.code.pdf</v>
      </c>
      <c r="O2554" s="3" t="s">
        <v>10111</v>
      </c>
    </row>
    <row r="2555" spans="1:15" ht="234.6" x14ac:dyDescent="0.3">
      <c r="A2555" s="4">
        <v>2554</v>
      </c>
      <c r="B2555" s="5" t="s">
        <v>10112</v>
      </c>
      <c r="C2555" s="5" t="s">
        <v>10113</v>
      </c>
      <c r="D2555" s="5" t="s">
        <v>77</v>
      </c>
      <c r="E2555" s="5" t="s">
        <v>72</v>
      </c>
      <c r="F2555" s="5" t="s">
        <v>9957</v>
      </c>
      <c r="G2555" s="5" t="s">
        <v>8458</v>
      </c>
      <c r="H2555" s="5" t="s">
        <v>9958</v>
      </c>
      <c r="I2555" s="5" t="s">
        <v>20</v>
      </c>
      <c r="J2555" s="5">
        <v>17.55</v>
      </c>
      <c r="K2555" s="5" t="s">
        <v>21</v>
      </c>
      <c r="L2555" s="5" t="s">
        <v>10114</v>
      </c>
      <c r="M2555" s="5" t="s">
        <v>9960</v>
      </c>
      <c r="N2555" s="7" t="str">
        <f>HYPERLINK("C:\Users\alexa\YandexDisk\Книги\Программирование\Python\Math Adventures with Python (en).pdf","Math Adventures with Python (en).pdf")</f>
        <v>Math Adventures with Python (en).pdf</v>
      </c>
      <c r="O2555" s="5" t="s">
        <v>10115</v>
      </c>
    </row>
    <row r="2556" spans="1:15" ht="179.4" x14ac:dyDescent="0.3">
      <c r="A2556" s="2">
        <v>2555</v>
      </c>
      <c r="B2556" s="3" t="s">
        <v>10116</v>
      </c>
      <c r="C2556" s="3" t="s">
        <v>6270</v>
      </c>
      <c r="D2556" s="3" t="s">
        <v>17</v>
      </c>
      <c r="E2556" s="3" t="s">
        <v>269</v>
      </c>
      <c r="F2556" s="3" t="s">
        <v>9957</v>
      </c>
      <c r="G2556" s="3" t="s">
        <v>8458</v>
      </c>
      <c r="H2556" s="3" t="s">
        <v>9958</v>
      </c>
      <c r="I2556" s="3" t="s">
        <v>20</v>
      </c>
      <c r="J2556" s="3">
        <v>26.27</v>
      </c>
      <c r="K2556" s="3" t="s">
        <v>21</v>
      </c>
      <c r="L2556" s="3" t="s">
        <v>10117</v>
      </c>
      <c r="M2556" s="3" t="s">
        <v>9960</v>
      </c>
      <c r="N2556" s="6" t="str">
        <f>HYPERLINK("C:\Users\alexa\YandexDisk\Книги\Программирование\Python\Math for Programmers 2021.pdf","Math for Programmers 2021.pdf")</f>
        <v>Math for Programmers 2021.pdf</v>
      </c>
      <c r="O2556" s="3" t="s">
        <v>10118</v>
      </c>
    </row>
    <row r="2557" spans="1:15" ht="151.80000000000001" x14ac:dyDescent="0.3">
      <c r="A2557" s="4">
        <v>2556</v>
      </c>
      <c r="B2557" s="5" t="s">
        <v>10119</v>
      </c>
      <c r="C2557" s="5" t="s">
        <v>10120</v>
      </c>
      <c r="D2557" s="5"/>
      <c r="E2557" s="5" t="s">
        <v>72</v>
      </c>
      <c r="F2557" s="5" t="s">
        <v>9957</v>
      </c>
      <c r="G2557" s="5" t="s">
        <v>8458</v>
      </c>
      <c r="H2557" s="5" t="s">
        <v>9958</v>
      </c>
      <c r="I2557" s="5" t="s">
        <v>280</v>
      </c>
      <c r="J2557" s="5">
        <v>11.12</v>
      </c>
      <c r="K2557" s="5" t="s">
        <v>21</v>
      </c>
      <c r="L2557" s="5" t="s">
        <v>10121</v>
      </c>
      <c r="M2557" s="5" t="s">
        <v>9960</v>
      </c>
      <c r="N2557" s="7" t="str">
        <f>HYPERLINK("C:\Users\alexa\YandexDisk\Книги\Программирование\Python\No.Starch.Press.Python.for.Kids.2nd.Edition.1718503024.epub","No.Starch.Press.Python.for.Kids.2nd.Edition.1718503024.epub")</f>
        <v>No.Starch.Press.Python.for.Kids.2nd.Edition.1718503024.epub</v>
      </c>
      <c r="O2557" s="5" t="s">
        <v>10122</v>
      </c>
    </row>
    <row r="2558" spans="1:15" ht="234.6" x14ac:dyDescent="0.3">
      <c r="A2558" s="2">
        <v>2557</v>
      </c>
      <c r="B2558" s="3" t="s">
        <v>10123</v>
      </c>
      <c r="C2558" s="3" t="s">
        <v>10124</v>
      </c>
      <c r="D2558" s="3"/>
      <c r="E2558" s="3"/>
      <c r="F2558" s="3" t="s">
        <v>9957</v>
      </c>
      <c r="G2558" s="3" t="s">
        <v>8458</v>
      </c>
      <c r="H2558" s="3" t="s">
        <v>9958</v>
      </c>
      <c r="I2558" s="3" t="s">
        <v>20</v>
      </c>
      <c r="J2558" s="3">
        <v>1.25</v>
      </c>
      <c r="K2558" s="3" t="s">
        <v>21</v>
      </c>
      <c r="L2558" s="3" t="s">
        <v>10125</v>
      </c>
      <c r="M2558" s="3" t="s">
        <v>9960</v>
      </c>
      <c r="N2558" s="6" t="str">
        <f>HYPERLINK("C:\Users\alexa\YandexDisk\Книги\Программирование\Python\NumPy_From Basic to Advance.pdf","NumPy_From Basic to Advance.pdf")</f>
        <v>NumPy_From Basic to Advance.pdf</v>
      </c>
      <c r="O2558" s="3" t="s">
        <v>10126</v>
      </c>
    </row>
    <row r="2559" spans="1:15" ht="165.6" x14ac:dyDescent="0.3">
      <c r="A2559" s="4">
        <v>2558</v>
      </c>
      <c r="B2559" s="5" t="s">
        <v>10127</v>
      </c>
      <c r="C2559" s="5" t="s">
        <v>10128</v>
      </c>
      <c r="D2559" s="5" t="s">
        <v>17</v>
      </c>
      <c r="E2559" s="5" t="s">
        <v>187</v>
      </c>
      <c r="F2559" s="5" t="s">
        <v>9957</v>
      </c>
      <c r="G2559" s="5" t="s">
        <v>8458</v>
      </c>
      <c r="H2559" s="5" t="s">
        <v>9958</v>
      </c>
      <c r="I2559" s="5" t="s">
        <v>20</v>
      </c>
      <c r="J2559" s="5">
        <v>7.63</v>
      </c>
      <c r="K2559" s="5" t="s">
        <v>21</v>
      </c>
      <c r="L2559" s="5" t="s">
        <v>10129</v>
      </c>
      <c r="M2559" s="5" t="s">
        <v>9960</v>
      </c>
      <c r="N2559" s="7" t="str">
        <f>HYPERLINK("C:\Users\alexa\YandexDisk\Книги\Программирование\Python\O’Reilly_Билл_Любанович_Простой_Python 2021.pdf","O’Reilly_Билл_Любанович_Простой_Python 2021.pdf")</f>
        <v>O’Reilly_Билл_Любанович_Простой_Python 2021.pdf</v>
      </c>
      <c r="O2559" s="5" t="s">
        <v>10130</v>
      </c>
    </row>
    <row r="2560" spans="1:15" ht="165.6" x14ac:dyDescent="0.3">
      <c r="A2560" s="2">
        <v>2559</v>
      </c>
      <c r="B2560" s="3" t="s">
        <v>10131</v>
      </c>
      <c r="C2560" s="3" t="s">
        <v>10132</v>
      </c>
      <c r="D2560" s="3" t="s">
        <v>71</v>
      </c>
      <c r="E2560" s="3" t="s">
        <v>536</v>
      </c>
      <c r="F2560" s="3" t="s">
        <v>9957</v>
      </c>
      <c r="G2560" s="3" t="s">
        <v>8458</v>
      </c>
      <c r="H2560" s="3" t="s">
        <v>9958</v>
      </c>
      <c r="I2560" s="3" t="s">
        <v>20</v>
      </c>
      <c r="J2560" s="3">
        <v>2.41</v>
      </c>
      <c r="K2560" s="3" t="s">
        <v>21</v>
      </c>
      <c r="L2560" s="3" t="s">
        <v>10133</v>
      </c>
      <c r="M2560" s="3" t="s">
        <v>9960</v>
      </c>
      <c r="N2560" s="6" t="str">
        <f>HYPERLINK("C:\Users\alexa\YandexDisk\Книги\Программирование\Python\Pandas Workout V6 2022.pdf","Pandas Workout V6 2022.pdf")</f>
        <v>Pandas Workout V6 2022.pdf</v>
      </c>
      <c r="O2560" s="3" t="s">
        <v>10134</v>
      </c>
    </row>
    <row r="2561" spans="1:15" ht="179.4" x14ac:dyDescent="0.3">
      <c r="A2561" s="4">
        <v>2560</v>
      </c>
      <c r="B2561" s="5" t="s">
        <v>10031</v>
      </c>
      <c r="C2561" s="5" t="s">
        <v>10032</v>
      </c>
      <c r="D2561" s="5" t="s">
        <v>59</v>
      </c>
      <c r="E2561" s="5" t="s">
        <v>536</v>
      </c>
      <c r="F2561" s="5" t="s">
        <v>9957</v>
      </c>
      <c r="G2561" s="5" t="s">
        <v>8458</v>
      </c>
      <c r="H2561" s="5" t="s">
        <v>9958</v>
      </c>
      <c r="I2561" s="5" t="s">
        <v>20</v>
      </c>
      <c r="J2561" s="5">
        <v>4.09</v>
      </c>
      <c r="K2561" s="5" t="s">
        <v>21</v>
      </c>
      <c r="L2561" s="5" t="s">
        <v>10135</v>
      </c>
      <c r="M2561" s="5" t="s">
        <v>9960</v>
      </c>
      <c r="N2561" s="7" t="str">
        <f>HYPERLINK("C:\Users\alexa\YandexDisk\Книги\Программирование\Python\Practices_of_the_Python_Pro_Manning_Publications_2020.pdf","Practices_of_the_Python_Pro_Manning_Publications_2020.pdf")</f>
        <v>Practices_of_the_Python_Pro_Manning_Publications_2020.pdf</v>
      </c>
      <c r="O2561" s="5" t="s">
        <v>10136</v>
      </c>
    </row>
    <row r="2562" spans="1:15" ht="193.2" x14ac:dyDescent="0.3">
      <c r="A2562" s="2">
        <v>2561</v>
      </c>
      <c r="B2562" s="3" t="s">
        <v>10137</v>
      </c>
      <c r="C2562" s="3" t="s">
        <v>10138</v>
      </c>
      <c r="D2562" s="3" t="s">
        <v>71</v>
      </c>
      <c r="E2562" s="3" t="s">
        <v>227</v>
      </c>
      <c r="F2562" s="3" t="s">
        <v>9957</v>
      </c>
      <c r="G2562" s="3" t="s">
        <v>8458</v>
      </c>
      <c r="H2562" s="3" t="s">
        <v>9958</v>
      </c>
      <c r="I2562" s="3" t="s">
        <v>20</v>
      </c>
      <c r="J2562" s="3">
        <v>3.33</v>
      </c>
      <c r="K2562" s="3" t="s">
        <v>21</v>
      </c>
      <c r="L2562" s="3" t="s">
        <v>10139</v>
      </c>
      <c r="M2562" s="3" t="s">
        <v>9960</v>
      </c>
      <c r="N2562" s="6" t="str">
        <f>HYPERLINK("C:\Users\alexa\YandexDisk\Книги\Программирование\Python\Pragmatic Python Programming Learning.pdf","Pragmatic Python Programming Learning.pdf")</f>
        <v>Pragmatic Python Programming Learning.pdf</v>
      </c>
      <c r="O2562" s="3" t="s">
        <v>10140</v>
      </c>
    </row>
    <row r="2563" spans="1:15" ht="179.4" x14ac:dyDescent="0.3">
      <c r="A2563" s="4">
        <v>2562</v>
      </c>
      <c r="B2563" s="5" t="s">
        <v>10141</v>
      </c>
      <c r="C2563" s="5" t="s">
        <v>3561</v>
      </c>
      <c r="D2563" s="5" t="s">
        <v>65</v>
      </c>
      <c r="E2563" s="5" t="s">
        <v>402</v>
      </c>
      <c r="F2563" s="5" t="s">
        <v>9957</v>
      </c>
      <c r="G2563" s="5" t="s">
        <v>8458</v>
      </c>
      <c r="H2563" s="5" t="s">
        <v>9958</v>
      </c>
      <c r="I2563" s="5" t="s">
        <v>20</v>
      </c>
      <c r="J2563" s="5">
        <v>28.08</v>
      </c>
      <c r="K2563" s="5" t="s">
        <v>21</v>
      </c>
      <c r="L2563" s="5" t="s">
        <v>10142</v>
      </c>
      <c r="M2563" s="5" t="s">
        <v>9960</v>
      </c>
      <c r="N2563" s="7" t="str">
        <f>HYPERLINK("C:\Users\alexa\YandexDisk\Книги\Программирование\Python\Prohorenok.pdf","Prohorenok.pdf")</f>
        <v>Prohorenok.pdf</v>
      </c>
      <c r="O2563" s="5" t="s">
        <v>10143</v>
      </c>
    </row>
    <row r="2564" spans="1:15" ht="207" x14ac:dyDescent="0.3">
      <c r="A2564" s="2">
        <v>2563</v>
      </c>
      <c r="B2564" s="3" t="s">
        <v>10144</v>
      </c>
      <c r="C2564" s="3" t="s">
        <v>10032</v>
      </c>
      <c r="D2564" s="3"/>
      <c r="E2564" s="3" t="s">
        <v>269</v>
      </c>
      <c r="F2564" s="3" t="s">
        <v>9957</v>
      </c>
      <c r="G2564" s="3" t="s">
        <v>8458</v>
      </c>
      <c r="H2564" s="3" t="s">
        <v>9958</v>
      </c>
      <c r="I2564" s="3" t="s">
        <v>20</v>
      </c>
      <c r="J2564" s="3">
        <v>13.95</v>
      </c>
      <c r="K2564" s="3" t="s">
        <v>21</v>
      </c>
      <c r="L2564" s="3" t="s">
        <v>10145</v>
      </c>
      <c r="M2564" s="3" t="s">
        <v>9960</v>
      </c>
      <c r="N2564" s="6" t="str">
        <f>HYPERLINK("C:\Users\alexa\YandexDisk\Книги\Программирование\Python\Publishing Python Packages Final.pdf","Publishing Python Packages Final.pdf")</f>
        <v>Publishing Python Packages Final.pdf</v>
      </c>
      <c r="O2564" s="3" t="s">
        <v>10146</v>
      </c>
    </row>
    <row r="2565" spans="1:15" ht="193.2" x14ac:dyDescent="0.3">
      <c r="A2565" s="4">
        <v>2564</v>
      </c>
      <c r="B2565" s="5" t="s">
        <v>10147</v>
      </c>
      <c r="C2565" s="5" t="s">
        <v>10148</v>
      </c>
      <c r="D2565" s="5" t="s">
        <v>27</v>
      </c>
      <c r="E2565" s="5" t="s">
        <v>102</v>
      </c>
      <c r="F2565" s="5" t="s">
        <v>9957</v>
      </c>
      <c r="G2565" s="5" t="s">
        <v>8458</v>
      </c>
      <c r="H2565" s="5" t="s">
        <v>9958</v>
      </c>
      <c r="I2565" s="5" t="s">
        <v>20</v>
      </c>
      <c r="J2565" s="5">
        <v>6.13</v>
      </c>
      <c r="K2565" s="5" t="s">
        <v>21</v>
      </c>
      <c r="L2565" s="5" t="s">
        <v>10149</v>
      </c>
      <c r="M2565" s="5" t="s">
        <v>9960</v>
      </c>
      <c r="N2565" s="7" t="str">
        <f>HYPERLINK("C:\Users\alexa\YandexDisk\Книги\Программирование\Python\Pyomo. Моделирование оптимизации на Python.pdf","Pyomo. Моделирование оптимизации на Python.pdf")</f>
        <v>Pyomo. Моделирование оптимизации на Python.pdf</v>
      </c>
      <c r="O2565" s="5" t="s">
        <v>10150</v>
      </c>
    </row>
    <row r="2566" spans="1:15" ht="138" x14ac:dyDescent="0.3">
      <c r="A2566" s="2">
        <v>2565</v>
      </c>
      <c r="B2566" s="3" t="s">
        <v>10151</v>
      </c>
      <c r="C2566" s="3" t="s">
        <v>10152</v>
      </c>
      <c r="D2566" s="3"/>
      <c r="E2566" s="3"/>
      <c r="F2566" s="3" t="s">
        <v>9957</v>
      </c>
      <c r="G2566" s="3" t="s">
        <v>8458</v>
      </c>
      <c r="H2566" s="3" t="s">
        <v>9958</v>
      </c>
      <c r="I2566" s="3" t="s">
        <v>20</v>
      </c>
      <c r="J2566" s="3">
        <v>17.239999999999998</v>
      </c>
      <c r="K2566" s="3" t="s">
        <v>21</v>
      </c>
      <c r="L2566" s="3" t="s">
        <v>10153</v>
      </c>
      <c r="M2566" s="3" t="s">
        <v>9960</v>
      </c>
      <c r="N2566" s="6" t="str">
        <f>HYPERLINK("C:\Users\alexa\YandexDisk\Книги\Программирование\Python\Python 3  the comprehensive guide.pdf","Python 3  the comprehensive guide.pdf")</f>
        <v>Python 3  the comprehensive guide.pdf</v>
      </c>
      <c r="O2566" s="3" t="s">
        <v>10154</v>
      </c>
    </row>
    <row r="2567" spans="1:15" ht="179.4" x14ac:dyDescent="0.3">
      <c r="A2567" s="4">
        <v>2566</v>
      </c>
      <c r="B2567" s="5" t="s">
        <v>10155</v>
      </c>
      <c r="C2567" s="5" t="s">
        <v>10156</v>
      </c>
      <c r="D2567" s="5" t="s">
        <v>59</v>
      </c>
      <c r="E2567" s="5" t="s">
        <v>10157</v>
      </c>
      <c r="F2567" s="5" t="s">
        <v>9957</v>
      </c>
      <c r="G2567" s="5" t="s">
        <v>8458</v>
      </c>
      <c r="H2567" s="5" t="s">
        <v>9958</v>
      </c>
      <c r="I2567" s="5" t="s">
        <v>20</v>
      </c>
      <c r="J2567" s="5">
        <v>4.55</v>
      </c>
      <c r="K2567" s="5" t="s">
        <v>21</v>
      </c>
      <c r="L2567" s="5" t="s">
        <v>10158</v>
      </c>
      <c r="M2567" s="5" t="s">
        <v>9960</v>
      </c>
      <c r="N2567" s="7" t="str">
        <f>HYPERLINK("C:\Users\alexa\YandexDisk\Книги\Программирование\Python\Python 3 Without Pri.pdf","Python 3 Without Pri.pdf")</f>
        <v>Python 3 Without Pri.pdf</v>
      </c>
      <c r="O2567" s="5" t="s">
        <v>10159</v>
      </c>
    </row>
    <row r="2568" spans="1:15" ht="124.2" x14ac:dyDescent="0.3">
      <c r="A2568" s="2">
        <v>2567</v>
      </c>
      <c r="B2568" s="3" t="s">
        <v>10160</v>
      </c>
      <c r="C2568" s="3"/>
      <c r="D2568" s="3"/>
      <c r="E2568" s="3"/>
      <c r="F2568" s="3" t="s">
        <v>9957</v>
      </c>
      <c r="G2568" s="3" t="s">
        <v>8458</v>
      </c>
      <c r="H2568" s="3" t="s">
        <v>9958</v>
      </c>
      <c r="I2568" s="3" t="s">
        <v>519</v>
      </c>
      <c r="J2568" s="3">
        <v>58.84</v>
      </c>
      <c r="K2568" s="3" t="s">
        <v>21</v>
      </c>
      <c r="L2568" s="3" t="s">
        <v>10161</v>
      </c>
      <c r="M2568" s="3" t="s">
        <v>9960</v>
      </c>
      <c r="N2568" s="6" t="str">
        <f>HYPERLINK("C:\Users\alexa\YandexDisk\Книги\Программирование\Python\Python 3 и PyQt 6.zip","Python 3 и PyQt 6.zip")</f>
        <v>Python 3 и PyQt 6.zip</v>
      </c>
      <c r="O2568" s="3" t="s">
        <v>10162</v>
      </c>
    </row>
    <row r="2569" spans="1:15" ht="179.4" x14ac:dyDescent="0.3">
      <c r="A2569" s="4">
        <v>2568</v>
      </c>
      <c r="B2569" s="5" t="s">
        <v>10163</v>
      </c>
      <c r="C2569" s="5" t="s">
        <v>10164</v>
      </c>
      <c r="D2569" s="5" t="s">
        <v>27</v>
      </c>
      <c r="E2569" s="5" t="s">
        <v>10165</v>
      </c>
      <c r="F2569" s="5" t="s">
        <v>9957</v>
      </c>
      <c r="G2569" s="5" t="s">
        <v>8458</v>
      </c>
      <c r="H2569" s="5" t="s">
        <v>9958</v>
      </c>
      <c r="I2569" s="5" t="s">
        <v>20</v>
      </c>
      <c r="J2569" s="5">
        <v>36.92</v>
      </c>
      <c r="K2569" s="5" t="s">
        <v>21</v>
      </c>
      <c r="L2569" s="5" t="s">
        <v>10166</v>
      </c>
      <c r="M2569" s="5" t="s">
        <v>9960</v>
      </c>
      <c r="N2569" s="7" t="str">
        <f>HYPERLINK("C:\Users\alexa\YandexDisk\Книги\Программирование\Python\Python and MySQL for Beginner.pdf","Python and MySQL for Beginner.pdf")</f>
        <v>Python and MySQL for Beginner.pdf</v>
      </c>
      <c r="O2569" s="5" t="s">
        <v>10167</v>
      </c>
    </row>
    <row r="2570" spans="1:15" ht="248.4" x14ac:dyDescent="0.3">
      <c r="A2570" s="2">
        <v>2569</v>
      </c>
      <c r="B2570" s="3" t="s">
        <v>10001</v>
      </c>
      <c r="C2570" s="3" t="s">
        <v>10168</v>
      </c>
      <c r="D2570" s="3"/>
      <c r="E2570" s="3" t="s">
        <v>557</v>
      </c>
      <c r="F2570" s="3" t="s">
        <v>9957</v>
      </c>
      <c r="G2570" s="3" t="s">
        <v>8458</v>
      </c>
      <c r="H2570" s="3" t="s">
        <v>9958</v>
      </c>
      <c r="I2570" s="3" t="s">
        <v>20</v>
      </c>
      <c r="J2570" s="3">
        <v>4.62</v>
      </c>
      <c r="K2570" s="3" t="s">
        <v>21</v>
      </c>
      <c r="L2570" s="3" t="s">
        <v>10169</v>
      </c>
      <c r="M2570" s="3" t="s">
        <v>9960</v>
      </c>
      <c r="N2570" s="6" t="str">
        <f>HYPERLINK("C:\Users\alexa\YandexDisk\Книги\Программирование\Python\Python Concurrency with asyncio Matthew Fowler.pdf","Python Concurrency with asyncio Matthew Fowler.pdf")</f>
        <v>Python Concurrency with asyncio Matthew Fowler.pdf</v>
      </c>
      <c r="O2570" s="3" t="s">
        <v>10170</v>
      </c>
    </row>
    <row r="2571" spans="1:15" ht="151.80000000000001" x14ac:dyDescent="0.3">
      <c r="A2571" s="4">
        <v>2570</v>
      </c>
      <c r="B2571" s="5" t="s">
        <v>10171</v>
      </c>
      <c r="C2571" s="5" t="s">
        <v>10172</v>
      </c>
      <c r="D2571" s="5"/>
      <c r="E2571" s="5"/>
      <c r="F2571" s="5" t="s">
        <v>9957</v>
      </c>
      <c r="G2571" s="5" t="s">
        <v>8458</v>
      </c>
      <c r="H2571" s="5" t="s">
        <v>9958</v>
      </c>
      <c r="I2571" s="5" t="s">
        <v>20</v>
      </c>
      <c r="J2571" s="5">
        <v>14.37</v>
      </c>
      <c r="K2571" s="5" t="s">
        <v>21</v>
      </c>
      <c r="L2571" s="5" t="s">
        <v>10173</v>
      </c>
      <c r="M2571" s="5" t="s">
        <v>9960</v>
      </c>
      <c r="N2571" s="7" t="str">
        <f>HYPERLINK("C:\Users\alexa\YandexDisk\Книги\Программирование\Python\Python for Beginners.pdf","Python for Beginners.pdf")</f>
        <v>Python for Beginners.pdf</v>
      </c>
      <c r="O2571" s="5" t="s">
        <v>10174</v>
      </c>
    </row>
    <row r="2572" spans="1:15" ht="179.4" x14ac:dyDescent="0.3">
      <c r="A2572" s="2">
        <v>2571</v>
      </c>
      <c r="B2572" s="3" t="s">
        <v>10175</v>
      </c>
      <c r="C2572" s="3" t="s">
        <v>10176</v>
      </c>
      <c r="D2572" s="3"/>
      <c r="E2572" s="3"/>
      <c r="F2572" s="3" t="s">
        <v>9957</v>
      </c>
      <c r="G2572" s="3" t="s">
        <v>8458</v>
      </c>
      <c r="H2572" s="3" t="s">
        <v>9958</v>
      </c>
      <c r="I2572" s="3" t="s">
        <v>20</v>
      </c>
      <c r="J2572" s="3">
        <v>36.979999999999997</v>
      </c>
      <c r="K2572" s="3" t="s">
        <v>21</v>
      </c>
      <c r="L2572" s="3" t="s">
        <v>10177</v>
      </c>
      <c r="M2572" s="3" t="s">
        <v>9960</v>
      </c>
      <c r="N2572" s="6" t="str">
        <f>HYPERLINK("C:\Users\alexa\YandexDisk\Книги\Программирование\Python\Python For Excel Users.pdf","Python For Excel Users.pdf")</f>
        <v>Python For Excel Users.pdf</v>
      </c>
      <c r="O2572" s="3" t="s">
        <v>10178</v>
      </c>
    </row>
    <row r="2573" spans="1:15" ht="207" x14ac:dyDescent="0.3">
      <c r="A2573" s="4">
        <v>2572</v>
      </c>
      <c r="B2573" s="5" t="s">
        <v>10179</v>
      </c>
      <c r="C2573" s="5" t="s">
        <v>10180</v>
      </c>
      <c r="D2573" s="5" t="s">
        <v>71</v>
      </c>
      <c r="E2573" s="5" t="s">
        <v>536</v>
      </c>
      <c r="F2573" s="5" t="s">
        <v>9957</v>
      </c>
      <c r="G2573" s="5" t="s">
        <v>8458</v>
      </c>
      <c r="H2573" s="5" t="s">
        <v>9958</v>
      </c>
      <c r="I2573" s="5" t="s">
        <v>20</v>
      </c>
      <c r="J2573" s="5">
        <v>5.35</v>
      </c>
      <c r="K2573" s="5" t="s">
        <v>21</v>
      </c>
      <c r="L2573" s="5" t="s">
        <v>10181</v>
      </c>
      <c r="M2573" s="5" t="s">
        <v>9960</v>
      </c>
      <c r="N2573" s="7" t="str">
        <f>HYPERLINK("C:\Users\alexa\YandexDisk\Книги\Программирование\Python\Python How To MEAP 2022.pdf","Python How To MEAP 2022.pdf")</f>
        <v>Python How To MEAP 2022.pdf</v>
      </c>
      <c r="O2573" s="5" t="s">
        <v>10182</v>
      </c>
    </row>
    <row r="2574" spans="1:15" ht="165.6" x14ac:dyDescent="0.3">
      <c r="A2574" s="2">
        <v>2573</v>
      </c>
      <c r="B2574" s="3" t="s">
        <v>10155</v>
      </c>
      <c r="C2574" s="3" t="s">
        <v>10156</v>
      </c>
      <c r="D2574" s="3" t="s">
        <v>59</v>
      </c>
      <c r="E2574" s="3" t="s">
        <v>10157</v>
      </c>
      <c r="F2574" s="3" t="s">
        <v>9957</v>
      </c>
      <c r="G2574" s="3" t="s">
        <v>8458</v>
      </c>
      <c r="H2574" s="3" t="s">
        <v>9958</v>
      </c>
      <c r="I2574" s="3" t="s">
        <v>20</v>
      </c>
      <c r="J2574" s="3">
        <v>4.55</v>
      </c>
      <c r="K2574" s="3" t="s">
        <v>21</v>
      </c>
      <c r="L2574" s="3" t="s">
        <v>10183</v>
      </c>
      <c r="M2574" s="3" t="s">
        <v>9960</v>
      </c>
      <c r="N2574" s="6" t="str">
        <f>HYPERLINK("C:\Users\alexa\YandexDisk\Книги\Программирование\Python\Python prog a neural network 7 days.pdf","Python prog a neural network 7 days.pdf")</f>
        <v>Python prog a neural network 7 days.pdf</v>
      </c>
      <c r="O2574" s="3" t="s">
        <v>10184</v>
      </c>
    </row>
    <row r="2575" spans="1:15" ht="151.80000000000001" x14ac:dyDescent="0.3">
      <c r="A2575" s="4">
        <v>2574</v>
      </c>
      <c r="B2575" s="5" t="s">
        <v>10185</v>
      </c>
      <c r="C2575" s="5" t="s">
        <v>10186</v>
      </c>
      <c r="D2575" s="5" t="s">
        <v>59</v>
      </c>
      <c r="E2575" s="5" t="s">
        <v>227</v>
      </c>
      <c r="F2575" s="5" t="s">
        <v>9957</v>
      </c>
      <c r="G2575" s="5" t="s">
        <v>8458</v>
      </c>
      <c r="H2575" s="5" t="s">
        <v>9958</v>
      </c>
      <c r="I2575" s="5" t="s">
        <v>20</v>
      </c>
      <c r="J2575" s="5">
        <v>3.85</v>
      </c>
      <c r="K2575" s="5" t="s">
        <v>21</v>
      </c>
      <c r="L2575" s="5" t="s">
        <v>10187</v>
      </c>
      <c r="M2575" s="5" t="s">
        <v>9960</v>
      </c>
      <c r="N2575" s="7" t="str">
        <f>HYPERLINK("C:\Users\alexa\YandexDisk\Книги\Программирование\Python\Python Projects for Beginners 2020.pdf","Python Projects for Beginners 2020.pdf")</f>
        <v>Python Projects for Beginners 2020.pdf</v>
      </c>
      <c r="O2575" s="5" t="s">
        <v>10188</v>
      </c>
    </row>
    <row r="2576" spans="1:15" ht="165.6" x14ac:dyDescent="0.3">
      <c r="A2576" s="2">
        <v>2575</v>
      </c>
      <c r="B2576" s="3" t="s">
        <v>10189</v>
      </c>
      <c r="C2576" s="3" t="s">
        <v>10190</v>
      </c>
      <c r="D2576" s="3"/>
      <c r="E2576" s="3"/>
      <c r="F2576" s="3" t="s">
        <v>9957</v>
      </c>
      <c r="G2576" s="3" t="s">
        <v>8458</v>
      </c>
      <c r="H2576" s="3" t="s">
        <v>9958</v>
      </c>
      <c r="I2576" s="3" t="s">
        <v>20</v>
      </c>
      <c r="J2576" s="3">
        <v>8.84</v>
      </c>
      <c r="K2576" s="3" t="s">
        <v>21</v>
      </c>
      <c r="L2576" s="3" t="s">
        <v>10191</v>
      </c>
      <c r="M2576" s="3" t="s">
        <v>9960</v>
      </c>
      <c r="N2576" s="6" t="str">
        <f>HYPERLINK("C:\Users\alexa\YandexDisk\Книги\Программирование\Python\Python Testing with pytest Simple.pdf","Python Testing with pytest Simple.pdf")</f>
        <v>Python Testing with pytest Simple.pdf</v>
      </c>
      <c r="O2576" s="3" t="s">
        <v>10192</v>
      </c>
    </row>
    <row r="2577" spans="1:15" ht="179.4" x14ac:dyDescent="0.3">
      <c r="A2577" s="4">
        <v>2576</v>
      </c>
      <c r="B2577" s="5" t="s">
        <v>10193</v>
      </c>
      <c r="C2577" s="5" t="s">
        <v>10194</v>
      </c>
      <c r="D2577" s="5" t="s">
        <v>71</v>
      </c>
      <c r="E2577" s="5" t="s">
        <v>205</v>
      </c>
      <c r="F2577" s="5" t="s">
        <v>9957</v>
      </c>
      <c r="G2577" s="5" t="s">
        <v>8458</v>
      </c>
      <c r="H2577" s="5" t="s">
        <v>9958</v>
      </c>
      <c r="I2577" s="5" t="s">
        <v>20</v>
      </c>
      <c r="J2577" s="5">
        <v>5.16</v>
      </c>
      <c r="K2577" s="5" t="s">
        <v>21</v>
      </c>
      <c r="L2577" s="5" t="s">
        <v>10195</v>
      </c>
      <c r="M2577" s="5" t="s">
        <v>9960</v>
      </c>
      <c r="N2577" s="7" t="str">
        <f>HYPERLINK("C:\Users\alexa\YandexDisk\Книги\Программирование\Python\Python Web Development with Sanic 2022.pdf","Python Web Development with Sanic 2022.pdf")</f>
        <v>Python Web Development with Sanic 2022.pdf</v>
      </c>
      <c r="O2577" s="5" t="s">
        <v>10196</v>
      </c>
    </row>
    <row r="2578" spans="1:15" ht="179.4" x14ac:dyDescent="0.3">
      <c r="A2578" s="2">
        <v>2577</v>
      </c>
      <c r="B2578" s="3" t="s">
        <v>10197</v>
      </c>
      <c r="C2578" s="3" t="s">
        <v>10198</v>
      </c>
      <c r="D2578" s="3" t="s">
        <v>27</v>
      </c>
      <c r="E2578" s="3" t="s">
        <v>18</v>
      </c>
      <c r="F2578" s="3" t="s">
        <v>9957</v>
      </c>
      <c r="G2578" s="3" t="s">
        <v>8458</v>
      </c>
      <c r="H2578" s="3" t="s">
        <v>9958</v>
      </c>
      <c r="I2578" s="3" t="s">
        <v>20</v>
      </c>
      <c r="J2578" s="3">
        <v>12.52</v>
      </c>
      <c r="K2578" s="3" t="s">
        <v>21</v>
      </c>
      <c r="L2578" s="3" t="s">
        <v>10199</v>
      </c>
      <c r="M2578" s="3" t="s">
        <v>9960</v>
      </c>
      <c r="N2578" s="6" t="str">
        <f>HYPERLINK("C:\Users\alexa\YandexDisk\Книги\Программирование\Python\Python без проблем.pdf","Python без проблем.pdf")</f>
        <v>Python без проблем.pdf</v>
      </c>
      <c r="O2578" s="3" t="s">
        <v>10200</v>
      </c>
    </row>
    <row r="2579" spans="1:15" ht="207" x14ac:dyDescent="0.3">
      <c r="A2579" s="4">
        <v>2578</v>
      </c>
      <c r="B2579" s="5" t="s">
        <v>10043</v>
      </c>
      <c r="C2579" s="5" t="s">
        <v>10044</v>
      </c>
      <c r="D2579" s="5" t="s">
        <v>59</v>
      </c>
      <c r="E2579" s="5" t="s">
        <v>18</v>
      </c>
      <c r="F2579" s="5" t="s">
        <v>9957</v>
      </c>
      <c r="G2579" s="5" t="s">
        <v>8458</v>
      </c>
      <c r="H2579" s="5" t="s">
        <v>9958</v>
      </c>
      <c r="I2579" s="5" t="s">
        <v>20</v>
      </c>
      <c r="J2579" s="5">
        <v>11.7</v>
      </c>
      <c r="K2579" s="5" t="s">
        <v>21</v>
      </c>
      <c r="L2579" s="5" t="s">
        <v>10201</v>
      </c>
      <c r="M2579" s="5" t="s">
        <v>9960</v>
      </c>
      <c r="N2579" s="7" t="str">
        <f>HYPERLINK("C:\Users\alexa\YandexDisk\Книги\Программирование\Python\Python Большие данные Искусственный интеллект 2020.pdf","Python Большие данные Искусственный интеллект 2020.pdf")</f>
        <v>Python Большие данные Искусственный интеллект 2020.pdf</v>
      </c>
      <c r="O2579" s="5" t="s">
        <v>10202</v>
      </c>
    </row>
    <row r="2580" spans="1:15" ht="165.6" x14ac:dyDescent="0.3">
      <c r="A2580" s="2">
        <v>2579</v>
      </c>
      <c r="B2580" s="3" t="s">
        <v>10203</v>
      </c>
      <c r="C2580" s="3" t="s">
        <v>10204</v>
      </c>
      <c r="D2580" s="3" t="s">
        <v>17</v>
      </c>
      <c r="E2580" s="3" t="s">
        <v>18</v>
      </c>
      <c r="F2580" s="3" t="s">
        <v>9957</v>
      </c>
      <c r="G2580" s="3" t="s">
        <v>8458</v>
      </c>
      <c r="H2580" s="3" t="s">
        <v>9958</v>
      </c>
      <c r="I2580" s="3" t="s">
        <v>20</v>
      </c>
      <c r="J2580" s="3">
        <v>3.19</v>
      </c>
      <c r="K2580" s="3" t="s">
        <v>21</v>
      </c>
      <c r="L2580" s="3" t="s">
        <v>10205</v>
      </c>
      <c r="M2580" s="3" t="s">
        <v>9960</v>
      </c>
      <c r="N2580" s="6" t="str">
        <f>HYPERLINK("C:\Users\alexa\YandexDisk\Книги\Программирование\Python\Python быстрый старт.pdf","Python быстрый старт.pdf")</f>
        <v>Python быстрый старт.pdf</v>
      </c>
      <c r="O2580" s="3" t="s">
        <v>10206</v>
      </c>
    </row>
    <row r="2581" spans="1:15" ht="151.80000000000001" x14ac:dyDescent="0.3">
      <c r="A2581" s="4">
        <v>2580</v>
      </c>
      <c r="B2581" s="5" t="s">
        <v>10207</v>
      </c>
      <c r="C2581" s="5" t="s">
        <v>1126</v>
      </c>
      <c r="D2581" s="5" t="s">
        <v>59</v>
      </c>
      <c r="E2581" s="5" t="s">
        <v>1127</v>
      </c>
      <c r="F2581" s="5" t="s">
        <v>9957</v>
      </c>
      <c r="G2581" s="5" t="s">
        <v>8458</v>
      </c>
      <c r="H2581" s="5" t="s">
        <v>9958</v>
      </c>
      <c r="I2581" s="5" t="s">
        <v>20</v>
      </c>
      <c r="J2581" s="5">
        <v>7.78</v>
      </c>
      <c r="K2581" s="5" t="s">
        <v>21</v>
      </c>
      <c r="L2581" s="5" t="s">
        <v>10208</v>
      </c>
      <c r="M2581" s="5" t="s">
        <v>9960</v>
      </c>
      <c r="N2581" s="7" t="str">
        <f>HYPERLINK("C:\Users\alexa\YandexDisk\Книги\Программирование\Python\Python Визуализаця данных.pdf","Python Визуализаця данных.pdf")</f>
        <v>Python Визуализаця данных.pdf</v>
      </c>
      <c r="O2581" s="5" t="s">
        <v>10209</v>
      </c>
    </row>
    <row r="2582" spans="1:15" ht="165.6" x14ac:dyDescent="0.3">
      <c r="A2582" s="2">
        <v>2581</v>
      </c>
      <c r="B2582" s="3" t="s">
        <v>10210</v>
      </c>
      <c r="C2582" s="3"/>
      <c r="D2582" s="3"/>
      <c r="E2582" s="3" t="s">
        <v>187</v>
      </c>
      <c r="F2582" s="3" t="s">
        <v>9957</v>
      </c>
      <c r="G2582" s="3" t="s">
        <v>8458</v>
      </c>
      <c r="H2582" s="3" t="s">
        <v>9958</v>
      </c>
      <c r="I2582" s="3" t="s">
        <v>20</v>
      </c>
      <c r="J2582" s="3">
        <v>12.9</v>
      </c>
      <c r="K2582" s="3" t="s">
        <v>21</v>
      </c>
      <c r="L2582" s="3" t="s">
        <v>10211</v>
      </c>
      <c r="M2582" s="3" t="s">
        <v>9960</v>
      </c>
      <c r="N2582" s="6" t="str">
        <f>HYPERLINK("C:\Users\alexa\YandexDisk\Книги\Программирование\Python\Python для Excel.pdf","Python для Excel.pdf")</f>
        <v>Python для Excel.pdf</v>
      </c>
      <c r="O2582" s="3" t="s">
        <v>10212</v>
      </c>
    </row>
    <row r="2583" spans="1:15" ht="220.8" x14ac:dyDescent="0.3">
      <c r="A2583" s="4">
        <v>2582</v>
      </c>
      <c r="B2583" s="5" t="s">
        <v>10213</v>
      </c>
      <c r="C2583" s="5"/>
      <c r="D2583" s="5"/>
      <c r="E2583" s="5" t="s">
        <v>102</v>
      </c>
      <c r="F2583" s="5" t="s">
        <v>9957</v>
      </c>
      <c r="G2583" s="5" t="s">
        <v>8458</v>
      </c>
      <c r="H2583" s="5" t="s">
        <v>9958</v>
      </c>
      <c r="I2583" s="5" t="s">
        <v>20</v>
      </c>
      <c r="J2583" s="5">
        <v>5.77</v>
      </c>
      <c r="K2583" s="5" t="s">
        <v>21</v>
      </c>
      <c r="L2583" s="5" t="s">
        <v>10214</v>
      </c>
      <c r="M2583" s="5" t="s">
        <v>9960</v>
      </c>
      <c r="N2583" s="7" t="str">
        <f>HYPERLINK("C:\Users\alexa\YandexDisk\Книги\Программирование\Python\Python для детей.pdf","Python для детей.pdf")</f>
        <v>Python для детей.pdf</v>
      </c>
      <c r="O2583" s="5" t="s">
        <v>10215</v>
      </c>
    </row>
    <row r="2584" spans="1:15" ht="179.4" x14ac:dyDescent="0.3">
      <c r="A2584" s="2">
        <v>2583</v>
      </c>
      <c r="B2584" s="3" t="s">
        <v>10216</v>
      </c>
      <c r="C2584" s="3" t="s">
        <v>10217</v>
      </c>
      <c r="D2584" s="3" t="s">
        <v>600</v>
      </c>
      <c r="E2584" s="3" t="s">
        <v>402</v>
      </c>
      <c r="F2584" s="3" t="s">
        <v>9957</v>
      </c>
      <c r="G2584" s="3" t="s">
        <v>8458</v>
      </c>
      <c r="H2584" s="3" t="s">
        <v>9958</v>
      </c>
      <c r="I2584" s="3" t="s">
        <v>20</v>
      </c>
      <c r="J2584" s="3">
        <v>76.319999999999993</v>
      </c>
      <c r="K2584" s="3" t="s">
        <v>21</v>
      </c>
      <c r="L2584" s="3" t="s">
        <v>10218</v>
      </c>
      <c r="M2584" s="3" t="s">
        <v>9960</v>
      </c>
      <c r="N2584" s="6" t="str">
        <f>HYPERLINK("C:\Users\alexa\YandexDisk\Книги\Программирование\Python\Python для инженерных задач.pdf","Python для инженерных задач.pdf")</f>
        <v>Python для инженерных задач.pdf</v>
      </c>
      <c r="O2584" s="3" t="s">
        <v>10219</v>
      </c>
    </row>
    <row r="2585" spans="1:15" ht="138" x14ac:dyDescent="0.3">
      <c r="A2585" s="4">
        <v>2584</v>
      </c>
      <c r="B2585" s="5" t="s">
        <v>10220</v>
      </c>
      <c r="C2585" s="5"/>
      <c r="D2585" s="5" t="s">
        <v>17</v>
      </c>
      <c r="E2585" s="5"/>
      <c r="F2585" s="5" t="s">
        <v>9957</v>
      </c>
      <c r="G2585" s="5" t="s">
        <v>8458</v>
      </c>
      <c r="H2585" s="5" t="s">
        <v>9958</v>
      </c>
      <c r="I2585" s="5" t="s">
        <v>20</v>
      </c>
      <c r="J2585" s="5">
        <v>3.9</v>
      </c>
      <c r="K2585" s="5" t="s">
        <v>21</v>
      </c>
      <c r="L2585" s="5" t="s">
        <v>10221</v>
      </c>
      <c r="M2585" s="5" t="s">
        <v>9960</v>
      </c>
      <c r="N2585" s="7" t="str">
        <f>HYPERLINK("C:\Users\alexa\YandexDisk\Книги\Программирование\Python\Python для сетевых инженеров.pdf","Python для сетевых инженеров.pdf")</f>
        <v>Python для сетевых инженеров.pdf</v>
      </c>
      <c r="O2585" s="5" t="s">
        <v>10222</v>
      </c>
    </row>
    <row r="2586" spans="1:15" ht="165.6" x14ac:dyDescent="0.3">
      <c r="A2586" s="2">
        <v>2585</v>
      </c>
      <c r="B2586" s="3" t="s">
        <v>10223</v>
      </c>
      <c r="C2586" s="3" t="s">
        <v>10017</v>
      </c>
      <c r="D2586" s="3" t="s">
        <v>77</v>
      </c>
      <c r="E2586" s="3" t="s">
        <v>1388</v>
      </c>
      <c r="F2586" s="3" t="s">
        <v>9957</v>
      </c>
      <c r="G2586" s="3" t="s">
        <v>8458</v>
      </c>
      <c r="H2586" s="3" t="s">
        <v>9958</v>
      </c>
      <c r="I2586" s="3" t="s">
        <v>20</v>
      </c>
      <c r="J2586" s="3">
        <v>52.11</v>
      </c>
      <c r="K2586" s="3" t="s">
        <v>21</v>
      </c>
      <c r="L2586" s="3" t="s">
        <v>10224</v>
      </c>
      <c r="M2586" s="3" t="s">
        <v>9960</v>
      </c>
      <c r="N2586" s="6" t="str">
        <f>HYPERLINK("C:\Users\alexa\YandexDisk\Книги\Программирование\Python\Python для чайников.pdf","Python для чайников.pdf")</f>
        <v>Python для чайников.pdf</v>
      </c>
      <c r="O2586" s="3" t="s">
        <v>10225</v>
      </c>
    </row>
    <row r="2587" spans="1:15" ht="234.6" x14ac:dyDescent="0.3">
      <c r="A2587" s="4">
        <v>2586</v>
      </c>
      <c r="B2587" s="5" t="s">
        <v>10043</v>
      </c>
      <c r="C2587" s="5" t="s">
        <v>10044</v>
      </c>
      <c r="D2587" s="5" t="s">
        <v>59</v>
      </c>
      <c r="E2587" s="5" t="s">
        <v>18</v>
      </c>
      <c r="F2587" s="5" t="s">
        <v>9957</v>
      </c>
      <c r="G2587" s="5" t="s">
        <v>8458</v>
      </c>
      <c r="H2587" s="5" t="s">
        <v>9958</v>
      </c>
      <c r="I2587" s="5" t="s">
        <v>20</v>
      </c>
      <c r="J2587" s="5">
        <v>11.7</v>
      </c>
      <c r="K2587" s="5" t="s">
        <v>21</v>
      </c>
      <c r="L2587" s="5" t="s">
        <v>10226</v>
      </c>
      <c r="M2587" s="5" t="s">
        <v>9960</v>
      </c>
      <c r="N2587" s="7" t="str">
        <f>HYPERLINK("C:\Users\alexa\YandexDisk\Книги\Программирование\Python\Python Искусственный_интеллект, большие_данные_и_облачные_вычисления.pdf","Python Искусственный_интеллект, большие_данные_и_облачные_вычисления.pdf")</f>
        <v>Python Искусственный_интеллект, большие_данные_и_облачные_вычисления.pdf</v>
      </c>
      <c r="O2587" s="5" t="s">
        <v>10227</v>
      </c>
    </row>
    <row r="2588" spans="1:15" ht="165.6" x14ac:dyDescent="0.3">
      <c r="A2588" s="2">
        <v>2587</v>
      </c>
      <c r="B2588" s="3" t="s">
        <v>10228</v>
      </c>
      <c r="C2588" s="3" t="s">
        <v>10229</v>
      </c>
      <c r="D2588" s="3" t="s">
        <v>1022</v>
      </c>
      <c r="E2588" s="3"/>
      <c r="F2588" s="3" t="s">
        <v>9957</v>
      </c>
      <c r="G2588" s="3" t="s">
        <v>8458</v>
      </c>
      <c r="H2588" s="3" t="s">
        <v>9958</v>
      </c>
      <c r="I2588" s="3" t="s">
        <v>20</v>
      </c>
      <c r="J2588" s="3">
        <v>189.75</v>
      </c>
      <c r="K2588" s="3" t="s">
        <v>21</v>
      </c>
      <c r="L2588" s="3" t="s">
        <v>10230</v>
      </c>
      <c r="M2588" s="3" t="s">
        <v>9960</v>
      </c>
      <c r="N2588" s="6" t="str">
        <f>HYPERLINK("C:\Users\alexa\YandexDisk\Книги\Программирование\Python\Python К вершинам мастерства Рамальо Лучано - 2015.pdf","Python К вершинам мастерства Рамальо Лучано - 2015.pdf")</f>
        <v>Python К вершинам мастерства Рамальо Лучано - 2015.pdf</v>
      </c>
      <c r="O2588" s="3" t="s">
        <v>10231</v>
      </c>
    </row>
    <row r="2589" spans="1:15" ht="179.4" x14ac:dyDescent="0.3">
      <c r="A2589" s="4">
        <v>2588</v>
      </c>
      <c r="B2589" s="5" t="s">
        <v>10232</v>
      </c>
      <c r="C2589" s="5" t="s">
        <v>9042</v>
      </c>
      <c r="D2589" s="5" t="s">
        <v>77</v>
      </c>
      <c r="E2589" s="5" t="s">
        <v>485</v>
      </c>
      <c r="F2589" s="5" t="s">
        <v>9957</v>
      </c>
      <c r="G2589" s="5" t="s">
        <v>8458</v>
      </c>
      <c r="H2589" s="5" t="s">
        <v>9958</v>
      </c>
      <c r="I2589" s="5" t="s">
        <v>20</v>
      </c>
      <c r="J2589" s="5">
        <v>18.03</v>
      </c>
      <c r="K2589" s="5" t="s">
        <v>21</v>
      </c>
      <c r="L2589" s="5" t="s">
        <v>10233</v>
      </c>
      <c r="M2589" s="5" t="s">
        <v>9960</v>
      </c>
      <c r="N2589" s="7" t="str">
        <f>HYPERLINK("C:\Users\alexa\YandexDisk\Книги\Программирование\Python\Python на примерах - 2019.pdf","Python на примерах - 2019.pdf")</f>
        <v>Python на примерах - 2019.pdf</v>
      </c>
      <c r="O2589" s="5" t="s">
        <v>10234</v>
      </c>
    </row>
    <row r="2590" spans="1:15" ht="193.2" x14ac:dyDescent="0.3">
      <c r="A2590" s="2">
        <v>2589</v>
      </c>
      <c r="B2590" s="3" t="s">
        <v>10235</v>
      </c>
      <c r="C2590" s="3" t="s">
        <v>10236</v>
      </c>
      <c r="D2590" s="3" t="s">
        <v>71</v>
      </c>
      <c r="E2590" s="3" t="s">
        <v>18</v>
      </c>
      <c r="F2590" s="3" t="s">
        <v>9957</v>
      </c>
      <c r="G2590" s="3" t="s">
        <v>8458</v>
      </c>
      <c r="H2590" s="3" t="s">
        <v>9958</v>
      </c>
      <c r="I2590" s="3" t="s">
        <v>20</v>
      </c>
      <c r="J2590" s="3">
        <v>7.82</v>
      </c>
      <c r="K2590" s="3" t="s">
        <v>21</v>
      </c>
      <c r="L2590" s="3" t="s">
        <v>10237</v>
      </c>
      <c r="M2590" s="3" t="s">
        <v>9960</v>
      </c>
      <c r="N2590" s="6" t="str">
        <f>HYPERLINK("C:\Users\alexa\YandexDisk\Книги\Программирование\Python\Python Чистый код.pdf","Python Чистый код.pdf")</f>
        <v>Python Чистый код.pdf</v>
      </c>
      <c r="O2590" s="3" t="s">
        <v>10238</v>
      </c>
    </row>
    <row r="2591" spans="1:15" ht="151.80000000000001" x14ac:dyDescent="0.3">
      <c r="A2591" s="4">
        <v>2590</v>
      </c>
      <c r="B2591" s="5" t="s">
        <v>10239</v>
      </c>
      <c r="C2591" s="5"/>
      <c r="D2591" s="5"/>
      <c r="E2591" s="5"/>
      <c r="F2591" s="5" t="s">
        <v>9957</v>
      </c>
      <c r="G2591" s="5" t="s">
        <v>8458</v>
      </c>
      <c r="H2591" s="5" t="s">
        <v>9958</v>
      </c>
      <c r="I2591" s="5" t="s">
        <v>20</v>
      </c>
      <c r="J2591" s="5">
        <v>104.8</v>
      </c>
      <c r="K2591" s="5" t="s">
        <v>21</v>
      </c>
      <c r="L2591" s="5" t="s">
        <v>10240</v>
      </c>
      <c r="M2591" s="5" t="s">
        <v>9960</v>
      </c>
      <c r="N2591" s="7" t="str">
        <f>HYPERLINK("C:\Users\alexa\YandexDisk\Книги\Программирование\Python\Python, Django, Data Science.pdf","Python, Django, Data Science.pdf")</f>
        <v>Python, Django, Data Science.pdf</v>
      </c>
      <c r="O2591" s="5" t="s">
        <v>10241</v>
      </c>
    </row>
    <row r="2592" spans="1:15" ht="124.2" x14ac:dyDescent="0.3">
      <c r="A2592" s="2">
        <v>2591</v>
      </c>
      <c r="B2592" s="3" t="s">
        <v>10242</v>
      </c>
      <c r="C2592" s="3" t="s">
        <v>10243</v>
      </c>
      <c r="D2592" s="3" t="s">
        <v>17</v>
      </c>
      <c r="E2592" s="3" t="s">
        <v>18</v>
      </c>
      <c r="F2592" s="3" t="s">
        <v>9957</v>
      </c>
      <c r="G2592" s="3" t="s">
        <v>8458</v>
      </c>
      <c r="H2592" s="3" t="s">
        <v>9958</v>
      </c>
      <c r="I2592" s="3" t="s">
        <v>20</v>
      </c>
      <c r="J2592" s="3">
        <v>7.96</v>
      </c>
      <c r="K2592" s="3" t="s">
        <v>21</v>
      </c>
      <c r="L2592" s="3" t="s">
        <v>10244</v>
      </c>
      <c r="M2592" s="3" t="s">
        <v>9960</v>
      </c>
      <c r="N2592" s="6" t="str">
        <f>HYPERLINK("C:\Users\alexa\YandexDisk\Книги\Программирование\Python\Python, например 2021.pdf","Python, например 2021.pdf")</f>
        <v>Python, например 2021.pdf</v>
      </c>
      <c r="O2592" s="3" t="s">
        <v>10245</v>
      </c>
    </row>
    <row r="2593" spans="1:15" ht="179.4" x14ac:dyDescent="0.3">
      <c r="A2593" s="4">
        <v>2592</v>
      </c>
      <c r="B2593" s="5" t="s">
        <v>10246</v>
      </c>
      <c r="C2593" s="5" t="s">
        <v>10247</v>
      </c>
      <c r="D2593" s="5" t="s">
        <v>77</v>
      </c>
      <c r="E2593" s="5" t="s">
        <v>10248</v>
      </c>
      <c r="F2593" s="5" t="s">
        <v>9957</v>
      </c>
      <c r="G2593" s="5" t="s">
        <v>8458</v>
      </c>
      <c r="H2593" s="5" t="s">
        <v>9958</v>
      </c>
      <c r="I2593" s="5" t="s">
        <v>20</v>
      </c>
      <c r="J2593" s="5">
        <v>1.71</v>
      </c>
      <c r="K2593" s="5" t="s">
        <v>21</v>
      </c>
      <c r="L2593" s="5" t="s">
        <v>10249</v>
      </c>
      <c r="M2593" s="5" t="s">
        <v>9960</v>
      </c>
      <c r="N2593" s="7" t="str">
        <f>HYPERLINK("C:\Users\alexa\YandexDisk\Книги\Программирование\Python\Python-data-access 2019.pdf","Python-data-access 2019.pdf")</f>
        <v>Python-data-access 2019.pdf</v>
      </c>
      <c r="O2593" s="5" t="s">
        <v>10250</v>
      </c>
    </row>
    <row r="2594" spans="1:15" ht="138" x14ac:dyDescent="0.3">
      <c r="A2594" s="2">
        <v>2593</v>
      </c>
      <c r="B2594" s="3" t="s">
        <v>10251</v>
      </c>
      <c r="C2594" s="3" t="s">
        <v>10180</v>
      </c>
      <c r="D2594" s="3" t="s">
        <v>27</v>
      </c>
      <c r="E2594" s="3" t="s">
        <v>536</v>
      </c>
      <c r="F2594" s="3" t="s">
        <v>9957</v>
      </c>
      <c r="G2594" s="3" t="s">
        <v>8458</v>
      </c>
      <c r="H2594" s="3" t="s">
        <v>9958</v>
      </c>
      <c r="I2594" s="3" t="s">
        <v>20</v>
      </c>
      <c r="J2594" s="3">
        <v>11.06</v>
      </c>
      <c r="K2594" s="3" t="s">
        <v>21</v>
      </c>
      <c r="L2594" s="3" t="s">
        <v>10252</v>
      </c>
      <c r="M2594" s="3" t="s">
        <v>9960</v>
      </c>
      <c r="N2594" s="6" t="str">
        <f>HYPERLINK("C:\Users\alexa\YandexDisk\Книги\Программирование\Python\Python-how-to-2023.pdf","Python-how-to-2023.pdf")</f>
        <v>Python-how-to-2023.pdf</v>
      </c>
      <c r="O2594" s="3" t="s">
        <v>10253</v>
      </c>
    </row>
    <row r="2595" spans="1:15" ht="165.6" x14ac:dyDescent="0.3">
      <c r="A2595" s="4">
        <v>2594</v>
      </c>
      <c r="B2595" s="5" t="s">
        <v>9970</v>
      </c>
      <c r="C2595" s="5" t="s">
        <v>9971</v>
      </c>
      <c r="D2595" s="5" t="s">
        <v>17</v>
      </c>
      <c r="E2595" s="5" t="s">
        <v>102</v>
      </c>
      <c r="F2595" s="5" t="s">
        <v>9957</v>
      </c>
      <c r="G2595" s="5" t="s">
        <v>8458</v>
      </c>
      <c r="H2595" s="5" t="s">
        <v>9958</v>
      </c>
      <c r="I2595" s="5" t="s">
        <v>20</v>
      </c>
      <c r="J2595" s="5">
        <v>1.68</v>
      </c>
      <c r="K2595" s="5" t="s">
        <v>21</v>
      </c>
      <c r="L2595" s="5" t="s">
        <v>10254</v>
      </c>
      <c r="M2595" s="5" t="s">
        <v>9960</v>
      </c>
      <c r="N2595" s="7" t="str">
        <f>HYPERLINK("C:\Users\alexa\YandexDisk\Книги\Программирование\Python\Python-Сборник упражнений.pdf","Python-Сборник упражнений.pdf")</f>
        <v>Python-Сборник упражнений.pdf</v>
      </c>
      <c r="O2595" s="5" t="s">
        <v>10255</v>
      </c>
    </row>
    <row r="2596" spans="1:15" ht="179.4" x14ac:dyDescent="0.3">
      <c r="A2596" s="2">
        <v>2595</v>
      </c>
      <c r="B2596" s="3" t="s">
        <v>10256</v>
      </c>
      <c r="C2596" s="3" t="s">
        <v>10257</v>
      </c>
      <c r="D2596" s="3" t="s">
        <v>27</v>
      </c>
      <c r="E2596" s="3" t="s">
        <v>18</v>
      </c>
      <c r="F2596" s="3" t="s">
        <v>9957</v>
      </c>
      <c r="G2596" s="3" t="s">
        <v>8458</v>
      </c>
      <c r="H2596" s="3" t="s">
        <v>9958</v>
      </c>
      <c r="I2596" s="3" t="s">
        <v>20</v>
      </c>
      <c r="J2596" s="3">
        <v>5.86</v>
      </c>
      <c r="K2596" s="3" t="s">
        <v>21</v>
      </c>
      <c r="L2596" s="3" t="s">
        <v>10258</v>
      </c>
      <c r="M2596" s="3" t="s">
        <v>9960</v>
      </c>
      <c r="N2596" s="6" t="str">
        <f>HYPERLINK("C:\Users\alexa\YandexDisk\Книги\Программирование\Python\Python. Исчерпывающее руководство.pdf","Python. Исчерпывающее руководство.pdf")</f>
        <v>Python. Исчерпывающее руководство.pdf</v>
      </c>
      <c r="O2596" s="3" t="s">
        <v>10259</v>
      </c>
    </row>
    <row r="2597" spans="1:15" ht="165.6" x14ac:dyDescent="0.3">
      <c r="A2597" s="4">
        <v>2596</v>
      </c>
      <c r="B2597" s="5" t="s">
        <v>10260</v>
      </c>
      <c r="C2597" s="5" t="s">
        <v>10261</v>
      </c>
      <c r="D2597" s="5"/>
      <c r="E2597" s="5" t="s">
        <v>102</v>
      </c>
      <c r="F2597" s="5" t="s">
        <v>9957</v>
      </c>
      <c r="G2597" s="5" t="s">
        <v>8458</v>
      </c>
      <c r="H2597" s="5" t="s">
        <v>9958</v>
      </c>
      <c r="I2597" s="5" t="s">
        <v>20</v>
      </c>
      <c r="J2597" s="5">
        <v>3.83</v>
      </c>
      <c r="K2597" s="5" t="s">
        <v>21</v>
      </c>
      <c r="L2597" s="5" t="s">
        <v>10262</v>
      </c>
      <c r="M2597" s="5" t="s">
        <v>9960</v>
      </c>
      <c r="N2597" s="7" t="str">
        <f>HYPERLINK("C:\Users\alexa\YandexDisk\Книги\Программирование\Python\Python. Книга рецептов.pdf","Python. Книга рецептов.pdf")</f>
        <v>Python. Книга рецептов.pdf</v>
      </c>
      <c r="O2597" s="5" t="s">
        <v>10263</v>
      </c>
    </row>
    <row r="2598" spans="1:15" ht="151.80000000000001" x14ac:dyDescent="0.3">
      <c r="A2598" s="2">
        <v>2597</v>
      </c>
      <c r="B2598" s="3" t="s">
        <v>10264</v>
      </c>
      <c r="C2598" s="3" t="s">
        <v>10265</v>
      </c>
      <c r="D2598" s="3" t="s">
        <v>71</v>
      </c>
      <c r="E2598" s="3" t="s">
        <v>5174</v>
      </c>
      <c r="F2598" s="3" t="s">
        <v>9957</v>
      </c>
      <c r="G2598" s="3" t="s">
        <v>8458</v>
      </c>
      <c r="H2598" s="3" t="s">
        <v>9958</v>
      </c>
      <c r="I2598" s="3" t="s">
        <v>20</v>
      </c>
      <c r="J2598" s="3">
        <v>35.479999999999997</v>
      </c>
      <c r="K2598" s="3" t="s">
        <v>21</v>
      </c>
      <c r="L2598" s="3" t="s">
        <v>10266</v>
      </c>
      <c r="M2598" s="3" t="s">
        <v>9960</v>
      </c>
      <c r="N2598" s="6" t="str">
        <f>HYPERLINK("C:\Users\alexa\YandexDisk\Книги\Программирование\Python\Python. Полное руководство.pdf","Python. Полное руководство.pdf")</f>
        <v>Python. Полное руководство.pdf</v>
      </c>
      <c r="O2598" s="3" t="s">
        <v>10267</v>
      </c>
    </row>
    <row r="2599" spans="1:15" ht="151.80000000000001" x14ac:dyDescent="0.3">
      <c r="A2599" s="4">
        <v>2598</v>
      </c>
      <c r="B2599" s="5" t="s">
        <v>10268</v>
      </c>
      <c r="C2599" s="5" t="s">
        <v>10269</v>
      </c>
      <c r="D2599" s="5" t="s">
        <v>17</v>
      </c>
      <c r="E2599" s="5" t="s">
        <v>102</v>
      </c>
      <c r="F2599" s="5" t="s">
        <v>9957</v>
      </c>
      <c r="G2599" s="5" t="s">
        <v>8458</v>
      </c>
      <c r="H2599" s="5" t="s">
        <v>9958</v>
      </c>
      <c r="I2599" s="5" t="s">
        <v>20</v>
      </c>
      <c r="J2599" s="5">
        <v>1.66</v>
      </c>
      <c r="K2599" s="5" t="s">
        <v>21</v>
      </c>
      <c r="L2599" s="5" t="s">
        <v>10270</v>
      </c>
      <c r="M2599" s="5" t="s">
        <v>9960</v>
      </c>
      <c r="N2599" s="7" t="str">
        <f>HYPERLINK("C:\Users\alexa\YandexDisk\Книги\Программирование\Python\Python. Сборник упражнений.pdf","Python. Сборник упражнений.pdf")</f>
        <v>Python. Сборник упражнений.pdf</v>
      </c>
      <c r="O2599" s="5" t="s">
        <v>10271</v>
      </c>
    </row>
    <row r="2600" spans="1:15" ht="179.4" x14ac:dyDescent="0.3">
      <c r="A2600" s="2">
        <v>2599</v>
      </c>
      <c r="B2600" s="3" t="s">
        <v>10272</v>
      </c>
      <c r="C2600" s="3" t="s">
        <v>10273</v>
      </c>
      <c r="D2600" s="3" t="s">
        <v>77</v>
      </c>
      <c r="E2600" s="3" t="s">
        <v>485</v>
      </c>
      <c r="F2600" s="3" t="s">
        <v>9957</v>
      </c>
      <c r="G2600" s="3" t="s">
        <v>8458</v>
      </c>
      <c r="H2600" s="3" t="s">
        <v>9958</v>
      </c>
      <c r="I2600" s="3" t="s">
        <v>20</v>
      </c>
      <c r="J2600" s="3">
        <v>108.34</v>
      </c>
      <c r="K2600" s="3" t="s">
        <v>21</v>
      </c>
      <c r="L2600" s="3" t="s">
        <v>10274</v>
      </c>
      <c r="M2600" s="3" t="s">
        <v>9960</v>
      </c>
      <c r="N2600" s="6" t="str">
        <f>HYPERLINK("C:\Users\alexa\YandexDisk\Книги\Программирование\Python\Python. Создаем программы и игры.pdf","Python. Создаем программы и игры.pdf")</f>
        <v>Python. Создаем программы и игры.pdf</v>
      </c>
      <c r="O2600" s="3" t="s">
        <v>10275</v>
      </c>
    </row>
    <row r="2601" spans="1:15" ht="179.4" x14ac:dyDescent="0.3">
      <c r="A2601" s="4">
        <v>2600</v>
      </c>
      <c r="B2601" s="5" t="s">
        <v>10276</v>
      </c>
      <c r="C2601" s="5" t="s">
        <v>10277</v>
      </c>
      <c r="D2601" s="5" t="s">
        <v>71</v>
      </c>
      <c r="E2601" s="5" t="s">
        <v>10278</v>
      </c>
      <c r="F2601" s="5" t="s">
        <v>9957</v>
      </c>
      <c r="G2601" s="5" t="s">
        <v>8458</v>
      </c>
      <c r="H2601" s="5" t="s">
        <v>9958</v>
      </c>
      <c r="I2601" s="5" t="s">
        <v>20</v>
      </c>
      <c r="J2601" s="5">
        <v>0.83</v>
      </c>
      <c r="K2601" s="5" t="s">
        <v>21</v>
      </c>
      <c r="L2601" s="5" t="s">
        <v>10279</v>
      </c>
      <c r="M2601" s="5" t="s">
        <v>9960</v>
      </c>
      <c r="N2601" s="7" t="str">
        <f>HYPERLINK("C:\Users\alexa\YandexDisk\Книги\Программирование\Python\Python.Asyncio.Jump-Start.pdf","Python.Asyncio.Jump-Start.pdf")</f>
        <v>Python.Asyncio.Jump-Start.pdf</v>
      </c>
      <c r="O2601" s="5" t="s">
        <v>10280</v>
      </c>
    </row>
    <row r="2602" spans="1:15" ht="151.80000000000001" x14ac:dyDescent="0.3">
      <c r="A2602" s="2">
        <v>2601</v>
      </c>
      <c r="B2602" s="3" t="s">
        <v>10281</v>
      </c>
      <c r="C2602" s="3" t="s">
        <v>10282</v>
      </c>
      <c r="D2602" s="3"/>
      <c r="E2602" s="3"/>
      <c r="F2602" s="3" t="s">
        <v>9957</v>
      </c>
      <c r="G2602" s="3" t="s">
        <v>8458</v>
      </c>
      <c r="H2602" s="3" t="s">
        <v>9958</v>
      </c>
      <c r="I2602" s="3" t="s">
        <v>20</v>
      </c>
      <c r="J2602" s="3">
        <v>6.69</v>
      </c>
      <c r="K2602" s="3" t="s">
        <v>21</v>
      </c>
      <c r="L2602" s="3" t="s">
        <v>10283</v>
      </c>
      <c r="M2602" s="3" t="s">
        <v>9960</v>
      </c>
      <c r="N2602" s="6" t="str">
        <f>HYPERLINK("C:\Users\alexa\YandexDisk\Книги\Программирование\Python\Python.for.Scientists.pdf","Python.for.Scientists.pdf")</f>
        <v>Python.for.Scientists.pdf</v>
      </c>
      <c r="O2602" s="3" t="s">
        <v>10284</v>
      </c>
    </row>
    <row r="2603" spans="1:15" ht="151.80000000000001" x14ac:dyDescent="0.3">
      <c r="A2603" s="4">
        <v>2602</v>
      </c>
      <c r="B2603" s="5" t="s">
        <v>10285</v>
      </c>
      <c r="C2603" s="5" t="s">
        <v>10286</v>
      </c>
      <c r="D2603" s="5" t="s">
        <v>17</v>
      </c>
      <c r="E2603" s="5"/>
      <c r="F2603" s="5" t="s">
        <v>9957</v>
      </c>
      <c r="G2603" s="5" t="s">
        <v>8458</v>
      </c>
      <c r="H2603" s="5" t="s">
        <v>9958</v>
      </c>
      <c r="I2603" s="5" t="s">
        <v>20</v>
      </c>
      <c r="J2603" s="5">
        <v>18.52</v>
      </c>
      <c r="K2603" s="5" t="s">
        <v>21</v>
      </c>
      <c r="L2603" s="5" t="s">
        <v>10287</v>
      </c>
      <c r="M2603" s="5" t="s">
        <v>9960</v>
      </c>
      <c r="N2603" s="7" t="str">
        <f>HYPERLINK("C:\Users\alexa\YandexDisk\Книги\Программирование\Python\Python.Programming.for.Beginners 2021.pdf","Python.Programming.for.Beginners 2021.pdf")</f>
        <v>Python.Programming.for.Beginners 2021.pdf</v>
      </c>
      <c r="O2603" s="5" t="s">
        <v>10288</v>
      </c>
    </row>
    <row r="2604" spans="1:15" ht="138" x14ac:dyDescent="0.3">
      <c r="A2604" s="2">
        <v>2603</v>
      </c>
      <c r="B2604" s="3" t="s">
        <v>10289</v>
      </c>
      <c r="C2604" s="3"/>
      <c r="D2604" s="3" t="s">
        <v>114</v>
      </c>
      <c r="E2604" s="3"/>
      <c r="F2604" s="3" t="s">
        <v>9957</v>
      </c>
      <c r="G2604" s="3" t="s">
        <v>8458</v>
      </c>
      <c r="H2604" s="3" t="s">
        <v>9958</v>
      </c>
      <c r="I2604" s="3" t="s">
        <v>20</v>
      </c>
      <c r="J2604" s="3">
        <v>208.1</v>
      </c>
      <c r="K2604" s="3" t="s">
        <v>21</v>
      </c>
      <c r="L2604" s="3" t="s">
        <v>10290</v>
      </c>
      <c r="M2604" s="3" t="s">
        <v>9960</v>
      </c>
      <c r="N2604" s="6" t="str">
        <f>HYPERLINK("C:\Users\alexa\YandexDisk\Книги\Программирование\Python\Python_3_и_PyQt_5_Разработка_приложений 2016.pdf","Python_3_и_PyQt_5_Разработка_приложений 2016.pdf")</f>
        <v>Python_3_и_PyQt_5_Разработка_приложений 2016.pdf</v>
      </c>
      <c r="O2604" s="3" t="s">
        <v>10291</v>
      </c>
    </row>
    <row r="2605" spans="1:15" ht="165.6" x14ac:dyDescent="0.3">
      <c r="A2605" s="4">
        <v>2604</v>
      </c>
      <c r="B2605" s="5" t="s">
        <v>10292</v>
      </c>
      <c r="C2605" s="5" t="s">
        <v>9230</v>
      </c>
      <c r="D2605" s="5" t="s">
        <v>71</v>
      </c>
      <c r="E2605" s="5" t="s">
        <v>227</v>
      </c>
      <c r="F2605" s="5" t="s">
        <v>9957</v>
      </c>
      <c r="G2605" s="5" t="s">
        <v>8458</v>
      </c>
      <c r="H2605" s="5" t="s">
        <v>9958</v>
      </c>
      <c r="I2605" s="5" t="s">
        <v>20</v>
      </c>
      <c r="J2605" s="5">
        <v>6.84</v>
      </c>
      <c r="K2605" s="5" t="s">
        <v>21</v>
      </c>
      <c r="L2605" s="5" t="s">
        <v>10293</v>
      </c>
      <c r="M2605" s="5" t="s">
        <v>9960</v>
      </c>
      <c r="N2605" s="7" t="str">
        <f>HYPERLINK("C:\Users\alexa\YandexDisk\Книги\Программирование\Python\Python_Challenges_100_Proven_Programming_Tasks.pdf","Python_Challenges_100_Proven_Programming_Tasks.pdf")</f>
        <v>Python_Challenges_100_Proven_Programming_Tasks.pdf</v>
      </c>
      <c r="O2605" s="5" t="s">
        <v>10294</v>
      </c>
    </row>
    <row r="2606" spans="1:15" ht="151.80000000000001" x14ac:dyDescent="0.3">
      <c r="A2606" s="2">
        <v>2605</v>
      </c>
      <c r="B2606" s="3" t="s">
        <v>10295</v>
      </c>
      <c r="C2606" s="3" t="s">
        <v>10296</v>
      </c>
      <c r="D2606" s="3" t="s">
        <v>32</v>
      </c>
      <c r="E2606" s="3" t="s">
        <v>18</v>
      </c>
      <c r="F2606" s="3" t="s">
        <v>9957</v>
      </c>
      <c r="G2606" s="3" t="s">
        <v>8458</v>
      </c>
      <c r="H2606" s="3" t="s">
        <v>9958</v>
      </c>
      <c r="I2606" s="3" t="s">
        <v>20</v>
      </c>
      <c r="J2606" s="3">
        <v>11.52</v>
      </c>
      <c r="K2606" s="3" t="s">
        <v>21</v>
      </c>
      <c r="L2606" s="3" t="s">
        <v>10297</v>
      </c>
      <c r="M2606" s="3" t="s">
        <v>9960</v>
      </c>
      <c r="N2606" s="6" t="str">
        <f>HYPERLINK("C:\Users\alexa\YandexDisk\Книги\Программирование\Python\Python_dlya_slozhnykh_zadach_nauka_o_dannykh_i_mas.pdf","Python_dlya_slozhnykh_zadach_nauka_o_dannykh_i_mas.pdf")</f>
        <v>Python_dlya_slozhnykh_zadach_nauka_o_dannykh_i_mas.pdf</v>
      </c>
      <c r="O2606" s="3" t="s">
        <v>10298</v>
      </c>
    </row>
    <row r="2607" spans="1:15" ht="165.6" x14ac:dyDescent="0.3">
      <c r="A2607" s="4">
        <v>2606</v>
      </c>
      <c r="B2607" s="5" t="s">
        <v>10299</v>
      </c>
      <c r="C2607" s="5" t="s">
        <v>8511</v>
      </c>
      <c r="D2607" s="5" t="s">
        <v>77</v>
      </c>
      <c r="E2607" s="5" t="s">
        <v>10300</v>
      </c>
      <c r="F2607" s="5" t="s">
        <v>9957</v>
      </c>
      <c r="G2607" s="5" t="s">
        <v>8458</v>
      </c>
      <c r="H2607" s="5" t="s">
        <v>9958</v>
      </c>
      <c r="I2607" s="5" t="s">
        <v>20</v>
      </c>
      <c r="J2607" s="5">
        <v>25.64</v>
      </c>
      <c r="K2607" s="5" t="s">
        <v>21</v>
      </c>
      <c r="L2607" s="5" t="s">
        <v>10301</v>
      </c>
      <c r="M2607" s="5" t="s">
        <v>9960</v>
      </c>
      <c r="N2607" s="7" t="str">
        <f>HYPERLINK("C:\Users\alexa\YandexDisk\Книги\Программирование\Python\Python_for_Prog and AI.pdf","Python_for_Prog and AI.pdf")</f>
        <v>Python_for_Prog and AI.pdf</v>
      </c>
      <c r="O2607" s="5" t="s">
        <v>10302</v>
      </c>
    </row>
    <row r="2608" spans="1:15" ht="207" x14ac:dyDescent="0.3">
      <c r="A2608" s="2">
        <v>2607</v>
      </c>
      <c r="B2608" s="3" t="s">
        <v>10303</v>
      </c>
      <c r="C2608" s="3" t="s">
        <v>10304</v>
      </c>
      <c r="D2608" s="3" t="s">
        <v>1022</v>
      </c>
      <c r="E2608" s="3"/>
      <c r="F2608" s="3" t="s">
        <v>9957</v>
      </c>
      <c r="G2608" s="3" t="s">
        <v>8458</v>
      </c>
      <c r="H2608" s="3" t="s">
        <v>9958</v>
      </c>
      <c r="I2608" s="3" t="s">
        <v>20</v>
      </c>
      <c r="J2608" s="3">
        <v>64.010000000000005</v>
      </c>
      <c r="K2608" s="3" t="s">
        <v>21</v>
      </c>
      <c r="L2608" s="3" t="s">
        <v>10305</v>
      </c>
      <c r="M2608" s="3" t="s">
        <v>9960</v>
      </c>
      <c r="N2608" s="6" t="str">
        <f>HYPERLINK("C:\Users\alexa\YandexDisk\Книги\Программирование\Python\Python_Karmanny_spravochnik_5-e_izdanie_Mark_Lutts_2015.pdf","Python_Karmanny_spravochnik_5-e_izdanie_Mark_Lutts_2015.pdf")</f>
        <v>Python_Karmanny_spravochnik_5-e_izdanie_Mark_Lutts_2015.pdf</v>
      </c>
      <c r="O2608" s="3" t="s">
        <v>10306</v>
      </c>
    </row>
    <row r="2609" spans="1:15" ht="151.80000000000001" x14ac:dyDescent="0.3">
      <c r="A2609" s="4">
        <v>2608</v>
      </c>
      <c r="B2609" s="5" t="s">
        <v>10307</v>
      </c>
      <c r="C2609" s="5" t="s">
        <v>10308</v>
      </c>
      <c r="D2609" s="5" t="s">
        <v>32</v>
      </c>
      <c r="E2609" s="5" t="s">
        <v>205</v>
      </c>
      <c r="F2609" s="5" t="s">
        <v>9957</v>
      </c>
      <c r="G2609" s="5" t="s">
        <v>8458</v>
      </c>
      <c r="H2609" s="5" t="s">
        <v>9958</v>
      </c>
      <c r="I2609" s="5" t="s">
        <v>20</v>
      </c>
      <c r="J2609" s="5">
        <v>16.010000000000002</v>
      </c>
      <c r="K2609" s="5" t="s">
        <v>21</v>
      </c>
      <c r="L2609" s="5" t="s">
        <v>10309</v>
      </c>
      <c r="M2609" s="5" t="s">
        <v>9960</v>
      </c>
      <c r="N2609" s="7" t="str">
        <f>HYPERLINK("C:\Users\alexa\YandexDisk\Книги\Программирование\Python\Python_Web_Scraping_Cookbook_Over_90_proven_recipes_to_get_you_scraping.pdf","Python_Web_Scraping_Cookbook_Over_90_proven_recipes_to_get_you_scraping.pdf")</f>
        <v>Python_Web_Scraping_Cookbook_Over_90_proven_recipes_to_get_you_scraping.pdf</v>
      </c>
      <c r="O2609" s="5" t="s">
        <v>10310</v>
      </c>
    </row>
    <row r="2610" spans="1:15" ht="165.6" x14ac:dyDescent="0.3">
      <c r="A2610" s="2">
        <v>2609</v>
      </c>
      <c r="B2610" s="3" t="s">
        <v>10207</v>
      </c>
      <c r="C2610" s="3" t="s">
        <v>1126</v>
      </c>
      <c r="D2610" s="3" t="s">
        <v>59</v>
      </c>
      <c r="E2610" s="3" t="s">
        <v>1127</v>
      </c>
      <c r="F2610" s="3" t="s">
        <v>9957</v>
      </c>
      <c r="G2610" s="3" t="s">
        <v>8458</v>
      </c>
      <c r="H2610" s="3" t="s">
        <v>9958</v>
      </c>
      <c r="I2610" s="3" t="s">
        <v>20</v>
      </c>
      <c r="J2610" s="3">
        <v>7.77</v>
      </c>
      <c r="K2610" s="3" t="s">
        <v>21</v>
      </c>
      <c r="L2610" s="3" t="s">
        <v>10311</v>
      </c>
      <c r="M2610" s="3" t="s">
        <v>9960</v>
      </c>
      <c r="N2610" s="6" t="str">
        <f>HYPERLINK("C:\Users\alexa\YandexDisk\Книги\Программирование\Python\Python_Визуализация_данных_Matplotlib 2020.pdf","Python_Визуализация_данных_Matplotlib 2020.pdf")</f>
        <v>Python_Визуализация_данных_Matplotlib 2020.pdf</v>
      </c>
      <c r="O2610" s="3" t="s">
        <v>10312</v>
      </c>
    </row>
    <row r="2611" spans="1:15" ht="193.2" x14ac:dyDescent="0.3">
      <c r="A2611" s="4">
        <v>2610</v>
      </c>
      <c r="B2611" s="5" t="s">
        <v>10207</v>
      </c>
      <c r="C2611" s="5" t="s">
        <v>1126</v>
      </c>
      <c r="D2611" s="5" t="s">
        <v>59</v>
      </c>
      <c r="E2611" s="5" t="s">
        <v>1127</v>
      </c>
      <c r="F2611" s="5" t="s">
        <v>9957</v>
      </c>
      <c r="G2611" s="5" t="s">
        <v>8458</v>
      </c>
      <c r="H2611" s="5" t="s">
        <v>9958</v>
      </c>
      <c r="I2611" s="5" t="s">
        <v>20</v>
      </c>
      <c r="J2611" s="5">
        <v>7.77</v>
      </c>
      <c r="K2611" s="5" t="s">
        <v>21</v>
      </c>
      <c r="L2611" s="5" t="s">
        <v>10313</v>
      </c>
      <c r="M2611" s="5" t="s">
        <v>9960</v>
      </c>
      <c r="N2611" s="7" t="str">
        <f>HYPERLINK("C:\Users\alexa\YandexDisk\Книги\Программирование\Python\Python_Визуализация_данных_Matplotlib,_Seaborn,_Mayavi_2020.pdf","Python_Визуализация_данных_Matplotlib,_Seaborn,_Mayavi_2020.pdf")</f>
        <v>Python_Визуализация_данных_Matplotlib,_Seaborn,_Mayavi_2020.pdf</v>
      </c>
      <c r="O2611" s="5" t="s">
        <v>10314</v>
      </c>
    </row>
    <row r="2612" spans="1:15" ht="207" x14ac:dyDescent="0.3">
      <c r="A2612" s="2">
        <v>2611</v>
      </c>
      <c r="B2612" s="3" t="s">
        <v>10315</v>
      </c>
      <c r="C2612" s="3" t="s">
        <v>10316</v>
      </c>
      <c r="D2612" s="3" t="s">
        <v>71</v>
      </c>
      <c r="E2612" s="3" t="s">
        <v>18</v>
      </c>
      <c r="F2612" s="3" t="s">
        <v>9957</v>
      </c>
      <c r="G2612" s="3" t="s">
        <v>8458</v>
      </c>
      <c r="H2612" s="3" t="s">
        <v>9958</v>
      </c>
      <c r="I2612" s="3" t="s">
        <v>20</v>
      </c>
      <c r="J2612" s="3">
        <v>7.98</v>
      </c>
      <c r="K2612" s="3" t="s">
        <v>21</v>
      </c>
      <c r="L2612" s="3" t="s">
        <v>10317</v>
      </c>
      <c r="M2612" s="3" t="s">
        <v>9960</v>
      </c>
      <c r="N2612" s="6" t="str">
        <f>HYPERLINK("C:\Users\alexa\YandexDisk\Книги\Программирование\Python\Python_и_DevOps_Ключ_к_автоматизации_Linux.pdf","Python_и_DevOps_Ключ_к_автоматизации_Linux.pdf")</f>
        <v>Python_и_DevOps_Ключ_к_автоматизации_Linux.pdf</v>
      </c>
      <c r="O2612" s="3" t="s">
        <v>10318</v>
      </c>
    </row>
    <row r="2613" spans="1:15" ht="193.2" x14ac:dyDescent="0.3">
      <c r="A2613" s="4">
        <v>2612</v>
      </c>
      <c r="B2613" s="5" t="s">
        <v>10319</v>
      </c>
      <c r="C2613" s="5" t="s">
        <v>10320</v>
      </c>
      <c r="D2613" s="5" t="s">
        <v>71</v>
      </c>
      <c r="E2613" s="5" t="s">
        <v>10321</v>
      </c>
      <c r="F2613" s="5" t="s">
        <v>9957</v>
      </c>
      <c r="G2613" s="5" t="s">
        <v>8458</v>
      </c>
      <c r="H2613" s="5" t="s">
        <v>9958</v>
      </c>
      <c r="I2613" s="5" t="s">
        <v>20</v>
      </c>
      <c r="J2613" s="5">
        <v>20.41</v>
      </c>
      <c r="K2613" s="5" t="s">
        <v>21</v>
      </c>
      <c r="L2613" s="5" t="s">
        <v>10322</v>
      </c>
      <c r="M2613" s="5" t="s">
        <v>9960</v>
      </c>
      <c r="N2613" s="7" t="str">
        <f>HYPERLINK("C:\Users\alexa\YandexDisk\Книги\Программирование\Python\Python_К_вершинам_мастерства,_2_е_изд_.pdf","Python_К_вершинам_мастерства,_2_е_изд_.pdf")</f>
        <v>Python_К_вершинам_мастерства,_2_е_изд_.pdf</v>
      </c>
      <c r="O2613" s="5" t="s">
        <v>10323</v>
      </c>
    </row>
    <row r="2614" spans="1:15" ht="179.4" x14ac:dyDescent="0.3">
      <c r="A2614" s="2">
        <v>2613</v>
      </c>
      <c r="B2614" s="3" t="s">
        <v>10324</v>
      </c>
      <c r="C2614" s="3" t="s">
        <v>10325</v>
      </c>
      <c r="D2614" s="3" t="s">
        <v>32</v>
      </c>
      <c r="E2614" s="3" t="s">
        <v>102</v>
      </c>
      <c r="F2614" s="3" t="s">
        <v>9957</v>
      </c>
      <c r="G2614" s="3" t="s">
        <v>8458</v>
      </c>
      <c r="H2614" s="3" t="s">
        <v>9958</v>
      </c>
      <c r="I2614" s="3" t="s">
        <v>20</v>
      </c>
      <c r="J2614" s="3">
        <v>10.01</v>
      </c>
      <c r="K2614" s="3" t="s">
        <v>21</v>
      </c>
      <c r="L2614" s="3" t="s">
        <v>10326</v>
      </c>
      <c r="M2614" s="3" t="s">
        <v>9960</v>
      </c>
      <c r="N2614" s="6" t="str">
        <f>HYPERLINK("C:\Users\alexa\YandexDisk\Книги\Программирование\Python\Python_Разработка_на_основе_тестирования 2017.pdf","Python_Разработка_на_основе_тестирования 2017.pdf")</f>
        <v>Python_Разработка_на_основе_тестирования 2017.pdf</v>
      </c>
      <c r="O2614" s="3" t="s">
        <v>10327</v>
      </c>
    </row>
    <row r="2615" spans="1:15" ht="193.2" x14ac:dyDescent="0.3">
      <c r="A2615" s="4">
        <v>2614</v>
      </c>
      <c r="B2615" s="5" t="s">
        <v>10328</v>
      </c>
      <c r="C2615" s="5" t="s">
        <v>10329</v>
      </c>
      <c r="D2615" s="5" t="s">
        <v>109</v>
      </c>
      <c r="E2615" s="5" t="s">
        <v>18</v>
      </c>
      <c r="F2615" s="5" t="s">
        <v>9957</v>
      </c>
      <c r="G2615" s="5" t="s">
        <v>8458</v>
      </c>
      <c r="H2615" s="5" t="s">
        <v>9958</v>
      </c>
      <c r="I2615" s="5" t="s">
        <v>20</v>
      </c>
      <c r="J2615" s="5">
        <v>6.55</v>
      </c>
      <c r="K2615" s="5" t="s">
        <v>21</v>
      </c>
      <c r="L2615" s="5" t="s">
        <v>10330</v>
      </c>
      <c r="M2615" s="5" t="s">
        <v>9960</v>
      </c>
      <c r="N2615" s="7" t="str">
        <f>HYPERLINK("C:\Users\alexa\YandexDisk\Книги\Программирование\Python\Python_с_нуля.pdf","Python_с_нуля.pdf")</f>
        <v>Python_с_нуля.pdf</v>
      </c>
      <c r="O2615" s="5" t="s">
        <v>10331</v>
      </c>
    </row>
    <row r="2616" spans="1:15" ht="165.6" x14ac:dyDescent="0.3">
      <c r="A2616" s="2">
        <v>2615</v>
      </c>
      <c r="B2616" s="3" t="s">
        <v>10332</v>
      </c>
      <c r="C2616" s="3" t="s">
        <v>10333</v>
      </c>
      <c r="D2616" s="3" t="s">
        <v>1022</v>
      </c>
      <c r="E2616" s="3" t="s">
        <v>2113</v>
      </c>
      <c r="F2616" s="3" t="s">
        <v>9957</v>
      </c>
      <c r="G2616" s="3" t="s">
        <v>8458</v>
      </c>
      <c r="H2616" s="3" t="s">
        <v>9958</v>
      </c>
      <c r="I2616" s="3" t="s">
        <v>20</v>
      </c>
      <c r="J2616" s="3">
        <v>29.14</v>
      </c>
      <c r="K2616" s="3" t="s">
        <v>21</v>
      </c>
      <c r="L2616" s="3" t="s">
        <v>10334</v>
      </c>
      <c r="M2616" s="3" t="s">
        <v>9960</v>
      </c>
      <c r="N2616" s="6" t="str">
        <f>HYPERLINK("C:\Users\alexa\YandexDisk\Книги\Программирование\Python\Python_создание_приложений_Библиотека_профессионала,_3_е_издание.pdf","Python_создание_приложений_Библиотека_профессионала,_3_е_издание.pdf")</f>
        <v>Python_создание_приложений_Библиотека_профессионала,_3_е_издание.pdf</v>
      </c>
      <c r="O2616" s="3" t="s">
        <v>10335</v>
      </c>
    </row>
    <row r="2617" spans="1:15" ht="165.6" x14ac:dyDescent="0.3">
      <c r="A2617" s="4">
        <v>2616</v>
      </c>
      <c r="B2617" s="5" t="s">
        <v>10336</v>
      </c>
      <c r="C2617" s="5" t="s">
        <v>10337</v>
      </c>
      <c r="D2617" s="5" t="s">
        <v>77</v>
      </c>
      <c r="E2617" s="5" t="s">
        <v>2124</v>
      </c>
      <c r="F2617" s="5" t="s">
        <v>9957</v>
      </c>
      <c r="G2617" s="5" t="s">
        <v>8458</v>
      </c>
      <c r="H2617" s="5" t="s">
        <v>9958</v>
      </c>
      <c r="I2617" s="5" t="s">
        <v>20</v>
      </c>
      <c r="J2617" s="5">
        <v>87.62</v>
      </c>
      <c r="K2617" s="5" t="s">
        <v>21</v>
      </c>
      <c r="L2617" s="5" t="s">
        <v>10338</v>
      </c>
      <c r="M2617" s="5" t="s">
        <v>9960</v>
      </c>
      <c r="N2617" s="7" t="str">
        <f>HYPERLINK("C:\Users\alexa\YandexDisk\Книги\Программирование\Python\Python_Справочник_Полное_описание_языка 2019.pdf","Python_Справочник_Полное_описание_языка 2019.pdf")</f>
        <v>Python_Справочник_Полное_описание_языка 2019.pdf</v>
      </c>
      <c r="O2617" s="5" t="s">
        <v>10339</v>
      </c>
    </row>
    <row r="2618" spans="1:15" ht="220.8" x14ac:dyDescent="0.3">
      <c r="A2618" s="2">
        <v>2617</v>
      </c>
      <c r="B2618" s="3" t="s">
        <v>10235</v>
      </c>
      <c r="C2618" s="3" t="s">
        <v>10236</v>
      </c>
      <c r="D2618" s="3" t="s">
        <v>71</v>
      </c>
      <c r="E2618" s="3" t="s">
        <v>18</v>
      </c>
      <c r="F2618" s="3" t="s">
        <v>9957</v>
      </c>
      <c r="G2618" s="3" t="s">
        <v>8458</v>
      </c>
      <c r="H2618" s="3" t="s">
        <v>9958</v>
      </c>
      <c r="I2618" s="3" t="s">
        <v>20</v>
      </c>
      <c r="J2618" s="3">
        <v>7.53</v>
      </c>
      <c r="K2618" s="3" t="s">
        <v>21</v>
      </c>
      <c r="L2618" s="3" t="s">
        <v>10340</v>
      </c>
      <c r="M2618" s="3" t="s">
        <v>9960</v>
      </c>
      <c r="N2618" s="6" t="str">
        <f>HYPERLINK("C:\Users\alexa\YandexDisk\Книги\Программирование\Python\Python_Чистый_код_для_продолжающих_2022_Эл_Свейгарт.pdf","Python_Чистый_код_для_продолжающих_2022_Эл_Свейгарт.pdf")</f>
        <v>Python_Чистый_код_для_продолжающих_2022_Эл_Свейгарт.pdf</v>
      </c>
      <c r="O2618" s="3" t="s">
        <v>10341</v>
      </c>
    </row>
    <row r="2619" spans="1:15" ht="151.80000000000001" x14ac:dyDescent="0.3">
      <c r="A2619" s="4">
        <v>2618</v>
      </c>
      <c r="B2619" s="5" t="s">
        <v>10342</v>
      </c>
      <c r="C2619" s="5"/>
      <c r="D2619" s="5"/>
      <c r="E2619" s="5"/>
      <c r="F2619" s="5" t="s">
        <v>9957</v>
      </c>
      <c r="G2619" s="5" t="s">
        <v>8458</v>
      </c>
      <c r="H2619" s="5" t="s">
        <v>9958</v>
      </c>
      <c r="I2619" s="5" t="s">
        <v>280</v>
      </c>
      <c r="J2619" s="5">
        <v>3.16</v>
      </c>
      <c r="K2619" s="5" t="s">
        <v>21</v>
      </c>
      <c r="L2619" s="5" t="s">
        <v>10343</v>
      </c>
      <c r="M2619" s="5" t="s">
        <v>9960</v>
      </c>
      <c r="N2619" s="7" t="str">
        <f>HYPERLINK("C:\Users\alexa\YandexDisk\Книги\Программирование\Python\Scaling_Python_with_Ray_Adventures_in_Cloud_and_Serverless_Patterns.epub","Scaling_Python_with_Ray_Adventures_in_Cloud_and_Serverless_Patterns.epub")</f>
        <v>Scaling_Python_with_Ray_Adventures_in_Cloud_and_Serverless_Patterns.epub</v>
      </c>
      <c r="O2619" s="5" t="s">
        <v>10344</v>
      </c>
    </row>
    <row r="2620" spans="1:15" ht="151.80000000000001" x14ac:dyDescent="0.3">
      <c r="A2620" s="2">
        <v>2619</v>
      </c>
      <c r="B2620" s="3" t="s">
        <v>10345</v>
      </c>
      <c r="C2620" s="3" t="s">
        <v>10346</v>
      </c>
      <c r="D2620" s="3" t="s">
        <v>71</v>
      </c>
      <c r="E2620" s="3" t="s">
        <v>227</v>
      </c>
      <c r="F2620" s="3" t="s">
        <v>9957</v>
      </c>
      <c r="G2620" s="3" t="s">
        <v>8458</v>
      </c>
      <c r="H2620" s="3" t="s">
        <v>9958</v>
      </c>
      <c r="I2620" s="3" t="s">
        <v>20</v>
      </c>
      <c r="J2620" s="3">
        <v>7.56</v>
      </c>
      <c r="K2620" s="3" t="s">
        <v>21</v>
      </c>
      <c r="L2620" s="3" t="s">
        <v>10347</v>
      </c>
      <c r="M2620" s="3" t="s">
        <v>9960</v>
      </c>
      <c r="N2620" s="6" t="str">
        <f>HYPERLINK("C:\Users\alexa\YandexDisk\Книги\Программирование\Python\Simulation with Python Develop Simula....pdf","Simulation with Python Develop Simula....pdf")</f>
        <v>Simulation with Python Develop Simula....pdf</v>
      </c>
      <c r="O2620" s="3" t="s">
        <v>10348</v>
      </c>
    </row>
    <row r="2621" spans="1:15" ht="179.4" x14ac:dyDescent="0.3">
      <c r="A2621" s="4">
        <v>2620</v>
      </c>
      <c r="B2621" s="5" t="s">
        <v>10349</v>
      </c>
      <c r="C2621" s="5" t="s">
        <v>10346</v>
      </c>
      <c r="D2621" s="5" t="s">
        <v>71</v>
      </c>
      <c r="E2621" s="5" t="s">
        <v>227</v>
      </c>
      <c r="F2621" s="5" t="s">
        <v>9957</v>
      </c>
      <c r="G2621" s="5" t="s">
        <v>8458</v>
      </c>
      <c r="H2621" s="5" t="s">
        <v>9958</v>
      </c>
      <c r="I2621" s="5" t="s">
        <v>20</v>
      </c>
      <c r="J2621" s="5">
        <v>7.68</v>
      </c>
      <c r="K2621" s="5" t="s">
        <v>21</v>
      </c>
      <c r="L2621" s="5" t="s">
        <v>10350</v>
      </c>
      <c r="M2621" s="5" t="s">
        <v>9960</v>
      </c>
      <c r="N2621" s="7" t="str">
        <f>HYPERLINK("C:\Users\alexa\YandexDisk\Книги\Программирование\Python\Simulation.with.Python.pdf","Simulation.with.Python.pdf")</f>
        <v>Simulation.with.Python.pdf</v>
      </c>
      <c r="O2621" s="5" t="s">
        <v>10351</v>
      </c>
    </row>
    <row r="2622" spans="1:15" ht="179.4" x14ac:dyDescent="0.3">
      <c r="A2622" s="2">
        <v>2621</v>
      </c>
      <c r="B2622" s="3" t="s">
        <v>10352</v>
      </c>
      <c r="C2622" s="3" t="s">
        <v>10353</v>
      </c>
      <c r="D2622" s="3" t="s">
        <v>71</v>
      </c>
      <c r="E2622" s="3" t="s">
        <v>372</v>
      </c>
      <c r="F2622" s="3" t="s">
        <v>9957</v>
      </c>
      <c r="G2622" s="3" t="s">
        <v>8458</v>
      </c>
      <c r="H2622" s="3" t="s">
        <v>9958</v>
      </c>
      <c r="I2622" s="3" t="s">
        <v>20</v>
      </c>
      <c r="J2622" s="3">
        <v>1.5</v>
      </c>
      <c r="K2622" s="3" t="s">
        <v>21</v>
      </c>
      <c r="L2622" s="3" t="s">
        <v>10354</v>
      </c>
      <c r="M2622" s="3" t="s">
        <v>9960</v>
      </c>
      <c r="N2622" s="6" t="str">
        <f>HYPERLINK("C:\Users\alexa\YandexDisk\Книги\Программирование\Python\Test your skills in Python.pdf","Test your skills in Python.pdf")</f>
        <v>Test your skills in Python.pdf</v>
      </c>
      <c r="O2622" s="3" t="s">
        <v>10355</v>
      </c>
    </row>
    <row r="2623" spans="1:15" ht="179.4" x14ac:dyDescent="0.3">
      <c r="A2623" s="4">
        <v>2622</v>
      </c>
      <c r="B2623" s="5" t="s">
        <v>10356</v>
      </c>
      <c r="C2623" s="5" t="s">
        <v>10357</v>
      </c>
      <c r="D2623" s="5"/>
      <c r="E2623" s="5" t="s">
        <v>269</v>
      </c>
      <c r="F2623" s="5" t="s">
        <v>9957</v>
      </c>
      <c r="G2623" s="5" t="s">
        <v>8458</v>
      </c>
      <c r="H2623" s="5" t="s">
        <v>9958</v>
      </c>
      <c r="I2623" s="5" t="s">
        <v>20</v>
      </c>
      <c r="J2623" s="5">
        <v>6.34</v>
      </c>
      <c r="K2623" s="5" t="s">
        <v>21</v>
      </c>
      <c r="L2623" s="5" t="s">
        <v>10358</v>
      </c>
      <c r="M2623" s="5" t="s">
        <v>9960</v>
      </c>
      <c r="N2623" s="7" t="str">
        <f>HYPERLINK("C:\Users\alexa\YandexDisk\Книги\Программирование\Python\The Quick Python Book, Fourth Edition.pdf","The Quick Python Book, Fourth Edition.pdf")</f>
        <v>The Quick Python Book, Fourth Edition.pdf</v>
      </c>
      <c r="O2623" s="5" t="s">
        <v>10359</v>
      </c>
    </row>
    <row r="2624" spans="1:15" ht="165.6" x14ac:dyDescent="0.3">
      <c r="A2624" s="2">
        <v>2623</v>
      </c>
      <c r="B2624" s="3" t="s">
        <v>10360</v>
      </c>
      <c r="C2624" s="3" t="s">
        <v>2771</v>
      </c>
      <c r="D2624" s="3"/>
      <c r="E2624" s="3"/>
      <c r="F2624" s="3" t="s">
        <v>9957</v>
      </c>
      <c r="G2624" s="3" t="s">
        <v>8458</v>
      </c>
      <c r="H2624" s="3" t="s">
        <v>9958</v>
      </c>
      <c r="I2624" s="3" t="s">
        <v>20</v>
      </c>
      <c r="J2624" s="3">
        <v>10.64</v>
      </c>
      <c r="K2624" s="3" t="s">
        <v>21</v>
      </c>
      <c r="L2624" s="3" t="s">
        <v>10361</v>
      </c>
      <c r="M2624" s="3" t="s">
        <v>9960</v>
      </c>
      <c r="N2624" s="6" t="str">
        <f>HYPERLINK("C:\Users\alexa\YandexDisk\Книги\Программирование\Python\The_Recursive_Book_of_Recursion_Ace_the_Coding_Interview_with_Py.pdf","The_Recursive_Book_of_Recursion_Ace_the_Coding_Interview_with_Py.pdf")</f>
        <v>The_Recursive_Book_of_Recursion_Ace_the_Coding_Interview_with_Py.pdf</v>
      </c>
      <c r="O2624" s="3" t="s">
        <v>10362</v>
      </c>
    </row>
    <row r="2625" spans="1:15" ht="151.80000000000001" x14ac:dyDescent="0.3">
      <c r="A2625" s="4">
        <v>2624</v>
      </c>
      <c r="B2625" s="5" t="s">
        <v>10363</v>
      </c>
      <c r="C2625" s="5" t="s">
        <v>10364</v>
      </c>
      <c r="D2625" s="5" t="s">
        <v>17</v>
      </c>
      <c r="E2625" s="5" t="s">
        <v>10365</v>
      </c>
      <c r="F2625" s="5" t="s">
        <v>9957</v>
      </c>
      <c r="G2625" s="5" t="s">
        <v>8458</v>
      </c>
      <c r="H2625" s="5" t="s">
        <v>9958</v>
      </c>
      <c r="I2625" s="5" t="s">
        <v>20</v>
      </c>
      <c r="J2625" s="5">
        <v>1.04</v>
      </c>
      <c r="K2625" s="5" t="s">
        <v>21</v>
      </c>
      <c r="L2625" s="5" t="s">
        <v>10366</v>
      </c>
      <c r="M2625" s="5" t="s">
        <v>9960</v>
      </c>
      <c r="N2625" s="7" t="str">
        <f>HYPERLINK("C:\Users\alexa\YandexDisk\Книги\Программирование\Python\Think Python. How to Think Like a Computer Scientist [2021] Allen Downey.pdf","Think Python. How to Think Like a Computer Scientist [2021] Allen Downey.pdf")</f>
        <v>Think Python. How to Think Like a Computer Scientist [2021] Allen Downey.pdf</v>
      </c>
      <c r="O2625" s="5" t="s">
        <v>10367</v>
      </c>
    </row>
    <row r="2626" spans="1:15" ht="165.6" x14ac:dyDescent="0.3">
      <c r="A2626" s="2">
        <v>2625</v>
      </c>
      <c r="B2626" s="3" t="s">
        <v>10368</v>
      </c>
      <c r="C2626" s="3" t="s">
        <v>10369</v>
      </c>
      <c r="D2626" s="3" t="s">
        <v>59</v>
      </c>
      <c r="E2626" s="3" t="s">
        <v>227</v>
      </c>
      <c r="F2626" s="3" t="s">
        <v>9957</v>
      </c>
      <c r="G2626" s="3" t="s">
        <v>8458</v>
      </c>
      <c r="H2626" s="3" t="s">
        <v>9958</v>
      </c>
      <c r="I2626" s="3" t="s">
        <v>20</v>
      </c>
      <c r="J2626" s="3">
        <v>2.31</v>
      </c>
      <c r="K2626" s="3" t="s">
        <v>21</v>
      </c>
      <c r="L2626" s="3" t="s">
        <v>10370</v>
      </c>
      <c r="M2626" s="3" t="s">
        <v>9960</v>
      </c>
      <c r="N2626" s="6" t="str">
        <f>HYPERLINK("C:\Users\alexa\YandexDisk\Книги\Программирование\Python\Thinking_in_Pandas_How_to_Use_the_Python_Data_Analysis_Library.pdf","Thinking_in_Pandas_How_to_Use_the_Python_Data_Analysis_Library.pdf")</f>
        <v>Thinking_in_Pandas_How_to_Use_the_Python_Data_Analysis_Library.pdf</v>
      </c>
      <c r="O2626" s="3" t="s">
        <v>10371</v>
      </c>
    </row>
    <row r="2627" spans="1:15" ht="207" x14ac:dyDescent="0.3">
      <c r="A2627" s="4">
        <v>2626</v>
      </c>
      <c r="B2627" s="5" t="s">
        <v>10372</v>
      </c>
      <c r="C2627" s="5" t="s">
        <v>10373</v>
      </c>
      <c r="D2627" s="5" t="s">
        <v>59</v>
      </c>
      <c r="E2627" s="5" t="s">
        <v>102</v>
      </c>
      <c r="F2627" s="5" t="s">
        <v>9957</v>
      </c>
      <c r="G2627" s="5" t="s">
        <v>8458</v>
      </c>
      <c r="H2627" s="5" t="s">
        <v>9958</v>
      </c>
      <c r="I2627" s="5" t="s">
        <v>20</v>
      </c>
      <c r="J2627" s="5">
        <v>2.38</v>
      </c>
      <c r="K2627" s="5" t="s">
        <v>21</v>
      </c>
      <c r="L2627" s="5" t="s">
        <v>10374</v>
      </c>
      <c r="M2627" s="5" t="s">
        <v>9960</v>
      </c>
      <c r="N2627" s="7" t="str">
        <f>HYPERLINK("C:\Users\alexa\YandexDisk\Книги\Программирование\Python\Twisted на Python.pdf","Twisted на Python.pdf")</f>
        <v>Twisted на Python.pdf</v>
      </c>
      <c r="O2627" s="5" t="s">
        <v>10375</v>
      </c>
    </row>
    <row r="2628" spans="1:15" ht="151.80000000000001" x14ac:dyDescent="0.3">
      <c r="A2628" s="2">
        <v>2627</v>
      </c>
      <c r="B2628" s="3" t="s">
        <v>10376</v>
      </c>
      <c r="C2628" s="3" t="s">
        <v>10377</v>
      </c>
      <c r="D2628" s="3" t="s">
        <v>59</v>
      </c>
      <c r="E2628" s="3" t="s">
        <v>442</v>
      </c>
      <c r="F2628" s="3" t="s">
        <v>9957</v>
      </c>
      <c r="G2628" s="3" t="s">
        <v>8458</v>
      </c>
      <c r="H2628" s="3" t="s">
        <v>9958</v>
      </c>
      <c r="I2628" s="3" t="s">
        <v>20</v>
      </c>
      <c r="J2628" s="3">
        <v>5.88</v>
      </c>
      <c r="K2628" s="3" t="s">
        <v>21</v>
      </c>
      <c r="L2628" s="3" t="s">
        <v>10378</v>
      </c>
      <c r="M2628" s="3" t="s">
        <v>9960</v>
      </c>
      <c r="N2628" s="6" t="str">
        <f>HYPERLINK("C:\Users\alexa\YandexDisk\Книги\Программирование\Python\Using_Asyncio_Pyth.pdf","Using_Asyncio_Pyth.pdf")</f>
        <v>Using_Asyncio_Pyth.pdf</v>
      </c>
      <c r="O2628" s="3" t="s">
        <v>10379</v>
      </c>
    </row>
    <row r="2629" spans="1:15" ht="220.8" x14ac:dyDescent="0.3">
      <c r="A2629" s="4">
        <v>2628</v>
      </c>
      <c r="B2629" s="5" t="s">
        <v>10380</v>
      </c>
      <c r="C2629" s="5" t="s">
        <v>10381</v>
      </c>
      <c r="D2629" s="5" t="s">
        <v>59</v>
      </c>
      <c r="E2629" s="5" t="s">
        <v>10382</v>
      </c>
      <c r="F2629" s="5" t="s">
        <v>9957</v>
      </c>
      <c r="G2629" s="5" t="s">
        <v>8458</v>
      </c>
      <c r="H2629" s="5" t="s">
        <v>9958</v>
      </c>
      <c r="I2629" s="5" t="s">
        <v>280</v>
      </c>
      <c r="J2629" s="5">
        <v>7.55</v>
      </c>
      <c r="K2629" s="5" t="s">
        <v>21</v>
      </c>
      <c r="L2629" s="5" t="s">
        <v>10383</v>
      </c>
      <c r="M2629" s="5" t="s">
        <v>9960</v>
      </c>
      <c r="N2629" s="7" t="str">
        <f>HYPERLINK("C:\Users\alexa\YandexDisk\Книги\Программирование\Python\Zimmerman,_RL_Python_Debugging_Handbook_Independent_2020.epub","Zimmerman,_RL_Python_Debugging_Handbook_Independent_2020.epub")</f>
        <v>Zimmerman,_RL_Python_Debugging_Handbook_Independent_2020.epub</v>
      </c>
      <c r="O2629" s="5" t="s">
        <v>10384</v>
      </c>
    </row>
    <row r="2630" spans="1:15" ht="165.6" x14ac:dyDescent="0.3">
      <c r="A2630" s="2">
        <v>2629</v>
      </c>
      <c r="B2630" s="3" t="s">
        <v>10299</v>
      </c>
      <c r="C2630" s="3" t="s">
        <v>8511</v>
      </c>
      <c r="D2630" s="3" t="s">
        <v>77</v>
      </c>
      <c r="E2630" s="3" t="s">
        <v>10300</v>
      </c>
      <c r="F2630" s="3" t="s">
        <v>9957</v>
      </c>
      <c r="G2630" s="3" t="s">
        <v>8458</v>
      </c>
      <c r="H2630" s="3" t="s">
        <v>9958</v>
      </c>
      <c r="I2630" s="3" t="s">
        <v>20</v>
      </c>
      <c r="J2630" s="3">
        <v>26.9</v>
      </c>
      <c r="K2630" s="3" t="s">
        <v>21</v>
      </c>
      <c r="L2630" s="3" t="s">
        <v>10385</v>
      </c>
      <c r="M2630" s="3" t="s">
        <v>9960</v>
      </c>
      <c r="N2630" s="6" t="str">
        <f>HYPERLINK("C:\Users\alexa\YandexDisk\Книги\Программирование\Python\[Paul_Deitel,_Dr._Harvey_Deitel]_Python_for_Progra.pdf","[Paul_Deitel,_Dr._Harvey_Deitel]_Python_for_Progra.pdf")</f>
        <v>[Paul_Deitel,_Dr._Harvey_Deitel]_Python_for_Progra.pdf</v>
      </c>
      <c r="O2630" s="3" t="s">
        <v>10386</v>
      </c>
    </row>
    <row r="2631" spans="1:15" ht="165.6" x14ac:dyDescent="0.3">
      <c r="A2631" s="4">
        <v>2630</v>
      </c>
      <c r="B2631" s="5" t="s">
        <v>10387</v>
      </c>
      <c r="C2631" s="5" t="s">
        <v>10388</v>
      </c>
      <c r="D2631" s="5" t="s">
        <v>27</v>
      </c>
      <c r="E2631" s="5" t="s">
        <v>18</v>
      </c>
      <c r="F2631" s="5" t="s">
        <v>9957</v>
      </c>
      <c r="G2631" s="5" t="s">
        <v>8458</v>
      </c>
      <c r="H2631" s="5" t="s">
        <v>9958</v>
      </c>
      <c r="I2631" s="5" t="s">
        <v>20</v>
      </c>
      <c r="J2631" s="5">
        <v>2.66</v>
      </c>
      <c r="K2631" s="5" t="s">
        <v>21</v>
      </c>
      <c r="L2631" s="5" t="s">
        <v>10389</v>
      </c>
      <c r="M2631" s="5" t="s">
        <v>9960</v>
      </c>
      <c r="N2631" s="7" t="str">
        <f>HYPERLINK("C:\Users\alexa\YandexDisk\Книги\Программирование\Python\_Python_za_7_dney.pdf","_Python_za_7_dney.pdf")</f>
        <v>_Python_za_7_dney.pdf</v>
      </c>
      <c r="O2631" s="5" t="s">
        <v>10390</v>
      </c>
    </row>
    <row r="2632" spans="1:15" ht="151.80000000000001" x14ac:dyDescent="0.3">
      <c r="A2632" s="2">
        <v>2631</v>
      </c>
      <c r="B2632" s="3" t="s">
        <v>10391</v>
      </c>
      <c r="C2632" s="3" t="s">
        <v>10392</v>
      </c>
      <c r="D2632" s="3" t="s">
        <v>17</v>
      </c>
      <c r="E2632" s="3" t="s">
        <v>402</v>
      </c>
      <c r="F2632" s="3" t="s">
        <v>9957</v>
      </c>
      <c r="G2632" s="3" t="s">
        <v>8458</v>
      </c>
      <c r="H2632" s="3" t="s">
        <v>9958</v>
      </c>
      <c r="I2632" s="3" t="s">
        <v>20</v>
      </c>
      <c r="J2632" s="3">
        <v>10.65</v>
      </c>
      <c r="K2632" s="3" t="s">
        <v>21</v>
      </c>
      <c r="L2632" s="3" t="s">
        <v>10393</v>
      </c>
      <c r="M2632" s="3" t="s">
        <v>9960</v>
      </c>
      <c r="N2632" s="6" t="str">
        <f>HYPERLINK("C:\Users\alexa\YandexDisk\Книги\Программирование\Python\«Непрактичный»_Python_Занимательные_проекты 2021.pdf","«Непрактичный»_Python_Занимательные_проекты 2021.pdf")</f>
        <v>«Непрактичный»_Python_Занимательные_проекты 2021.pdf</v>
      </c>
      <c r="O2632" s="3" t="s">
        <v>10394</v>
      </c>
    </row>
    <row r="2633" spans="1:15" ht="165.6" x14ac:dyDescent="0.3">
      <c r="A2633" s="4">
        <v>2632</v>
      </c>
      <c r="B2633" s="5" t="s">
        <v>10395</v>
      </c>
      <c r="C2633" s="5" t="s">
        <v>10396</v>
      </c>
      <c r="D2633" s="5" t="s">
        <v>71</v>
      </c>
      <c r="E2633" s="5" t="s">
        <v>3305</v>
      </c>
      <c r="F2633" s="5" t="s">
        <v>9957</v>
      </c>
      <c r="G2633" s="5" t="s">
        <v>8458</v>
      </c>
      <c r="H2633" s="5" t="s">
        <v>9958</v>
      </c>
      <c r="I2633" s="5" t="s">
        <v>20</v>
      </c>
      <c r="J2633" s="5">
        <v>7.71</v>
      </c>
      <c r="K2633" s="5" t="s">
        <v>21</v>
      </c>
      <c r="L2633" s="5" t="s">
        <v>10397</v>
      </c>
      <c r="M2633" s="5" t="s">
        <v>9960</v>
      </c>
      <c r="N2633" s="7" t="str">
        <f>HYPERLINK("C:\Users\alexa\YandexDisk\Книги\Программирование\Python\Автоматизация предприятия с помощью Python.pdf","Автоматизация предприятия с помощью Python.pdf")</f>
        <v>Автоматизация предприятия с помощью Python.pdf</v>
      </c>
      <c r="O2633" s="5" t="s">
        <v>10398</v>
      </c>
    </row>
    <row r="2634" spans="1:15" ht="165.6" x14ac:dyDescent="0.3">
      <c r="A2634" s="2">
        <v>2633</v>
      </c>
      <c r="B2634" s="3" t="s">
        <v>10399</v>
      </c>
      <c r="C2634" s="3"/>
      <c r="D2634" s="3"/>
      <c r="E2634" s="3"/>
      <c r="F2634" s="3" t="s">
        <v>9957</v>
      </c>
      <c r="G2634" s="3" t="s">
        <v>8458</v>
      </c>
      <c r="H2634" s="3" t="s">
        <v>9958</v>
      </c>
      <c r="I2634" s="3" t="s">
        <v>20</v>
      </c>
      <c r="J2634" s="3">
        <v>20.16</v>
      </c>
      <c r="K2634" s="3" t="s">
        <v>21</v>
      </c>
      <c r="L2634" s="3" t="s">
        <v>10400</v>
      </c>
      <c r="M2634" s="3" t="s">
        <v>9960</v>
      </c>
      <c r="N2634" s="6" t="str">
        <f>HYPERLINK("C:\Users\alexa\YandexDisk\Книги\Программирование\Python\Автоматизация рутинных задач при помощи Python RUS.pdf","Автоматизация рутинных задач при помощи Python RUS.pdf")</f>
        <v>Автоматизация рутинных задач при помощи Python RUS.pdf</v>
      </c>
      <c r="O2634" s="3" t="s">
        <v>10401</v>
      </c>
    </row>
    <row r="2635" spans="1:15" ht="179.4" x14ac:dyDescent="0.3">
      <c r="A2635" s="4">
        <v>2634</v>
      </c>
      <c r="B2635" s="5" t="s">
        <v>10008</v>
      </c>
      <c r="C2635" s="5" t="s">
        <v>10009</v>
      </c>
      <c r="D2635" s="5" t="s">
        <v>50</v>
      </c>
      <c r="E2635" s="5" t="s">
        <v>18</v>
      </c>
      <c r="F2635" s="5" t="s">
        <v>9957</v>
      </c>
      <c r="G2635" s="5" t="s">
        <v>8458</v>
      </c>
      <c r="H2635" s="5" t="s">
        <v>9958</v>
      </c>
      <c r="I2635" s="5" t="s">
        <v>20</v>
      </c>
      <c r="J2635" s="5">
        <v>19.32</v>
      </c>
      <c r="K2635" s="5" t="s">
        <v>21</v>
      </c>
      <c r="L2635" s="5" t="s">
        <v>10402</v>
      </c>
      <c r="M2635" s="5" t="s">
        <v>9960</v>
      </c>
      <c r="N2635" s="7" t="str">
        <f>HYPERLINK("C:\Users\alexa\YandexDisk\Книги\Программирование\Python\Автостопом по Python 2017.pdf","Автостопом по Python 2017.pdf")</f>
        <v>Автостопом по Python 2017.pdf</v>
      </c>
      <c r="O2635" s="5" t="s">
        <v>10403</v>
      </c>
    </row>
    <row r="2636" spans="1:15" ht="193.2" x14ac:dyDescent="0.3">
      <c r="A2636" s="2">
        <v>2635</v>
      </c>
      <c r="B2636" s="3" t="s">
        <v>10404</v>
      </c>
      <c r="C2636" s="3" t="s">
        <v>10405</v>
      </c>
      <c r="D2636" s="3" t="s">
        <v>109</v>
      </c>
      <c r="E2636" s="3" t="s">
        <v>10406</v>
      </c>
      <c r="F2636" s="3" t="s">
        <v>9957</v>
      </c>
      <c r="G2636" s="3" t="s">
        <v>8458</v>
      </c>
      <c r="H2636" s="3" t="s">
        <v>9958</v>
      </c>
      <c r="I2636" s="3" t="s">
        <v>20</v>
      </c>
      <c r="J2636" s="3">
        <v>19.13</v>
      </c>
      <c r="K2636" s="3" t="s">
        <v>21</v>
      </c>
      <c r="L2636" s="3" t="s">
        <v>10407</v>
      </c>
      <c r="M2636" s="3" t="s">
        <v>9960</v>
      </c>
      <c r="N2636" s="6" t="str">
        <f>HYPERLINK("C:\Users\alexa\YandexDisk\Книги\Программирование\Python\Алгоритмы работы с мультимедийными данными в telegram-боте.pdf","Алгоритмы работы с мультимедийными данными в telegram-боте.pdf")</f>
        <v>Алгоритмы работы с мультимедийными данными в telegram-боте.pdf</v>
      </c>
      <c r="O2636" s="3" t="s">
        <v>10408</v>
      </c>
    </row>
    <row r="2637" spans="1:15" ht="207" x14ac:dyDescent="0.3">
      <c r="A2637" s="4">
        <v>2636</v>
      </c>
      <c r="B2637" s="5" t="s">
        <v>9966</v>
      </c>
      <c r="C2637" s="5" t="s">
        <v>10409</v>
      </c>
      <c r="D2637" s="5" t="s">
        <v>27</v>
      </c>
      <c r="E2637" s="5" t="s">
        <v>18</v>
      </c>
      <c r="F2637" s="5" t="s">
        <v>9957</v>
      </c>
      <c r="G2637" s="5" t="s">
        <v>8458</v>
      </c>
      <c r="H2637" s="5" t="s">
        <v>9958</v>
      </c>
      <c r="I2637" s="5" t="s">
        <v>20</v>
      </c>
      <c r="J2637" s="5">
        <v>4.5599999999999996</v>
      </c>
      <c r="K2637" s="5" t="s">
        <v>21</v>
      </c>
      <c r="L2637" s="5" t="s">
        <v>10410</v>
      </c>
      <c r="M2637" s="5" t="s">
        <v>9960</v>
      </c>
      <c r="N2637" s="7" t="str">
        <f>HYPERLINK("C:\Users\alexa\YandexDisk\Книги\Программирование\Python\Берман К. Основы Python для Data Science 2023.pdf","Берман К. Основы Python для Data Science 2023.pdf")</f>
        <v>Берман К. Основы Python для Data Science 2023.pdf</v>
      </c>
      <c r="O2637" s="5" t="s">
        <v>10411</v>
      </c>
    </row>
    <row r="2638" spans="1:15" ht="165.6" x14ac:dyDescent="0.3">
      <c r="A2638" s="2">
        <v>2637</v>
      </c>
      <c r="B2638" s="3" t="s">
        <v>10412</v>
      </c>
      <c r="C2638" s="3" t="s">
        <v>1126</v>
      </c>
      <c r="D2638" s="3" t="s">
        <v>77</v>
      </c>
      <c r="E2638" s="3" t="s">
        <v>1127</v>
      </c>
      <c r="F2638" s="3" t="s">
        <v>9957</v>
      </c>
      <c r="G2638" s="3" t="s">
        <v>8458</v>
      </c>
      <c r="H2638" s="3" t="s">
        <v>9958</v>
      </c>
      <c r="I2638" s="3" t="s">
        <v>20</v>
      </c>
      <c r="J2638" s="3">
        <v>1.73</v>
      </c>
      <c r="K2638" s="3" t="s">
        <v>21</v>
      </c>
      <c r="L2638" s="3" t="s">
        <v>10413</v>
      </c>
      <c r="M2638" s="3" t="s">
        <v>9960</v>
      </c>
      <c r="N2638" s="6" t="str">
        <f>HYPERLINK("C:\Users\alexa\YandexDisk\Книги\Программирование\Python\Библиотека Matplotlib.pdf","Библиотека Matplotlib.pdf")</f>
        <v>Библиотека Matplotlib.pdf</v>
      </c>
      <c r="O2638" s="3" t="s">
        <v>10414</v>
      </c>
    </row>
    <row r="2639" spans="1:15" ht="151.80000000000001" x14ac:dyDescent="0.3">
      <c r="A2639" s="4">
        <v>2638</v>
      </c>
      <c r="B2639" s="5" t="s">
        <v>10415</v>
      </c>
      <c r="C2639" s="5" t="s">
        <v>10416</v>
      </c>
      <c r="D2639" s="5" t="s">
        <v>77</v>
      </c>
      <c r="E2639" s="5" t="s">
        <v>18</v>
      </c>
      <c r="F2639" s="5" t="s">
        <v>9957</v>
      </c>
      <c r="G2639" s="5" t="s">
        <v>8458</v>
      </c>
      <c r="H2639" s="5" t="s">
        <v>9958</v>
      </c>
      <c r="I2639" s="5" t="s">
        <v>20</v>
      </c>
      <c r="J2639" s="5">
        <v>6.1</v>
      </c>
      <c r="K2639" s="5" t="s">
        <v>21</v>
      </c>
      <c r="L2639" s="5" t="s">
        <v>10417</v>
      </c>
      <c r="M2639" s="5" t="s">
        <v>9960</v>
      </c>
      <c r="N2639" s="7" t="str">
        <f>HYPERLINK("C:\Users\alexa\YandexDisk\Книги\Программирование\Python\Библиотека_программиста_Наоми_Седер_Python_Экспресс_курс_2019.pdf","Библиотека_программиста_Наоми_Седер_Python_Экспресс_курс_2019.pdf")</f>
        <v>Библиотека_программиста_Наоми_Седер_Python_Экспресс_курс_2019.pdf</v>
      </c>
      <c r="O2639" s="5" t="s">
        <v>10418</v>
      </c>
    </row>
    <row r="2640" spans="1:15" ht="165.6" x14ac:dyDescent="0.3">
      <c r="A2640" s="2">
        <v>2639</v>
      </c>
      <c r="B2640" s="3" t="s">
        <v>10419</v>
      </c>
      <c r="C2640" s="3" t="s">
        <v>10236</v>
      </c>
      <c r="D2640" s="3" t="s">
        <v>71</v>
      </c>
      <c r="E2640" s="3" t="s">
        <v>18</v>
      </c>
      <c r="F2640" s="3" t="s">
        <v>9957</v>
      </c>
      <c r="G2640" s="3" t="s">
        <v>8458</v>
      </c>
      <c r="H2640" s="3" t="s">
        <v>9958</v>
      </c>
      <c r="I2640" s="3" t="s">
        <v>20</v>
      </c>
      <c r="J2640" s="3">
        <v>8.41</v>
      </c>
      <c r="K2640" s="3" t="s">
        <v>21</v>
      </c>
      <c r="L2640" s="3" t="s">
        <v>10420</v>
      </c>
      <c r="M2640" s="3" t="s">
        <v>9960</v>
      </c>
      <c r="N2640" s="6" t="str">
        <f>HYPERLINK("C:\Users\alexa\YandexDisk\Книги\Программирование\Python\Большая книга проектов Python.pdf","Большая книга проектов Python.pdf")</f>
        <v>Большая книга проектов Python.pdf</v>
      </c>
      <c r="O2640" s="3" t="s">
        <v>10421</v>
      </c>
    </row>
    <row r="2641" spans="1:15" ht="165.6" x14ac:dyDescent="0.3">
      <c r="A2641" s="4">
        <v>2640</v>
      </c>
      <c r="B2641" s="5" t="s">
        <v>10422</v>
      </c>
      <c r="C2641" s="5" t="s">
        <v>9359</v>
      </c>
      <c r="D2641" s="5" t="s">
        <v>17</v>
      </c>
      <c r="E2641" s="5" t="s">
        <v>1023</v>
      </c>
      <c r="F2641" s="5" t="s">
        <v>9957</v>
      </c>
      <c r="G2641" s="5" t="s">
        <v>8458</v>
      </c>
      <c r="H2641" s="5" t="s">
        <v>9958</v>
      </c>
      <c r="I2641" s="5" t="s">
        <v>20</v>
      </c>
      <c r="J2641" s="5">
        <v>9.81</v>
      </c>
      <c r="K2641" s="5" t="s">
        <v>21</v>
      </c>
      <c r="L2641" s="5" t="s">
        <v>10423</v>
      </c>
      <c r="M2641" s="5" t="s">
        <v>9960</v>
      </c>
      <c r="N2641" s="7" t="str">
        <f>HYPERLINK("C:\Users\alexa\YandexDisk\Книги\Программирование\Python\Брайсон_Пэйн_Python_для_детей_и_родителей_2_е_издание.pdf","Брайсон_Пэйн_Python_для_детей_и_родителей_2_е_издание.pdf")</f>
        <v>Брайсон_Пэйн_Python_для_детей_и_родителей_2_е_издание.pdf</v>
      </c>
      <c r="O2641" s="5" t="s">
        <v>10424</v>
      </c>
    </row>
    <row r="2642" spans="1:15" ht="165.6" x14ac:dyDescent="0.3">
      <c r="A2642" s="2">
        <v>2641</v>
      </c>
      <c r="B2642" s="3" t="s">
        <v>10425</v>
      </c>
      <c r="C2642" s="3" t="s">
        <v>10426</v>
      </c>
      <c r="D2642" s="3" t="s">
        <v>77</v>
      </c>
      <c r="E2642" s="3" t="s">
        <v>18</v>
      </c>
      <c r="F2642" s="3" t="s">
        <v>9957</v>
      </c>
      <c r="G2642" s="3" t="s">
        <v>8458</v>
      </c>
      <c r="H2642" s="3" t="s">
        <v>9958</v>
      </c>
      <c r="I2642" s="3" t="s">
        <v>20</v>
      </c>
      <c r="J2642" s="3">
        <v>9.42</v>
      </c>
      <c r="K2642" s="3" t="s">
        <v>21</v>
      </c>
      <c r="L2642" s="3" t="s">
        <v>10427</v>
      </c>
      <c r="M2642" s="3" t="s">
        <v>9960</v>
      </c>
      <c r="N2642" s="6" t="str">
        <f>HYPERLINK("C:\Users\alexa\YandexDisk\Книги\Программирование\Python\Вероятностное_программирование_на_Python.pdf","Вероятностное_программирование_на_Python.pdf")</f>
        <v>Вероятностное_программирование_на_Python.pdf</v>
      </c>
      <c r="O2642" s="3" t="s">
        <v>10428</v>
      </c>
    </row>
    <row r="2643" spans="1:15" ht="165.6" x14ac:dyDescent="0.3">
      <c r="A2643" s="4">
        <v>2642</v>
      </c>
      <c r="B2643" s="5" t="s">
        <v>10429</v>
      </c>
      <c r="C2643" s="5" t="s">
        <v>10430</v>
      </c>
      <c r="D2643" s="5" t="s">
        <v>600</v>
      </c>
      <c r="E2643" s="5" t="s">
        <v>336</v>
      </c>
      <c r="F2643" s="5" t="s">
        <v>9957</v>
      </c>
      <c r="G2643" s="5" t="s">
        <v>8458</v>
      </c>
      <c r="H2643" s="5" t="s">
        <v>9958</v>
      </c>
      <c r="I2643" s="5" t="s">
        <v>20</v>
      </c>
      <c r="J2643" s="5">
        <v>8.69</v>
      </c>
      <c r="K2643" s="5" t="s">
        <v>21</v>
      </c>
      <c r="L2643" s="5" t="s">
        <v>10431</v>
      </c>
      <c r="M2643" s="5" t="s">
        <v>9960</v>
      </c>
      <c r="N2643" s="7" t="str">
        <f>HYPERLINK("C:\Users\alexa\YandexDisk\Книги\Программирование\Python\Весь Python Самое актуальное и исчерпывающее руководство.pdf","Весь Python Самое актуальное и исчерпывающее руководство.pdf")</f>
        <v>Весь Python Самое актуальное и исчерпывающее руководство.pdf</v>
      </c>
      <c r="O2643" s="5" t="s">
        <v>10432</v>
      </c>
    </row>
    <row r="2644" spans="1:15" ht="179.4" x14ac:dyDescent="0.3">
      <c r="A2644" s="2">
        <v>2643</v>
      </c>
      <c r="B2644" s="3" t="s">
        <v>10433</v>
      </c>
      <c r="C2644" s="3" t="s">
        <v>10434</v>
      </c>
      <c r="D2644" s="3" t="s">
        <v>27</v>
      </c>
      <c r="E2644" s="3" t="s">
        <v>227</v>
      </c>
      <c r="F2644" s="3" t="s">
        <v>9957</v>
      </c>
      <c r="G2644" s="3" t="s">
        <v>8458</v>
      </c>
      <c r="H2644" s="3" t="s">
        <v>9958</v>
      </c>
      <c r="I2644" s="3" t="s">
        <v>20</v>
      </c>
      <c r="J2644" s="3">
        <v>16.57</v>
      </c>
      <c r="K2644" s="3" t="s">
        <v>21</v>
      </c>
      <c r="L2644" s="3" t="s">
        <v>10435</v>
      </c>
      <c r="M2644" s="3" t="s">
        <v>9960</v>
      </c>
      <c r="N2644" s="6" t="str">
        <f>HYPERLINK("C:\Users\alexa\YandexDisk\Книги\Программирование\Python\Графика на Python. Создание 2D- и 3D-изображений.pdf","Графика на Python. Создание 2D- и 3D-изображений.pdf")</f>
        <v>Графика на Python. Создание 2D- и 3D-изображений.pdf</v>
      </c>
      <c r="O2644" s="3" t="s">
        <v>10436</v>
      </c>
    </row>
    <row r="2645" spans="1:15" ht="165.6" x14ac:dyDescent="0.3">
      <c r="A2645" s="4">
        <v>2644</v>
      </c>
      <c r="B2645" s="5" t="s">
        <v>10043</v>
      </c>
      <c r="C2645" s="5" t="s">
        <v>10437</v>
      </c>
      <c r="D2645" s="5" t="s">
        <v>59</v>
      </c>
      <c r="E2645" s="5" t="s">
        <v>18</v>
      </c>
      <c r="F2645" s="5" t="s">
        <v>9957</v>
      </c>
      <c r="G2645" s="5" t="s">
        <v>8458</v>
      </c>
      <c r="H2645" s="5" t="s">
        <v>9958</v>
      </c>
      <c r="I2645" s="5" t="s">
        <v>20</v>
      </c>
      <c r="J2645" s="5">
        <v>11.7</v>
      </c>
      <c r="K2645" s="5" t="s">
        <v>21</v>
      </c>
      <c r="L2645" s="5" t="s">
        <v>10438</v>
      </c>
      <c r="M2645" s="5" t="s">
        <v>9960</v>
      </c>
      <c r="N2645" s="7" t="str">
        <f>HYPERLINK("C:\Users\alexa\YandexDisk\Книги\Программирование\Python\Дейтел_Пол,_Дейтел_Харви_Python_Искусственный_интеллект,_большие.pdf","Дейтел_Пол,_Дейтел_Харви_Python_Искусственный_интеллект,_большие.pdf")</f>
        <v>Дейтел_Пол,_Дейтел_Харви_Python_Искусственный_интеллект,_большие.pdf</v>
      </c>
      <c r="O2645" s="5" t="s">
        <v>10439</v>
      </c>
    </row>
    <row r="2646" spans="1:15" ht="179.4" x14ac:dyDescent="0.3">
      <c r="A2646" s="2">
        <v>2645</v>
      </c>
      <c r="B2646" s="3" t="s">
        <v>10203</v>
      </c>
      <c r="C2646" s="3" t="s">
        <v>10204</v>
      </c>
      <c r="D2646" s="3" t="s">
        <v>17</v>
      </c>
      <c r="E2646" s="3" t="s">
        <v>18</v>
      </c>
      <c r="F2646" s="3" t="s">
        <v>9957</v>
      </c>
      <c r="G2646" s="3" t="s">
        <v>8458</v>
      </c>
      <c r="H2646" s="3" t="s">
        <v>9958</v>
      </c>
      <c r="I2646" s="3" t="s">
        <v>20</v>
      </c>
      <c r="J2646" s="3">
        <v>3.41</v>
      </c>
      <c r="K2646" s="3" t="s">
        <v>21</v>
      </c>
      <c r="L2646" s="3" t="s">
        <v>10440</v>
      </c>
      <c r="M2646" s="3" t="s">
        <v>9960</v>
      </c>
      <c r="N2646" s="6" t="str">
        <f>HYPERLINK("C:\Users\alexa\YandexDisk\Книги\Программирование\Python\Джейми Чан Python быстрый старт 2021.pdf","Джейми Чан Python быстрый старт 2021.pdf")</f>
        <v>Джейми Чан Python быстрый старт 2021.pdf</v>
      </c>
      <c r="O2646" s="3" t="s">
        <v>10441</v>
      </c>
    </row>
    <row r="2647" spans="1:15" ht="193.2" x14ac:dyDescent="0.3">
      <c r="A2647" s="4">
        <v>2646</v>
      </c>
      <c r="B2647" s="5" t="s">
        <v>10425</v>
      </c>
      <c r="C2647" s="5" t="s">
        <v>10426</v>
      </c>
      <c r="D2647" s="5" t="s">
        <v>77</v>
      </c>
      <c r="E2647" s="5" t="s">
        <v>18</v>
      </c>
      <c r="F2647" s="5" t="s">
        <v>9957</v>
      </c>
      <c r="G2647" s="5" t="s">
        <v>8458</v>
      </c>
      <c r="H2647" s="5" t="s">
        <v>9958</v>
      </c>
      <c r="I2647" s="5" t="s">
        <v>20</v>
      </c>
      <c r="J2647" s="5">
        <v>9.39</v>
      </c>
      <c r="K2647" s="5" t="s">
        <v>21</v>
      </c>
      <c r="L2647" s="5" t="s">
        <v>10442</v>
      </c>
      <c r="M2647" s="5" t="s">
        <v>9960</v>
      </c>
      <c r="N2647" s="7" t="str">
        <f>HYPERLINK("C:\Users\alexa\YandexDisk\Книги\Программирование\Python\Дэвидсон_Пайлон_Вероятностное программирование на Python.pdf","Дэвидсон_Пайлон_Вероятностное программирование на Python.pdf")</f>
        <v>Дэвидсон_Пайлон_Вероятностное программирование на Python.pdf</v>
      </c>
      <c r="O2647" s="5" t="s">
        <v>10443</v>
      </c>
    </row>
    <row r="2648" spans="1:15" ht="179.4" x14ac:dyDescent="0.3">
      <c r="A2648" s="2">
        <v>2647</v>
      </c>
      <c r="B2648" s="3" t="s">
        <v>10444</v>
      </c>
      <c r="C2648" s="3" t="s">
        <v>10445</v>
      </c>
      <c r="D2648" s="3" t="s">
        <v>50</v>
      </c>
      <c r="E2648" s="3" t="s">
        <v>102</v>
      </c>
      <c r="F2648" s="3" t="s">
        <v>9957</v>
      </c>
      <c r="G2648" s="3" t="s">
        <v>8458</v>
      </c>
      <c r="H2648" s="3" t="s">
        <v>9958</v>
      </c>
      <c r="I2648" s="3" t="s">
        <v>20</v>
      </c>
      <c r="J2648" s="3">
        <v>14.75</v>
      </c>
      <c r="K2648" s="3" t="s">
        <v>21</v>
      </c>
      <c r="L2648" s="3" t="s">
        <v>10446</v>
      </c>
      <c r="M2648" s="3" t="s">
        <v>9960</v>
      </c>
      <c r="N2648" s="6" t="str">
        <f>HYPERLINK("C:\Users\alexa\YandexDisk\Книги\Программирование\Python\Златопольский -Osnovy_programmirovania_na_yazyke_Python_2017.pdf","Златопольский -Osnovy_programmirovania_na_yazyke_Python_2017.pdf")</f>
        <v>Златопольский -Osnovy_programmirovania_na_yazyke_Python_2017.pdf</v>
      </c>
      <c r="O2648" s="3" t="s">
        <v>10447</v>
      </c>
    </row>
    <row r="2649" spans="1:15" ht="165.6" x14ac:dyDescent="0.3">
      <c r="A2649" s="4">
        <v>2648</v>
      </c>
      <c r="B2649" s="5" t="s">
        <v>10448</v>
      </c>
      <c r="C2649" s="5" t="s">
        <v>10449</v>
      </c>
      <c r="D2649" s="5" t="s">
        <v>27</v>
      </c>
      <c r="E2649" s="5" t="s">
        <v>18</v>
      </c>
      <c r="F2649" s="5" t="s">
        <v>9957</v>
      </c>
      <c r="G2649" s="5" t="s">
        <v>8458</v>
      </c>
      <c r="H2649" s="5" t="s">
        <v>9958</v>
      </c>
      <c r="I2649" s="5" t="s">
        <v>20</v>
      </c>
      <c r="J2649" s="5">
        <v>65.28</v>
      </c>
      <c r="K2649" s="5" t="s">
        <v>21</v>
      </c>
      <c r="L2649" s="5" t="s">
        <v>10450</v>
      </c>
      <c r="M2649" s="5" t="s">
        <v>9960</v>
      </c>
      <c r="N2649" s="7" t="str">
        <f>HYPERLINK("C:\Users\alexa\YandexDisk\Книги\Программирование\Python\Знакомство с Python 2023.pdf","Знакомство с Python 2023.pdf")</f>
        <v>Знакомство с Python 2023.pdf</v>
      </c>
      <c r="O2649" s="5" t="s">
        <v>10451</v>
      </c>
    </row>
    <row r="2650" spans="1:15" ht="138" x14ac:dyDescent="0.3">
      <c r="A2650" s="2">
        <v>2649</v>
      </c>
      <c r="B2650" s="3" t="s">
        <v>10452</v>
      </c>
      <c r="C2650" s="3" t="s">
        <v>10453</v>
      </c>
      <c r="D2650" s="3" t="s">
        <v>17</v>
      </c>
      <c r="E2650" s="3" t="s">
        <v>18</v>
      </c>
      <c r="F2650" s="3" t="s">
        <v>9957</v>
      </c>
      <c r="G2650" s="3" t="s">
        <v>8458</v>
      </c>
      <c r="H2650" s="3" t="s">
        <v>9958</v>
      </c>
      <c r="I2650" s="3" t="s">
        <v>20</v>
      </c>
      <c r="J2650" s="3">
        <v>3.29</v>
      </c>
      <c r="K2650" s="3" t="s">
        <v>21</v>
      </c>
      <c r="L2650" s="3" t="s">
        <v>10454</v>
      </c>
      <c r="M2650" s="3" t="s">
        <v>9960</v>
      </c>
      <c r="N2650" s="6" t="str">
        <f>HYPERLINK("C:\Users\alexa\YandexDisk\Книги\Программирование\Python\Изучаем Python.pdf","Изучаем Python.pdf")</f>
        <v>Изучаем Python.pdf</v>
      </c>
      <c r="O2650" s="3" t="s">
        <v>10455</v>
      </c>
    </row>
    <row r="2651" spans="1:15" ht="41.4" x14ac:dyDescent="0.3">
      <c r="A2651" s="4">
        <v>2650</v>
      </c>
      <c r="B2651" s="5" t="s">
        <v>10456</v>
      </c>
      <c r="C2651" s="5"/>
      <c r="D2651" s="5"/>
      <c r="E2651" s="5"/>
      <c r="F2651" s="5" t="s">
        <v>9957</v>
      </c>
      <c r="G2651" s="5" t="s">
        <v>8458</v>
      </c>
      <c r="H2651" s="5" t="s">
        <v>9958</v>
      </c>
      <c r="I2651" s="5" t="s">
        <v>519</v>
      </c>
      <c r="J2651" s="5">
        <v>100.91</v>
      </c>
      <c r="K2651" s="5" t="s">
        <v>21</v>
      </c>
      <c r="L2651" s="5" t="s">
        <v>10457</v>
      </c>
      <c r="M2651" s="5" t="s">
        <v>9960</v>
      </c>
      <c r="N2651" s="7" t="str">
        <f>HYPERLINK("C:\Users\alexa\YandexDisk\Книги\Программирование\Python\Изучаем Python_code.zip","Изучаем Python_code.zip")</f>
        <v>Изучаем Python_code.zip</v>
      </c>
      <c r="O2651" s="5" t="s">
        <v>930</v>
      </c>
    </row>
    <row r="2652" spans="1:15" ht="207" x14ac:dyDescent="0.3">
      <c r="A2652" s="2">
        <v>2651</v>
      </c>
      <c r="B2652" s="3" t="s">
        <v>10093</v>
      </c>
      <c r="C2652" s="3" t="s">
        <v>10094</v>
      </c>
      <c r="D2652" s="3" t="s">
        <v>59</v>
      </c>
      <c r="E2652" s="3" t="s">
        <v>1431</v>
      </c>
      <c r="F2652" s="3" t="s">
        <v>9957</v>
      </c>
      <c r="G2652" s="3" t="s">
        <v>8458</v>
      </c>
      <c r="H2652" s="3" t="s">
        <v>9958</v>
      </c>
      <c r="I2652" s="3" t="s">
        <v>20</v>
      </c>
      <c r="J2652" s="3">
        <v>58.19</v>
      </c>
      <c r="K2652" s="3" t="s">
        <v>21</v>
      </c>
      <c r="L2652" s="3" t="s">
        <v>10458</v>
      </c>
      <c r="M2652" s="3" t="s">
        <v>9960</v>
      </c>
      <c r="N2652" s="6" t="str">
        <f>HYPERLINK("C:\Users\alexa\YandexDisk\Книги\Программирование\Python\Изучаем Python_Tom_2_5-e_издание Марк Лутц.pdf","Изучаем Python_Tom_2_5-e_издание Марк Лутц.pdf")</f>
        <v>Изучаем Python_Tom_2_5-e_издание Марк Лутц.pdf</v>
      </c>
      <c r="O2652" s="3" t="s">
        <v>10459</v>
      </c>
    </row>
    <row r="2653" spans="1:15" ht="165.6" x14ac:dyDescent="0.3">
      <c r="A2653" s="4">
        <v>2652</v>
      </c>
      <c r="B2653" s="5" t="s">
        <v>10460</v>
      </c>
      <c r="C2653" s="5" t="s">
        <v>10461</v>
      </c>
      <c r="D2653" s="5" t="s">
        <v>77</v>
      </c>
      <c r="E2653" s="5" t="s">
        <v>18</v>
      </c>
      <c r="F2653" s="5" t="s">
        <v>9957</v>
      </c>
      <c r="G2653" s="5" t="s">
        <v>8458</v>
      </c>
      <c r="H2653" s="5" t="s">
        <v>9958</v>
      </c>
      <c r="I2653" s="5" t="s">
        <v>20</v>
      </c>
      <c r="J2653" s="5">
        <v>5.41</v>
      </c>
      <c r="K2653" s="5" t="s">
        <v>21</v>
      </c>
      <c r="L2653" s="5" t="s">
        <v>10462</v>
      </c>
      <c r="M2653" s="5" t="s">
        <v>9960</v>
      </c>
      <c r="N2653" s="7" t="str">
        <f>HYPERLINK("C:\Users\alexa\YandexDisk\Книги\Программирование\Python\Как устроен Python 2019.pdf","Как устроен Python 2019.pdf")</f>
        <v>Как устроен Python 2019.pdf</v>
      </c>
      <c r="O2653" s="5" t="s">
        <v>10463</v>
      </c>
    </row>
    <row r="2654" spans="1:15" ht="165.6" x14ac:dyDescent="0.3">
      <c r="A2654" s="2">
        <v>2653</v>
      </c>
      <c r="B2654" s="3" t="s">
        <v>10460</v>
      </c>
      <c r="C2654" s="3" t="s">
        <v>10464</v>
      </c>
      <c r="D2654" s="3" t="s">
        <v>77</v>
      </c>
      <c r="E2654" s="3" t="s">
        <v>18</v>
      </c>
      <c r="F2654" s="3" t="s">
        <v>9957</v>
      </c>
      <c r="G2654" s="3" t="s">
        <v>8458</v>
      </c>
      <c r="H2654" s="3" t="s">
        <v>9958</v>
      </c>
      <c r="I2654" s="3" t="s">
        <v>20</v>
      </c>
      <c r="J2654" s="3">
        <v>5.41</v>
      </c>
      <c r="K2654" s="3" t="s">
        <v>21</v>
      </c>
      <c r="L2654" s="3" t="s">
        <v>10465</v>
      </c>
      <c r="M2654" s="3" t="s">
        <v>9960</v>
      </c>
      <c r="N2654" s="6" t="str">
        <f>HYPERLINK("C:\Users\alexa\YandexDisk\Книги\Программирование\Python\Как устроен Python.pdf","Как устроен Python.pdf")</f>
        <v>Как устроен Python.pdf</v>
      </c>
      <c r="O2654" s="3" t="s">
        <v>10466</v>
      </c>
    </row>
    <row r="2655" spans="1:15" ht="165.6" x14ac:dyDescent="0.3">
      <c r="A2655" s="4">
        <v>2654</v>
      </c>
      <c r="B2655" s="5" t="s">
        <v>126</v>
      </c>
      <c r="C2655" s="5" t="s">
        <v>127</v>
      </c>
      <c r="D2655" s="5" t="s">
        <v>59</v>
      </c>
      <c r="E2655" s="5" t="s">
        <v>269</v>
      </c>
      <c r="F2655" s="5" t="s">
        <v>9957</v>
      </c>
      <c r="G2655" s="5" t="s">
        <v>8458</v>
      </c>
      <c r="H2655" s="5" t="s">
        <v>9958</v>
      </c>
      <c r="I2655" s="5" t="s">
        <v>20</v>
      </c>
      <c r="J2655" s="5">
        <v>24.04</v>
      </c>
      <c r="K2655" s="5" t="s">
        <v>21</v>
      </c>
      <c r="L2655" s="5" t="s">
        <v>10467</v>
      </c>
      <c r="M2655" s="5" t="s">
        <v>9960</v>
      </c>
      <c r="N2655" s="7" t="str">
        <f>HYPERLINK("C:\Users\alexa\YandexDisk\Книги\Программирование\Python\Классические задачи Computer_Science_na_yazyke_Python_2020_Kopets.pdf","Классические задачи Computer_Science_na_yazyke_Python_2020_Kopets.pdf")</f>
        <v>Классические задачи Computer_Science_na_yazyke_Python_2020_Kopets.pdf</v>
      </c>
      <c r="O2655" s="5" t="s">
        <v>10468</v>
      </c>
    </row>
    <row r="2656" spans="1:15" ht="165.6" x14ac:dyDescent="0.3">
      <c r="A2656" s="2">
        <v>2655</v>
      </c>
      <c r="B2656" s="3" t="s">
        <v>10469</v>
      </c>
      <c r="C2656" s="3" t="s">
        <v>10470</v>
      </c>
      <c r="D2656" s="3" t="s">
        <v>71</v>
      </c>
      <c r="E2656" s="3" t="s">
        <v>18</v>
      </c>
      <c r="F2656" s="3" t="s">
        <v>9957</v>
      </c>
      <c r="G2656" s="3" t="s">
        <v>8458</v>
      </c>
      <c r="H2656" s="3" t="s">
        <v>9958</v>
      </c>
      <c r="I2656" s="3" t="s">
        <v>20</v>
      </c>
      <c r="J2656" s="3">
        <v>4.49</v>
      </c>
      <c r="K2656" s="3" t="s">
        <v>21</v>
      </c>
      <c r="L2656" s="3" t="s">
        <v>10471</v>
      </c>
      <c r="M2656" s="3" t="s">
        <v>9960</v>
      </c>
      <c r="N2656" s="6" t="str">
        <f>HYPERLINK("C:\Users\alexa\YandexDisk\Книги\Программирование\Python\Кристиан_Майер_Однострочники_Python 2022.pdf","Кристиан_Майер_Однострочники_Python 2022.pdf")</f>
        <v>Кристиан_Майер_Однострочники_Python 2022.pdf</v>
      </c>
      <c r="O2656" s="3" t="s">
        <v>10472</v>
      </c>
    </row>
    <row r="2657" spans="1:15" ht="151.80000000000001" x14ac:dyDescent="0.3">
      <c r="A2657" s="4">
        <v>2656</v>
      </c>
      <c r="B2657" s="5" t="s">
        <v>10473</v>
      </c>
      <c r="C2657" s="5" t="s">
        <v>10474</v>
      </c>
      <c r="D2657" s="5" t="s">
        <v>59</v>
      </c>
      <c r="E2657" s="5" t="s">
        <v>1023</v>
      </c>
      <c r="F2657" s="5" t="s">
        <v>9957</v>
      </c>
      <c r="G2657" s="5" t="s">
        <v>8458</v>
      </c>
      <c r="H2657" s="5" t="s">
        <v>9958</v>
      </c>
      <c r="I2657" s="5" t="s">
        <v>20</v>
      </c>
      <c r="J2657" s="5">
        <v>12.77</v>
      </c>
      <c r="K2657" s="5" t="s">
        <v>21</v>
      </c>
      <c r="L2657" s="5" t="s">
        <v>10475</v>
      </c>
      <c r="M2657" s="5" t="s">
        <v>9960</v>
      </c>
      <c r="N2657" s="7" t="str">
        <f>HYPERLINK("C:\Users\alexa\YandexDisk\Книги\Программирование\Python\Легкий_способ_выучить_Python_3_еще_глубже.pdf","Легкий_способ_выучить_Python_3_еще_глубже.pdf")</f>
        <v>Легкий_способ_выучить_Python_3_еще_глубже.pdf</v>
      </c>
      <c r="O2657" s="5" t="s">
        <v>10476</v>
      </c>
    </row>
    <row r="2658" spans="1:15" ht="124.2" x14ac:dyDescent="0.3">
      <c r="A2658" s="2">
        <v>2657</v>
      </c>
      <c r="B2658" s="3" t="s">
        <v>10242</v>
      </c>
      <c r="C2658" s="3" t="s">
        <v>10243</v>
      </c>
      <c r="D2658" s="3" t="s">
        <v>17</v>
      </c>
      <c r="E2658" s="3" t="s">
        <v>18</v>
      </c>
      <c r="F2658" s="3" t="s">
        <v>9957</v>
      </c>
      <c r="G2658" s="3" t="s">
        <v>8458</v>
      </c>
      <c r="H2658" s="3" t="s">
        <v>9958</v>
      </c>
      <c r="I2658" s="3" t="s">
        <v>20</v>
      </c>
      <c r="J2658" s="3">
        <v>7.96</v>
      </c>
      <c r="K2658" s="3" t="s">
        <v>21</v>
      </c>
      <c r="L2658" s="3" t="s">
        <v>10477</v>
      </c>
      <c r="M2658" s="3" t="s">
        <v>9960</v>
      </c>
      <c r="N2658" s="6" t="str">
        <f>HYPERLINK("C:\Users\alexa\YandexDisk\Книги\Программирование\Python\Лейсли Python, например 2021.pdf","Лейсли Python, например 2021.pdf")</f>
        <v>Лейсли Python, например 2021.pdf</v>
      </c>
      <c r="O2658" s="3" t="s">
        <v>10478</v>
      </c>
    </row>
    <row r="2659" spans="1:15" ht="207" x14ac:dyDescent="0.3">
      <c r="A2659" s="4">
        <v>2658</v>
      </c>
      <c r="B2659" s="5" t="s">
        <v>10093</v>
      </c>
      <c r="C2659" s="5" t="s">
        <v>10094</v>
      </c>
      <c r="D2659" s="5" t="s">
        <v>77</v>
      </c>
      <c r="E2659" s="5" t="s">
        <v>187</v>
      </c>
      <c r="F2659" s="5" t="s">
        <v>9957</v>
      </c>
      <c r="G2659" s="5" t="s">
        <v>8458</v>
      </c>
      <c r="H2659" s="5" t="s">
        <v>9958</v>
      </c>
      <c r="I2659" s="5" t="s">
        <v>20</v>
      </c>
      <c r="J2659" s="5">
        <v>57.49</v>
      </c>
      <c r="K2659" s="5" t="s">
        <v>21</v>
      </c>
      <c r="L2659" s="5" t="s">
        <v>10479</v>
      </c>
      <c r="M2659" s="5" t="s">
        <v>9960</v>
      </c>
      <c r="N2659" s="7" t="str">
        <f>HYPERLINK("C:\Users\alexa\YandexDisk\Книги\Программирование\Python\Марк Лутц - Изучаем Python (2019).pdf","Марк Лутц - Изучаем Python (2019).pdf")</f>
        <v>Марк Лутц - Изучаем Python (2019).pdf</v>
      </c>
      <c r="O2659" s="5" t="s">
        <v>10480</v>
      </c>
    </row>
    <row r="2660" spans="1:15" ht="179.4" x14ac:dyDescent="0.3">
      <c r="A2660" s="2">
        <v>2659</v>
      </c>
      <c r="B2660" s="3" t="s">
        <v>10481</v>
      </c>
      <c r="C2660" s="3" t="s">
        <v>10482</v>
      </c>
      <c r="D2660" s="3" t="s">
        <v>17</v>
      </c>
      <c r="E2660" s="3" t="s">
        <v>18</v>
      </c>
      <c r="F2660" s="3" t="s">
        <v>9957</v>
      </c>
      <c r="G2660" s="3" t="s">
        <v>8458</v>
      </c>
      <c r="H2660" s="3" t="s">
        <v>9958</v>
      </c>
      <c r="I2660" s="3" t="s">
        <v>20</v>
      </c>
      <c r="J2660" s="3">
        <v>8.82</v>
      </c>
      <c r="K2660" s="3" t="s">
        <v>21</v>
      </c>
      <c r="L2660" s="3" t="s">
        <v>10483</v>
      </c>
      <c r="M2660" s="3" t="s">
        <v>9960</v>
      </c>
      <c r="N2660" s="6" t="str">
        <f>HYPERLINK("C:\Users\alexa\YandexDisk\Книги\Программирование\Python\Михал_Яворски Python_Лучшие_практики_и_инструменты 2021.pdf","Михал_Яворски Python_Лучшие_практики_и_инструменты 2021.pdf")</f>
        <v>Михал_Яворски Python_Лучшие_практики_и_инструменты 2021.pdf</v>
      </c>
      <c r="O2660" s="3" t="s">
        <v>10484</v>
      </c>
    </row>
    <row r="2661" spans="1:15" ht="165.6" x14ac:dyDescent="0.3">
      <c r="A2661" s="4">
        <v>2660</v>
      </c>
      <c r="B2661" s="5" t="s">
        <v>10415</v>
      </c>
      <c r="C2661" s="5" t="s">
        <v>10416</v>
      </c>
      <c r="D2661" s="5" t="s">
        <v>77</v>
      </c>
      <c r="E2661" s="5" t="s">
        <v>18</v>
      </c>
      <c r="F2661" s="5" t="s">
        <v>9957</v>
      </c>
      <c r="G2661" s="5" t="s">
        <v>8458</v>
      </c>
      <c r="H2661" s="5" t="s">
        <v>9958</v>
      </c>
      <c r="I2661" s="5" t="s">
        <v>20</v>
      </c>
      <c r="J2661" s="5">
        <v>6.1</v>
      </c>
      <c r="K2661" s="5" t="s">
        <v>21</v>
      </c>
      <c r="L2661" s="5" t="s">
        <v>10485</v>
      </c>
      <c r="M2661" s="5" t="s">
        <v>9960</v>
      </c>
      <c r="N2661" s="7" t="str">
        <f>HYPERLINK("C:\Users\alexa\YandexDisk\Книги\Программирование\Python\Наоми_Седер_Python_Экспресс_курс_2019.pdf","Наоми_Седер_Python_Экспресс_курс_2019.pdf")</f>
        <v>Наоми_Седер_Python_Экспресс_курс_2019.pdf</v>
      </c>
      <c r="O2661" s="5" t="s">
        <v>10486</v>
      </c>
    </row>
    <row r="2662" spans="1:15" ht="207" x14ac:dyDescent="0.3">
      <c r="A2662" s="2">
        <v>2661</v>
      </c>
      <c r="B2662" s="3" t="s">
        <v>10487</v>
      </c>
      <c r="C2662" s="3" t="s">
        <v>10488</v>
      </c>
      <c r="D2662" s="3" t="s">
        <v>17</v>
      </c>
      <c r="E2662" s="3" t="s">
        <v>102</v>
      </c>
      <c r="F2662" s="3" t="s">
        <v>9957</v>
      </c>
      <c r="G2662" s="3" t="s">
        <v>8458</v>
      </c>
      <c r="H2662" s="3" t="s">
        <v>9958</v>
      </c>
      <c r="I2662" s="3" t="s">
        <v>20</v>
      </c>
      <c r="J2662" s="3">
        <v>18.03</v>
      </c>
      <c r="K2662" s="3" t="s">
        <v>21</v>
      </c>
      <c r="L2662" s="3" t="s">
        <v>10489</v>
      </c>
      <c r="M2662" s="3" t="s">
        <v>9960</v>
      </c>
      <c r="N2662" s="6" t="str">
        <f>HYPERLINK("C:\Users\alexa\YandexDisk\Книги\Программирование\Python\Научное_программирование_на_Python_2021_Кристиан_Хилл.pdf","Научное_программирование_на_Python_2021_Кристиан_Хилл.pdf")</f>
        <v>Научное_программирование_на_Python_2021_Кристиан_Хилл.pdf</v>
      </c>
      <c r="O2662" s="3" t="s">
        <v>10490</v>
      </c>
    </row>
    <row r="2663" spans="1:15" ht="234.6" x14ac:dyDescent="0.3">
      <c r="A2663" s="4">
        <v>2662</v>
      </c>
      <c r="B2663" s="5" t="s">
        <v>10491</v>
      </c>
      <c r="C2663" s="5" t="s">
        <v>10492</v>
      </c>
      <c r="D2663" s="5" t="s">
        <v>71</v>
      </c>
      <c r="E2663" s="5" t="s">
        <v>37</v>
      </c>
      <c r="F2663" s="5" t="s">
        <v>9957</v>
      </c>
      <c r="G2663" s="5" t="s">
        <v>8458</v>
      </c>
      <c r="H2663" s="5" t="s">
        <v>9958</v>
      </c>
      <c r="I2663" s="5" t="s">
        <v>20</v>
      </c>
      <c r="J2663" s="5">
        <v>18.579999999999998</v>
      </c>
      <c r="K2663" s="5" t="s">
        <v>21</v>
      </c>
      <c r="L2663" s="5" t="s">
        <v>10493</v>
      </c>
      <c r="M2663" s="5" t="s">
        <v>9960</v>
      </c>
      <c r="N2663" s="7" t="str">
        <f>HYPERLINK("C:\Users\alexa\YandexDisk\Книги\Программирование\Python\Начинаем программировать на Python -2022.pdf","Начинаем программировать на Python -2022.pdf")</f>
        <v>Начинаем программировать на Python -2022.pdf</v>
      </c>
      <c r="O2663" s="5" t="s">
        <v>10494</v>
      </c>
    </row>
    <row r="2664" spans="1:15" ht="207" x14ac:dyDescent="0.3">
      <c r="A2664" s="2">
        <v>2663</v>
      </c>
      <c r="B2664" s="3" t="s">
        <v>10491</v>
      </c>
      <c r="C2664" s="3" t="s">
        <v>10492</v>
      </c>
      <c r="D2664" s="3" t="s">
        <v>77</v>
      </c>
      <c r="E2664" s="3" t="s">
        <v>37</v>
      </c>
      <c r="F2664" s="3" t="s">
        <v>9957</v>
      </c>
      <c r="G2664" s="3" t="s">
        <v>8458</v>
      </c>
      <c r="H2664" s="3" t="s">
        <v>9958</v>
      </c>
      <c r="I2664" s="3" t="s">
        <v>20</v>
      </c>
      <c r="J2664" s="3">
        <v>73.34</v>
      </c>
      <c r="K2664" s="3" t="s">
        <v>21</v>
      </c>
      <c r="L2664" s="3" t="s">
        <v>10495</v>
      </c>
      <c r="M2664" s="3" t="s">
        <v>9960</v>
      </c>
      <c r="N2664" s="6" t="str">
        <f>HYPERLINK("C:\Users\alexa\YandexDisk\Книги\Программирование\Python\Начинаем программировать на Python-2019.pdf","Начинаем программировать на Python-2019.pdf")</f>
        <v>Начинаем программировать на Python-2019.pdf</v>
      </c>
      <c r="O2664" s="3" t="s">
        <v>10496</v>
      </c>
    </row>
    <row r="2665" spans="1:15" ht="207" x14ac:dyDescent="0.3">
      <c r="A2665" s="4">
        <v>2664</v>
      </c>
      <c r="B2665" s="5" t="s">
        <v>10497</v>
      </c>
      <c r="C2665" s="5" t="s">
        <v>10392</v>
      </c>
      <c r="D2665" s="5" t="s">
        <v>17</v>
      </c>
      <c r="E2665" s="5" t="s">
        <v>402</v>
      </c>
      <c r="F2665" s="5" t="s">
        <v>9957</v>
      </c>
      <c r="G2665" s="5" t="s">
        <v>8458</v>
      </c>
      <c r="H2665" s="5" t="s">
        <v>9958</v>
      </c>
      <c r="I2665" s="5" t="s">
        <v>20</v>
      </c>
      <c r="J2665" s="5">
        <v>10.65</v>
      </c>
      <c r="K2665" s="5" t="s">
        <v>21</v>
      </c>
      <c r="L2665" s="5" t="s">
        <v>10498</v>
      </c>
      <c r="M2665" s="5" t="s">
        <v>9960</v>
      </c>
      <c r="N2665" s="7" t="str">
        <f>HYPERLINK("C:\Users\alexa\YandexDisk\Книги\Программирование\Python\Непрактичный Python-2021.pdf","Непрактичный Python-2021.pdf")</f>
        <v>Непрактичный Python-2021.pdf</v>
      </c>
      <c r="O2665" s="5" t="s">
        <v>10499</v>
      </c>
    </row>
    <row r="2666" spans="1:15" ht="193.2" x14ac:dyDescent="0.3">
      <c r="A2666" s="2">
        <v>2665</v>
      </c>
      <c r="B2666" s="3" t="s">
        <v>10500</v>
      </c>
      <c r="C2666" s="3" t="s">
        <v>10501</v>
      </c>
      <c r="D2666" s="3" t="s">
        <v>109</v>
      </c>
      <c r="E2666" s="3" t="s">
        <v>18</v>
      </c>
      <c r="F2666" s="3" t="s">
        <v>9957</v>
      </c>
      <c r="G2666" s="3" t="s">
        <v>8458</v>
      </c>
      <c r="H2666" s="3" t="s">
        <v>9958</v>
      </c>
      <c r="I2666" s="3" t="s">
        <v>20</v>
      </c>
      <c r="J2666" s="3">
        <v>28.31</v>
      </c>
      <c r="K2666" s="3" t="s">
        <v>21</v>
      </c>
      <c r="L2666" s="3" t="s">
        <v>10502</v>
      </c>
      <c r="M2666" s="3" t="s">
        <v>9960</v>
      </c>
      <c r="N2666" s="6" t="str">
        <f>HYPERLINK("C:\Users\alexa\YandexDisk\Книги\Программирование\Python\Объектно-ориентированный Python.pdf","Объектно-ориентированный Python.pdf")</f>
        <v>Объектно-ориентированный Python.pdf</v>
      </c>
      <c r="O2666" s="3" t="s">
        <v>10503</v>
      </c>
    </row>
    <row r="2667" spans="1:15" ht="165.6" x14ac:dyDescent="0.3">
      <c r="A2667" s="4">
        <v>2666</v>
      </c>
      <c r="B2667" s="5" t="s">
        <v>10469</v>
      </c>
      <c r="C2667" s="5" t="s">
        <v>10504</v>
      </c>
      <c r="D2667" s="5" t="s">
        <v>71</v>
      </c>
      <c r="E2667" s="5" t="s">
        <v>18</v>
      </c>
      <c r="F2667" s="5" t="s">
        <v>9957</v>
      </c>
      <c r="G2667" s="5" t="s">
        <v>8458</v>
      </c>
      <c r="H2667" s="5" t="s">
        <v>9958</v>
      </c>
      <c r="I2667" s="5" t="s">
        <v>20</v>
      </c>
      <c r="J2667" s="5">
        <v>4.49</v>
      </c>
      <c r="K2667" s="5" t="s">
        <v>21</v>
      </c>
      <c r="L2667" s="5" t="s">
        <v>10505</v>
      </c>
      <c r="M2667" s="5" t="s">
        <v>9960</v>
      </c>
      <c r="N2667" s="7" t="str">
        <f>HYPERLINK("C:\Users\alexa\YandexDisk\Книги\Программирование\Python\Однострочники_Python.pdf","Однострочники_Python.pdf")</f>
        <v>Однострочники_Python.pdf</v>
      </c>
      <c r="O2667" s="5" t="s">
        <v>10506</v>
      </c>
    </row>
    <row r="2668" spans="1:15" ht="179.4" x14ac:dyDescent="0.3">
      <c r="A2668" s="2">
        <v>2667</v>
      </c>
      <c r="B2668" s="3" t="s">
        <v>10507</v>
      </c>
      <c r="C2668" s="3" t="s">
        <v>9351</v>
      </c>
      <c r="D2668" s="3" t="s">
        <v>17</v>
      </c>
      <c r="E2668" s="3" t="s">
        <v>303</v>
      </c>
      <c r="F2668" s="3" t="s">
        <v>9957</v>
      </c>
      <c r="G2668" s="3" t="s">
        <v>8458</v>
      </c>
      <c r="H2668" s="3" t="s">
        <v>9958</v>
      </c>
      <c r="I2668" s="3" t="s">
        <v>20</v>
      </c>
      <c r="J2668" s="3">
        <v>3.45</v>
      </c>
      <c r="K2668" s="3" t="s">
        <v>21</v>
      </c>
      <c r="L2668" s="3" t="s">
        <v>10508</v>
      </c>
      <c r="M2668" s="3" t="s">
        <v>9960</v>
      </c>
      <c r="N2668" s="6" t="str">
        <f>HYPERLINK("C:\Users\alexa\YandexDisk\Книги\Программирование\Python\Основы_Python_Научитесь_мыслить_как_программист 2021.pdf","Основы_Python_Научитесь_мыслить_как_программист 2021.pdf")</f>
        <v>Основы_Python_Научитесь_мыслить_как_программист 2021.pdf</v>
      </c>
      <c r="O2668" s="3" t="s">
        <v>10509</v>
      </c>
    </row>
    <row r="2669" spans="1:15" ht="179.4" x14ac:dyDescent="0.3">
      <c r="A2669" s="4">
        <v>2668</v>
      </c>
      <c r="B2669" s="5" t="s">
        <v>10510</v>
      </c>
      <c r="C2669" s="5" t="s">
        <v>10511</v>
      </c>
      <c r="D2669" s="5" t="s">
        <v>77</v>
      </c>
      <c r="E2669" s="5" t="s">
        <v>10512</v>
      </c>
      <c r="F2669" s="5" t="s">
        <v>9957</v>
      </c>
      <c r="G2669" s="5" t="s">
        <v>8458</v>
      </c>
      <c r="H2669" s="5" t="s">
        <v>9958</v>
      </c>
      <c r="I2669" s="5" t="s">
        <v>20</v>
      </c>
      <c r="J2669" s="5">
        <v>13.15</v>
      </c>
      <c r="K2669" s="5" t="s">
        <v>21</v>
      </c>
      <c r="L2669" s="5" t="s">
        <v>10513</v>
      </c>
      <c r="M2669" s="5" t="s">
        <v>9960</v>
      </c>
      <c r="N2669" s="7" t="str">
        <f>HYPERLINK("C:\Users\alexa\YandexDisk\Книги\Программирование\Python\Основы_научных_расчётов_на_языке_программирования_Python.pdf","Основы_научных_расчётов_на_языке_программирования_Python.pdf")</f>
        <v>Основы_научных_расчётов_на_языке_программирования_Python.pdf</v>
      </c>
      <c r="O2669" s="5" t="s">
        <v>10514</v>
      </c>
    </row>
    <row r="2670" spans="1:15" ht="193.2" x14ac:dyDescent="0.3">
      <c r="A2670" s="2">
        <v>2669</v>
      </c>
      <c r="B2670" s="3" t="s">
        <v>10515</v>
      </c>
      <c r="C2670" s="3" t="s">
        <v>10516</v>
      </c>
      <c r="D2670" s="3" t="s">
        <v>71</v>
      </c>
      <c r="E2670" s="3" t="s">
        <v>2547</v>
      </c>
      <c r="F2670" s="3" t="s">
        <v>9957</v>
      </c>
      <c r="G2670" s="3" t="s">
        <v>8458</v>
      </c>
      <c r="H2670" s="3" t="s">
        <v>9958</v>
      </c>
      <c r="I2670" s="3" t="s">
        <v>20</v>
      </c>
      <c r="J2670" s="3">
        <v>6.41</v>
      </c>
      <c r="K2670" s="3" t="s">
        <v>21</v>
      </c>
      <c r="L2670" s="3" t="s">
        <v>10517</v>
      </c>
      <c r="M2670" s="3" t="s">
        <v>9960</v>
      </c>
      <c r="N2670" s="6" t="str">
        <f>HYPERLINK("C:\Users\alexa\YandexDisk\Книги\Программирование\Python\Основы_программирования_на_Python_2022.pdf","Основы_программирования_на_Python_2022.pdf")</f>
        <v>Основы_программирования_на_Python_2022.pdf</v>
      </c>
      <c r="O2670" s="3" t="s">
        <v>10518</v>
      </c>
    </row>
    <row r="2671" spans="1:15" ht="207" x14ac:dyDescent="0.3">
      <c r="A2671" s="4">
        <v>2670</v>
      </c>
      <c r="B2671" s="5" t="s">
        <v>10519</v>
      </c>
      <c r="C2671" s="5" t="s">
        <v>10520</v>
      </c>
      <c r="D2671" s="5" t="s">
        <v>335</v>
      </c>
      <c r="E2671" s="5" t="s">
        <v>336</v>
      </c>
      <c r="F2671" s="5" t="s">
        <v>9957</v>
      </c>
      <c r="G2671" s="5" t="s">
        <v>8458</v>
      </c>
      <c r="H2671" s="5" t="s">
        <v>9958</v>
      </c>
      <c r="I2671" s="5" t="s">
        <v>20</v>
      </c>
      <c r="J2671" s="5">
        <v>34.44</v>
      </c>
      <c r="K2671" s="5" t="s">
        <v>21</v>
      </c>
      <c r="L2671" s="5" t="s">
        <v>10521</v>
      </c>
      <c r="M2671" s="5" t="s">
        <v>9960</v>
      </c>
      <c r="N2671" s="7" t="str">
        <f>HYPERLINK("C:\Users\alexa\YandexDisk\Книги\Программирование\Python\Парсинг с помощью Python. Веб-скрапинг в действии. 3-е межд. изд.pdf","Парсинг с помощью Python. Веб-скрапинг в действии. 3-е межд. изд.pdf")</f>
        <v>Парсинг с помощью Python. Веб-скрапинг в действии. 3-е межд. изд.pdf</v>
      </c>
      <c r="O2671" s="5" t="s">
        <v>10522</v>
      </c>
    </row>
    <row r="2672" spans="1:15" ht="193.2" x14ac:dyDescent="0.3">
      <c r="A2672" s="2">
        <v>2671</v>
      </c>
      <c r="B2672" s="3" t="s">
        <v>10523</v>
      </c>
      <c r="C2672" s="3" t="s">
        <v>10524</v>
      </c>
      <c r="D2672" s="3" t="s">
        <v>27</v>
      </c>
      <c r="E2672" s="3"/>
      <c r="F2672" s="3" t="s">
        <v>9957</v>
      </c>
      <c r="G2672" s="3" t="s">
        <v>8458</v>
      </c>
      <c r="H2672" s="3" t="s">
        <v>9958</v>
      </c>
      <c r="I2672" s="3" t="s">
        <v>20</v>
      </c>
      <c r="J2672" s="3">
        <v>6.1</v>
      </c>
      <c r="K2672" s="3" t="s">
        <v>21</v>
      </c>
      <c r="L2672" s="3" t="s">
        <v>10525</v>
      </c>
      <c r="M2672" s="3" t="s">
        <v>9960</v>
      </c>
      <c r="N2672" s="6" t="str">
        <f>HYPERLINK("C:\Users\alexa\YandexDisk\Книги\Программирование\Python\Практическое введение в основные библиотеки и фреймворки Python.pdf","Практическое введение в основные библиотеки и фреймворки Python.pdf")</f>
        <v>Практическое введение в основные библиотеки и фреймворки Python.pdf</v>
      </c>
      <c r="O2672" s="3" t="s">
        <v>10526</v>
      </c>
    </row>
    <row r="2673" spans="1:15" ht="151.80000000000001" x14ac:dyDescent="0.3">
      <c r="A2673" s="4">
        <v>2672</v>
      </c>
      <c r="B2673" s="5" t="s">
        <v>10527</v>
      </c>
      <c r="C2673" s="5" t="s">
        <v>10528</v>
      </c>
      <c r="D2673" s="5" t="s">
        <v>59</v>
      </c>
      <c r="E2673" s="5" t="s">
        <v>102</v>
      </c>
      <c r="F2673" s="5" t="s">
        <v>9957</v>
      </c>
      <c r="G2673" s="5" t="s">
        <v>8458</v>
      </c>
      <c r="H2673" s="5" t="s">
        <v>9958</v>
      </c>
      <c r="I2673" s="5" t="s">
        <v>20</v>
      </c>
      <c r="J2673" s="5">
        <v>6.6</v>
      </c>
      <c r="K2673" s="5" t="s">
        <v>21</v>
      </c>
      <c r="L2673" s="5" t="s">
        <v>10529</v>
      </c>
      <c r="M2673" s="5" t="s">
        <v>9960</v>
      </c>
      <c r="N2673" s="7" t="str">
        <f>HYPERLINK("C:\Users\alexa\YandexDisk\Книги\Программирование\Python\Программирование GPU Python CUDAs 2020.pdf","Программирование GPU Python CUDAs 2020.pdf")</f>
        <v>Программирование GPU Python CUDAs 2020.pdf</v>
      </c>
      <c r="O2673" s="5" t="s">
        <v>10530</v>
      </c>
    </row>
    <row r="2674" spans="1:15" ht="234.6" x14ac:dyDescent="0.3">
      <c r="A2674" s="2">
        <v>2673</v>
      </c>
      <c r="B2674" s="3" t="s">
        <v>10531</v>
      </c>
      <c r="C2674" s="3" t="s">
        <v>10094</v>
      </c>
      <c r="D2674" s="3" t="s">
        <v>837</v>
      </c>
      <c r="E2674" s="3" t="s">
        <v>1566</v>
      </c>
      <c r="F2674" s="3" t="s">
        <v>9957</v>
      </c>
      <c r="G2674" s="3" t="s">
        <v>8458</v>
      </c>
      <c r="H2674" s="3" t="s">
        <v>9958</v>
      </c>
      <c r="I2674" s="3" t="s">
        <v>20</v>
      </c>
      <c r="J2674" s="3">
        <v>52.62</v>
      </c>
      <c r="K2674" s="3" t="s">
        <v>21</v>
      </c>
      <c r="L2674" s="3" t="s">
        <v>10532</v>
      </c>
      <c r="M2674" s="3" t="s">
        <v>9960</v>
      </c>
      <c r="N2674" s="6" t="str">
        <f>HYPERLINK("C:\Users\alexa\YandexDisk\Книги\Программирование\Python\Программирование на Python, 4-е издание, I том.pdf","Программирование на Python, 4-е издание, I том.pdf")</f>
        <v>Программирование на Python, 4-е издание, I том.pdf</v>
      </c>
      <c r="O2674" s="3" t="s">
        <v>10533</v>
      </c>
    </row>
    <row r="2675" spans="1:15" ht="165.6" x14ac:dyDescent="0.3">
      <c r="A2675" s="4">
        <v>2674</v>
      </c>
      <c r="B2675" s="5" t="s">
        <v>10534</v>
      </c>
      <c r="C2675" s="5" t="s">
        <v>10094</v>
      </c>
      <c r="D2675" s="5" t="s">
        <v>837</v>
      </c>
      <c r="E2675" s="5" t="s">
        <v>1566</v>
      </c>
      <c r="F2675" s="5" t="s">
        <v>9957</v>
      </c>
      <c r="G2675" s="5" t="s">
        <v>8458</v>
      </c>
      <c r="H2675" s="5" t="s">
        <v>9958</v>
      </c>
      <c r="I2675" s="5" t="s">
        <v>20</v>
      </c>
      <c r="J2675" s="5">
        <v>15.55</v>
      </c>
      <c r="K2675" s="5" t="s">
        <v>21</v>
      </c>
      <c r="L2675" s="5" t="s">
        <v>10535</v>
      </c>
      <c r="M2675" s="5" t="s">
        <v>9960</v>
      </c>
      <c r="N2675" s="7" t="str">
        <f>HYPERLINK("C:\Users\alexa\YandexDisk\Книги\Программирование\Python\Программирование на Python, 4-е издание, II том.pdf","Программирование на Python, 4-е издание, II том.pdf")</f>
        <v>Программирование на Python, 4-е издание, II том.pdf</v>
      </c>
      <c r="O2675" s="5" t="s">
        <v>10536</v>
      </c>
    </row>
    <row r="2676" spans="1:15" ht="165.6" x14ac:dyDescent="0.3">
      <c r="A2676" s="2">
        <v>2675</v>
      </c>
      <c r="B2676" s="3" t="s">
        <v>10527</v>
      </c>
      <c r="C2676" s="3" t="s">
        <v>10537</v>
      </c>
      <c r="D2676" s="3" t="s">
        <v>59</v>
      </c>
      <c r="E2676" s="3" t="s">
        <v>102</v>
      </c>
      <c r="F2676" s="3" t="s">
        <v>9957</v>
      </c>
      <c r="G2676" s="3" t="s">
        <v>8458</v>
      </c>
      <c r="H2676" s="3" t="s">
        <v>9958</v>
      </c>
      <c r="I2676" s="3" t="s">
        <v>20</v>
      </c>
      <c r="J2676" s="3">
        <v>6.6</v>
      </c>
      <c r="K2676" s="3" t="s">
        <v>21</v>
      </c>
      <c r="L2676" s="3" t="s">
        <v>10538</v>
      </c>
      <c r="M2676" s="3" t="s">
        <v>9960</v>
      </c>
      <c r="N2676" s="6" t="str">
        <f>HYPERLINK("C:\Users\alexa\YandexDisk\Книги\Программирование\Python\Программирование_GPU_при_помощи_Python_и_CUDA 2021.pdf","Программирование_GPU_при_помощи_Python_и_CUDA 2021.pdf")</f>
        <v>Программирование_GPU_при_помощи_Python_и_CUDA 2021.pdf</v>
      </c>
      <c r="O2676" s="3" t="s">
        <v>10539</v>
      </c>
    </row>
    <row r="2677" spans="1:15" ht="124.2" x14ac:dyDescent="0.3">
      <c r="A2677" s="4">
        <v>2676</v>
      </c>
      <c r="B2677" s="5" t="s">
        <v>10540</v>
      </c>
      <c r="C2677" s="5"/>
      <c r="D2677" s="5"/>
      <c r="E2677" s="5"/>
      <c r="F2677" s="5" t="s">
        <v>9957</v>
      </c>
      <c r="G2677" s="5" t="s">
        <v>8458</v>
      </c>
      <c r="H2677" s="5" t="s">
        <v>9958</v>
      </c>
      <c r="I2677" s="5" t="s">
        <v>721</v>
      </c>
      <c r="J2677" s="5">
        <v>1.83</v>
      </c>
      <c r="K2677" s="5" t="s">
        <v>21</v>
      </c>
      <c r="L2677" s="5" t="s">
        <v>10541</v>
      </c>
      <c r="M2677" s="5" t="s">
        <v>9960</v>
      </c>
      <c r="N2677" s="7" t="str">
        <f>HYPERLINK("C:\Users\alexa\YandexDisk\Книги\Программирование\Python\Программирование_Python_C++_Часть_2_.djvu","Программирование_Python_C++_Часть_2_.djvu")</f>
        <v>Программирование_Python_C++_Часть_2_.djvu</v>
      </c>
      <c r="O2677" s="5" t="s">
        <v>10542</v>
      </c>
    </row>
    <row r="2678" spans="1:15" ht="138" x14ac:dyDescent="0.3">
      <c r="A2678" s="2">
        <v>2677</v>
      </c>
      <c r="B2678" s="3" t="s">
        <v>10543</v>
      </c>
      <c r="C2678" s="3" t="s">
        <v>10544</v>
      </c>
      <c r="D2678" s="3" t="s">
        <v>17</v>
      </c>
      <c r="E2678" s="3" t="s">
        <v>1023</v>
      </c>
      <c r="F2678" s="3" t="s">
        <v>9957</v>
      </c>
      <c r="G2678" s="3" t="s">
        <v>8458</v>
      </c>
      <c r="H2678" s="3" t="s">
        <v>9958</v>
      </c>
      <c r="I2678" s="3" t="s">
        <v>20</v>
      </c>
      <c r="J2678" s="3">
        <v>4.5</v>
      </c>
      <c r="K2678" s="3" t="s">
        <v>21</v>
      </c>
      <c r="L2678" s="3" t="s">
        <v>10545</v>
      </c>
      <c r="M2678" s="3" t="s">
        <v>9960</v>
      </c>
      <c r="N2678" s="6" t="str">
        <f>HYPERLINK("C:\Users\alexa\YandexDisk\Книги\Программирование\Python\Программирование_на_Python_в_примерах_и_задачах.pdf","Программирование_на_Python_в_примерах_и_задачах.pdf")</f>
        <v>Программирование_на_Python_в_примерах_и_задачах.pdf</v>
      </c>
      <c r="O2678" s="3" t="s">
        <v>10546</v>
      </c>
    </row>
    <row r="2679" spans="1:15" ht="165.6" x14ac:dyDescent="0.3">
      <c r="A2679" s="4">
        <v>2678</v>
      </c>
      <c r="B2679" s="5" t="s">
        <v>10547</v>
      </c>
      <c r="C2679" s="5" t="s">
        <v>10548</v>
      </c>
      <c r="D2679" s="5" t="s">
        <v>71</v>
      </c>
      <c r="E2679" s="5" t="s">
        <v>726</v>
      </c>
      <c r="F2679" s="5" t="s">
        <v>9957</v>
      </c>
      <c r="G2679" s="5" t="s">
        <v>8458</v>
      </c>
      <c r="H2679" s="5" t="s">
        <v>9958</v>
      </c>
      <c r="I2679" s="5" t="s">
        <v>20</v>
      </c>
      <c r="J2679" s="5">
        <v>3.85</v>
      </c>
      <c r="K2679" s="5" t="s">
        <v>21</v>
      </c>
      <c r="L2679" s="5" t="s">
        <v>10549</v>
      </c>
      <c r="M2679" s="5" t="s">
        <v>9960</v>
      </c>
      <c r="N2679" s="7" t="str">
        <f>HYPERLINK("C:\Users\alexa\YandexDisk\Книги\Программирование\Python\Программирование_на_Python_Первые_шаги.pdf","Программирование_на_Python_Первые_шаги.pdf")</f>
        <v>Программирование_на_Python_Первые_шаги.pdf</v>
      </c>
      <c r="O2679" s="5" t="s">
        <v>10550</v>
      </c>
    </row>
    <row r="2680" spans="1:15" ht="151.80000000000001" x14ac:dyDescent="0.3">
      <c r="A2680" s="2">
        <v>2679</v>
      </c>
      <c r="B2680" s="3" t="s">
        <v>10551</v>
      </c>
      <c r="C2680" s="3" t="s">
        <v>10552</v>
      </c>
      <c r="D2680" s="3" t="s">
        <v>77</v>
      </c>
      <c r="E2680" s="3" t="s">
        <v>10553</v>
      </c>
      <c r="F2680" s="3" t="s">
        <v>9957</v>
      </c>
      <c r="G2680" s="3" t="s">
        <v>8458</v>
      </c>
      <c r="H2680" s="3" t="s">
        <v>9958</v>
      </c>
      <c r="I2680" s="3" t="s">
        <v>20</v>
      </c>
      <c r="J2680" s="3">
        <v>3.19</v>
      </c>
      <c r="K2680" s="3" t="s">
        <v>21</v>
      </c>
      <c r="L2680" s="3" t="s">
        <v>10554</v>
      </c>
      <c r="M2680" s="3" t="s">
        <v>9960</v>
      </c>
      <c r="N2680" s="6" t="str">
        <f>HYPERLINK("C:\Users\alexa\YandexDisk\Книги\Программирование\Python\Программирование_на_языке_высокого_уровня_Python__Федоров.pdf","Программирование_на_языке_высокого_уровня_Python__Федоров.pdf")</f>
        <v>Программирование_на_языке_высокого_уровня_Python__Федоров.pdf</v>
      </c>
      <c r="O2680" s="3" t="s">
        <v>10555</v>
      </c>
    </row>
    <row r="2681" spans="1:15" ht="124.2" x14ac:dyDescent="0.3">
      <c r="A2681" s="4">
        <v>2680</v>
      </c>
      <c r="B2681" s="5" t="s">
        <v>10556</v>
      </c>
      <c r="C2681" s="5" t="s">
        <v>10557</v>
      </c>
      <c r="D2681" s="5" t="s">
        <v>50</v>
      </c>
      <c r="E2681" s="5" t="s">
        <v>303</v>
      </c>
      <c r="F2681" s="5" t="s">
        <v>9957</v>
      </c>
      <c r="G2681" s="5" t="s">
        <v>8458</v>
      </c>
      <c r="H2681" s="5" t="s">
        <v>9958</v>
      </c>
      <c r="I2681" s="5" t="s">
        <v>20</v>
      </c>
      <c r="J2681" s="5">
        <v>28.55</v>
      </c>
      <c r="K2681" s="5" t="s">
        <v>21</v>
      </c>
      <c r="L2681" s="5" t="s">
        <v>10558</v>
      </c>
      <c r="M2681" s="5" t="s">
        <v>9960</v>
      </c>
      <c r="N2681" s="7" t="str">
        <f>HYPERLINK("C:\Users\alexa\YandexDisk\Книги\Программирование\Python\Программируем_с_Minecraft_Создай_свой_мир_с_помощью_Python.pdf","Программируем_с_Minecraft_Создай_свой_мир_с_помощью_Python.pdf")</f>
        <v>Программируем_с_Minecraft_Создай_свой_мир_с_помощью_Python.pdf</v>
      </c>
      <c r="O2681" s="5" t="s">
        <v>10559</v>
      </c>
    </row>
    <row r="2682" spans="1:15" ht="165.6" x14ac:dyDescent="0.3">
      <c r="A2682" s="2">
        <v>2681</v>
      </c>
      <c r="B2682" s="3" t="s">
        <v>10560</v>
      </c>
      <c r="C2682" s="3"/>
      <c r="D2682" s="3" t="s">
        <v>77</v>
      </c>
      <c r="E2682" s="3"/>
      <c r="F2682" s="3" t="s">
        <v>9957</v>
      </c>
      <c r="G2682" s="3" t="s">
        <v>8458</v>
      </c>
      <c r="H2682" s="3" t="s">
        <v>9958</v>
      </c>
      <c r="I2682" s="3" t="s">
        <v>20</v>
      </c>
      <c r="J2682" s="3">
        <v>70.39</v>
      </c>
      <c r="K2682" s="3" t="s">
        <v>21</v>
      </c>
      <c r="L2682" s="3" t="s">
        <v>10561</v>
      </c>
      <c r="M2682" s="3" t="s">
        <v>9960</v>
      </c>
      <c r="N2682" s="6" t="str">
        <f>HYPERLINK("C:\Users\alexa\YandexDisk\Книги\Программирование\Python\Простой_Python_просто_с_нуля_Программирование_2019.pdf","Простой_Python_просто_с_нуля_Программирование_2019.pdf")</f>
        <v>Простой_Python_просто_с_нуля_Программирование_2019.pdf</v>
      </c>
      <c r="O2682" s="3" t="s">
        <v>10562</v>
      </c>
    </row>
    <row r="2683" spans="1:15" ht="151.80000000000001" x14ac:dyDescent="0.3">
      <c r="A2683" s="4">
        <v>2682</v>
      </c>
      <c r="B2683" s="5" t="s">
        <v>10127</v>
      </c>
      <c r="C2683" s="5" t="s">
        <v>10128</v>
      </c>
      <c r="D2683" s="5" t="s">
        <v>17</v>
      </c>
      <c r="E2683" s="5" t="s">
        <v>187</v>
      </c>
      <c r="F2683" s="5" t="s">
        <v>9957</v>
      </c>
      <c r="G2683" s="5" t="s">
        <v>8458</v>
      </c>
      <c r="H2683" s="5" t="s">
        <v>9958</v>
      </c>
      <c r="I2683" s="5" t="s">
        <v>20</v>
      </c>
      <c r="J2683" s="5">
        <v>7.63</v>
      </c>
      <c r="K2683" s="5" t="s">
        <v>21</v>
      </c>
      <c r="L2683" s="5" t="s">
        <v>10563</v>
      </c>
      <c r="M2683" s="5" t="s">
        <v>9960</v>
      </c>
      <c r="N2683" s="7" t="str">
        <f>HYPERLINK("C:\Users\alexa\YandexDisk\Книги\Программирование\Python\Простой_Python_Современный_стиль_программирования.pdf","Простой_Python_Современный_стиль_программирования.pdf")</f>
        <v>Простой_Python_Современный_стиль_программирования.pdf</v>
      </c>
      <c r="O2683" s="5" t="s">
        <v>10564</v>
      </c>
    </row>
    <row r="2684" spans="1:15" ht="165.6" x14ac:dyDescent="0.3">
      <c r="A2684" s="2">
        <v>2683</v>
      </c>
      <c r="B2684" s="3" t="s">
        <v>10565</v>
      </c>
      <c r="C2684" s="3"/>
      <c r="D2684" s="3" t="s">
        <v>17</v>
      </c>
      <c r="E2684" s="3" t="s">
        <v>102</v>
      </c>
      <c r="F2684" s="3" t="s">
        <v>9957</v>
      </c>
      <c r="G2684" s="3" t="s">
        <v>8458</v>
      </c>
      <c r="H2684" s="3" t="s">
        <v>9958</v>
      </c>
      <c r="I2684" s="3" t="s">
        <v>20</v>
      </c>
      <c r="J2684" s="3">
        <v>5.95</v>
      </c>
      <c r="K2684" s="3" t="s">
        <v>21</v>
      </c>
      <c r="L2684" s="3" t="s">
        <v>10566</v>
      </c>
      <c r="M2684" s="3" t="s">
        <v>9960</v>
      </c>
      <c r="N2684" s="6" t="str">
        <f>HYPERLINK("C:\Users\alexa\YandexDisk\Книги\Программирование\Python\Профессиональная_разработка_на_Python 2021.pdf","Профессиональная_разработка_на_Python 2021.pdf")</f>
        <v>Профессиональная_разработка_на_Python 2021.pdf</v>
      </c>
      <c r="O2684" s="3" t="s">
        <v>10567</v>
      </c>
    </row>
    <row r="2685" spans="1:15" ht="124.2" x14ac:dyDescent="0.3">
      <c r="A2685" s="4">
        <v>2684</v>
      </c>
      <c r="B2685" s="5" t="s">
        <v>10289</v>
      </c>
      <c r="C2685" s="5" t="s">
        <v>10568</v>
      </c>
      <c r="D2685" s="5" t="s">
        <v>114</v>
      </c>
      <c r="E2685" s="5"/>
      <c r="F2685" s="5" t="s">
        <v>9957</v>
      </c>
      <c r="G2685" s="5" t="s">
        <v>8458</v>
      </c>
      <c r="H2685" s="5" t="s">
        <v>9958</v>
      </c>
      <c r="I2685" s="5" t="s">
        <v>20</v>
      </c>
      <c r="J2685" s="5">
        <v>208.18</v>
      </c>
      <c r="K2685" s="5" t="s">
        <v>21</v>
      </c>
      <c r="L2685" s="5" t="s">
        <v>10569</v>
      </c>
      <c r="M2685" s="5" t="s">
        <v>9960</v>
      </c>
      <c r="N2685" s="7" t="str">
        <f>HYPERLINK("C:\Users\alexa\YandexDisk\Книги\Программирование\Python\Прохоренок Н., Дронов В. - Python 3 и PyQt 5. Разработка приложений - 2016.PDF","Прохоренок Н., Дронов В. - Python 3 и PyQt 5. Разработка приложений - 2016.PDF")</f>
        <v>Прохоренок Н., Дронов В. - Python 3 и PyQt 5. Разработка приложений - 2016.PDF</v>
      </c>
      <c r="O2685" s="5" t="s">
        <v>10570</v>
      </c>
    </row>
    <row r="2686" spans="1:15" ht="165.6" x14ac:dyDescent="0.3">
      <c r="A2686" s="2">
        <v>2685</v>
      </c>
      <c r="B2686" s="3" t="s">
        <v>10571</v>
      </c>
      <c r="C2686" s="3" t="s">
        <v>10572</v>
      </c>
      <c r="D2686" s="3" t="s">
        <v>59</v>
      </c>
      <c r="E2686" s="3" t="s">
        <v>18</v>
      </c>
      <c r="F2686" s="3" t="s">
        <v>9957</v>
      </c>
      <c r="G2686" s="3" t="s">
        <v>8458</v>
      </c>
      <c r="H2686" s="3" t="s">
        <v>9958</v>
      </c>
      <c r="I2686" s="3" t="s">
        <v>20</v>
      </c>
      <c r="J2686" s="3">
        <v>23.79</v>
      </c>
      <c r="K2686" s="3" t="s">
        <v>21</v>
      </c>
      <c r="L2686" s="3" t="s">
        <v>10573</v>
      </c>
      <c r="M2686" s="3" t="s">
        <v>9960</v>
      </c>
      <c r="N2686" s="6" t="str">
        <f>HYPERLINK("C:\Users\alexa\YandexDisk\Книги\Программирование\Python\Путь_Python_Черный_пояс_по_разработке,_масштабированию,_тестированию.pdf","Путь_Python_Черный_пояс_по_разработке,_масштабированию,_тестированию.pdf")</f>
        <v>Путь_Python_Черный_пояс_по_разработке,_масштабированию,_тестированию.pdf</v>
      </c>
      <c r="O2686" s="3" t="s">
        <v>10574</v>
      </c>
    </row>
    <row r="2687" spans="1:15" ht="207" x14ac:dyDescent="0.3">
      <c r="A2687" s="4">
        <v>2686</v>
      </c>
      <c r="B2687" s="5" t="s">
        <v>10575</v>
      </c>
      <c r="C2687" s="5" t="s">
        <v>10576</v>
      </c>
      <c r="D2687" s="5" t="s">
        <v>600</v>
      </c>
      <c r="E2687" s="5" t="s">
        <v>402</v>
      </c>
      <c r="F2687" s="5" t="s">
        <v>9957</v>
      </c>
      <c r="G2687" s="5" t="s">
        <v>8458</v>
      </c>
      <c r="H2687" s="5" t="s">
        <v>9958</v>
      </c>
      <c r="I2687" s="5" t="s">
        <v>20</v>
      </c>
      <c r="J2687" s="5">
        <v>27</v>
      </c>
      <c r="K2687" s="5" t="s">
        <v>21</v>
      </c>
      <c r="L2687" s="5" t="s">
        <v>10577</v>
      </c>
      <c r="M2687" s="5" t="s">
        <v>9960</v>
      </c>
      <c r="N2687" s="7" t="str">
        <f>HYPERLINK("C:\Users\alexa\YandexDisk\Книги\Программирование\Python\Разработка Telegram-ботов на Python с нуля.pdf","Разработка Telegram-ботов на Python с нуля.pdf")</f>
        <v>Разработка Telegram-ботов на Python с нуля.pdf</v>
      </c>
      <c r="O2687" s="5" t="s">
        <v>10578</v>
      </c>
    </row>
    <row r="2688" spans="1:15" ht="179.4" x14ac:dyDescent="0.3">
      <c r="A2688" s="2">
        <v>2687</v>
      </c>
      <c r="B2688" s="3" t="s">
        <v>10579</v>
      </c>
      <c r="C2688" s="3" t="s">
        <v>3540</v>
      </c>
      <c r="D2688" s="3" t="s">
        <v>71</v>
      </c>
      <c r="E2688" s="3" t="s">
        <v>1500</v>
      </c>
      <c r="F2688" s="3" t="s">
        <v>9957</v>
      </c>
      <c r="G2688" s="3" t="s">
        <v>8458</v>
      </c>
      <c r="H2688" s="3" t="s">
        <v>9958</v>
      </c>
      <c r="I2688" s="3" t="s">
        <v>20</v>
      </c>
      <c r="J2688" s="3">
        <v>15.68</v>
      </c>
      <c r="K2688" s="3" t="s">
        <v>21</v>
      </c>
      <c r="L2688" s="3" t="s">
        <v>10580</v>
      </c>
      <c r="M2688" s="3" t="s">
        <v>9960</v>
      </c>
      <c r="N2688" s="6" t="str">
        <f>HYPERLINK("C:\Users\alexa\YandexDisk\Книги\Программирование\Python\Разработка кроссплатформенных приложений на Python.pdf","Разработка кроссплатформенных приложений на Python.pdf")</f>
        <v>Разработка кроссплатформенных приложений на Python.pdf</v>
      </c>
      <c r="O2688" s="3" t="s">
        <v>10581</v>
      </c>
    </row>
    <row r="2689" spans="1:15" ht="193.2" x14ac:dyDescent="0.3">
      <c r="A2689" s="4">
        <v>2688</v>
      </c>
      <c r="B2689" s="5" t="s">
        <v>10582</v>
      </c>
      <c r="C2689" s="5" t="s">
        <v>10583</v>
      </c>
      <c r="D2689" s="5" t="s">
        <v>27</v>
      </c>
      <c r="E2689" s="5" t="s">
        <v>148</v>
      </c>
      <c r="F2689" s="5" t="s">
        <v>9957</v>
      </c>
      <c r="G2689" s="5" t="s">
        <v>8458</v>
      </c>
      <c r="H2689" s="5" t="s">
        <v>9958</v>
      </c>
      <c r="I2689" s="5" t="s">
        <v>20</v>
      </c>
      <c r="J2689" s="5">
        <v>3.12</v>
      </c>
      <c r="K2689" s="5" t="s">
        <v>21</v>
      </c>
      <c r="L2689" s="5" t="s">
        <v>10584</v>
      </c>
      <c r="M2689" s="5" t="s">
        <v>9960</v>
      </c>
      <c r="N2689" s="7" t="str">
        <f>HYPERLINK("C:\Users\alexa\YandexDisk\Книги\Программирование\Python\Разработка приложений с GUI на Python.pdf","Разработка приложений с GUI на Python.pdf")</f>
        <v>Разработка приложений с GUI на Python.pdf</v>
      </c>
      <c r="O2689" s="5" t="s">
        <v>10585</v>
      </c>
    </row>
    <row r="2690" spans="1:15" ht="179.4" x14ac:dyDescent="0.3">
      <c r="A2690" s="2">
        <v>2689</v>
      </c>
      <c r="B2690" s="3" t="s">
        <v>10586</v>
      </c>
      <c r="C2690" s="3" t="s">
        <v>10587</v>
      </c>
      <c r="D2690" s="3" t="s">
        <v>50</v>
      </c>
      <c r="E2690" s="3" t="s">
        <v>102</v>
      </c>
      <c r="F2690" s="3" t="s">
        <v>9957</v>
      </c>
      <c r="G2690" s="3" t="s">
        <v>8458</v>
      </c>
      <c r="H2690" s="3" t="s">
        <v>9958</v>
      </c>
      <c r="I2690" s="3" t="s">
        <v>20</v>
      </c>
      <c r="J2690" s="3">
        <v>18.93</v>
      </c>
      <c r="K2690" s="3" t="s">
        <v>21</v>
      </c>
      <c r="L2690" s="3" t="s">
        <v>10588</v>
      </c>
      <c r="M2690" s="3" t="s">
        <v>9960</v>
      </c>
      <c r="N2690" s="6" t="str">
        <f>HYPERLINK("C:\Users\alexa\YandexDisk\Книги\Программирование\Python\Разработка_геоприложений_на_языке_Python_2017.pdf","Разработка_геоприложений_на_языке_Python_2017.pdf")</f>
        <v>Разработка_геоприложений_на_языке_Python_2017.pdf</v>
      </c>
      <c r="O2690" s="3" t="s">
        <v>10589</v>
      </c>
    </row>
    <row r="2691" spans="1:15" ht="220.8" x14ac:dyDescent="0.3">
      <c r="A2691" s="4">
        <v>2690</v>
      </c>
      <c r="B2691" s="5" t="s">
        <v>10579</v>
      </c>
      <c r="C2691" s="5" t="s">
        <v>3540</v>
      </c>
      <c r="D2691" s="5" t="s">
        <v>71</v>
      </c>
      <c r="E2691" s="5" t="s">
        <v>1500</v>
      </c>
      <c r="F2691" s="5" t="s">
        <v>9957</v>
      </c>
      <c r="G2691" s="5" t="s">
        <v>8458</v>
      </c>
      <c r="H2691" s="5" t="s">
        <v>9958</v>
      </c>
      <c r="I2691" s="5" t="s">
        <v>20</v>
      </c>
      <c r="J2691" s="5">
        <v>15.68</v>
      </c>
      <c r="K2691" s="5" t="s">
        <v>21</v>
      </c>
      <c r="L2691" s="5" t="s">
        <v>10590</v>
      </c>
      <c r="M2691" s="5" t="s">
        <v>9960</v>
      </c>
      <c r="N2691" s="7" t="str">
        <f>HYPERLINK("C:\Users\alexa\YandexDisk\Книги\Программирование\Python\Разработка_кроссплатформенных_мобильных_и_настольных_приложений.pdf","Разработка_кроссплатформенных_мобильных_и_настольных_приложений.pdf")</f>
        <v>Разработка_кроссплатформенных_мобильных_и_настольных_приложений.pdf</v>
      </c>
      <c r="O2691" s="5" t="s">
        <v>10591</v>
      </c>
    </row>
    <row r="2692" spans="1:15" ht="193.2" x14ac:dyDescent="0.3">
      <c r="A2692" s="2">
        <v>2691</v>
      </c>
      <c r="B2692" s="3" t="s">
        <v>10582</v>
      </c>
      <c r="C2692" s="3" t="s">
        <v>10583</v>
      </c>
      <c r="D2692" s="3" t="s">
        <v>27</v>
      </c>
      <c r="E2692" s="3" t="s">
        <v>148</v>
      </c>
      <c r="F2692" s="3" t="s">
        <v>9957</v>
      </c>
      <c r="G2692" s="3" t="s">
        <v>8458</v>
      </c>
      <c r="H2692" s="3" t="s">
        <v>9958</v>
      </c>
      <c r="I2692" s="3" t="s">
        <v>20</v>
      </c>
      <c r="J2692" s="3">
        <v>3.17</v>
      </c>
      <c r="K2692" s="3" t="s">
        <v>21</v>
      </c>
      <c r="L2692" s="3" t="s">
        <v>10592</v>
      </c>
      <c r="M2692" s="3" t="s">
        <v>9960</v>
      </c>
      <c r="N2692" s="6" t="str">
        <f>HYPERLINK("C:\Users\alexa\YandexDisk\Книги\Программирование\Python\Разработка_приложений_с_графическим_пользовательским_интерфейсом.pdf","Разработка_приложений_с_графическим_пользовательским_интерфейсом.pdf")</f>
        <v>Разработка_приложений_с_графическим_пользовательским_интерфейсом.pdf</v>
      </c>
      <c r="O2692" s="3" t="s">
        <v>10593</v>
      </c>
    </row>
    <row r="2693" spans="1:15" ht="165.6" x14ac:dyDescent="0.3">
      <c r="A2693" s="4">
        <v>2692</v>
      </c>
      <c r="B2693" s="5" t="s">
        <v>10594</v>
      </c>
      <c r="C2693" s="5" t="s">
        <v>10595</v>
      </c>
      <c r="D2693" s="5" t="s">
        <v>17</v>
      </c>
      <c r="E2693" s="5"/>
      <c r="F2693" s="5" t="s">
        <v>9957</v>
      </c>
      <c r="G2693" s="5" t="s">
        <v>8458</v>
      </c>
      <c r="H2693" s="5" t="s">
        <v>9958</v>
      </c>
      <c r="I2693" s="5" t="s">
        <v>20</v>
      </c>
      <c r="J2693" s="5">
        <v>3.89</v>
      </c>
      <c r="K2693" s="5" t="s">
        <v>21</v>
      </c>
      <c r="L2693" s="5" t="s">
        <v>10596</v>
      </c>
      <c r="M2693" s="5" t="s">
        <v>9960</v>
      </c>
      <c r="N2693" s="7" t="str">
        <f>HYPERLINK("C:\Users\alexa\YandexDisk\Книги\Программирование\Python\Райан_Митчелл Современный_скрапинг_веб_сайтов_с_помощью_Python_2021.pdf","Райан_Митчелл Современный_скрапинг_веб_сайтов_с_помощью_Python_2021.pdf")</f>
        <v>Райан_Митчелл Современный_скрапинг_веб_сайтов_с_помощью_Python_2021.pdf</v>
      </c>
      <c r="O2693" s="5" t="s">
        <v>10597</v>
      </c>
    </row>
    <row r="2694" spans="1:15" ht="151.80000000000001" x14ac:dyDescent="0.3">
      <c r="A2694" s="2">
        <v>2693</v>
      </c>
      <c r="B2694" s="3" t="s">
        <v>10598</v>
      </c>
      <c r="C2694" s="3" t="s">
        <v>10229</v>
      </c>
      <c r="D2694" s="3"/>
      <c r="E2694" s="3"/>
      <c r="F2694" s="3" t="s">
        <v>9957</v>
      </c>
      <c r="G2694" s="3" t="s">
        <v>8458</v>
      </c>
      <c r="H2694" s="3" t="s">
        <v>9958</v>
      </c>
      <c r="I2694" s="3" t="s">
        <v>20</v>
      </c>
      <c r="J2694" s="3">
        <v>189.71</v>
      </c>
      <c r="K2694" s="3" t="s">
        <v>21</v>
      </c>
      <c r="L2694" s="3" t="s">
        <v>10599</v>
      </c>
      <c r="M2694" s="3" t="s">
        <v>9960</v>
      </c>
      <c r="N2694" s="6" t="str">
        <f>HYPERLINK("C:\Users\alexa\YandexDisk\Книги\Программирование\Python\Рамальо Лучано. Python. К вершинам мастерства.pdf","Рамальо Лучано. Python. К вершинам мастерства.pdf")</f>
        <v>Рамальо Лучано. Python. К вершинам мастерства.pdf</v>
      </c>
      <c r="O2694" s="3" t="s">
        <v>10600</v>
      </c>
    </row>
    <row r="2695" spans="1:15" ht="220.8" x14ac:dyDescent="0.3">
      <c r="A2695" s="4">
        <v>2694</v>
      </c>
      <c r="B2695" s="5" t="s">
        <v>10601</v>
      </c>
      <c r="C2695" s="5" t="s">
        <v>10602</v>
      </c>
      <c r="D2695" s="5" t="s">
        <v>50</v>
      </c>
      <c r="E2695" s="5" t="s">
        <v>102</v>
      </c>
      <c r="F2695" s="5" t="s">
        <v>9957</v>
      </c>
      <c r="G2695" s="5" t="s">
        <v>8458</v>
      </c>
      <c r="H2695" s="5" t="s">
        <v>9958</v>
      </c>
      <c r="I2695" s="5" t="s">
        <v>20</v>
      </c>
      <c r="J2695" s="5">
        <v>149.71</v>
      </c>
      <c r="K2695" s="5" t="s">
        <v>21</v>
      </c>
      <c r="L2695" s="5" t="s">
        <v>10603</v>
      </c>
      <c r="M2695" s="5" t="s">
        <v>9960</v>
      </c>
      <c r="N2695" s="7" t="str">
        <f>HYPERLINK("C:\Users\alexa\YandexDisk\Книги\Программирование\Python\Рашка С. - Python и машинное обучение - 2017.PDF","Рашка С. - Python и машинное обучение - 2017.PDF")</f>
        <v>Рашка С. - Python и машинное обучение - 2017.PDF</v>
      </c>
      <c r="O2695" s="5" t="s">
        <v>10604</v>
      </c>
    </row>
    <row r="2696" spans="1:15" ht="193.2" x14ac:dyDescent="0.3">
      <c r="A2696" s="2">
        <v>2695</v>
      </c>
      <c r="B2696" s="3" t="s">
        <v>10605</v>
      </c>
      <c r="C2696" s="3" t="s">
        <v>9978</v>
      </c>
      <c r="D2696" s="3" t="s">
        <v>109</v>
      </c>
      <c r="E2696" s="3" t="s">
        <v>18</v>
      </c>
      <c r="F2696" s="3" t="s">
        <v>9957</v>
      </c>
      <c r="G2696" s="3" t="s">
        <v>8458</v>
      </c>
      <c r="H2696" s="3" t="s">
        <v>9958</v>
      </c>
      <c r="I2696" s="3" t="s">
        <v>20</v>
      </c>
      <c r="J2696" s="3">
        <v>7.77</v>
      </c>
      <c r="K2696" s="3" t="s">
        <v>21</v>
      </c>
      <c r="L2696" s="3" t="s">
        <v>10606</v>
      </c>
      <c r="M2696" s="3" t="s">
        <v>9960</v>
      </c>
      <c r="N2696" s="6" t="str">
        <f>HYPERLINK("C:\Users\alexa\YandexDisk\Книги\Программирование\Python\Рецепты Python.pdf","Рецепты Python.pdf")</f>
        <v>Рецепты Python.pdf</v>
      </c>
      <c r="O2696" s="3" t="s">
        <v>10607</v>
      </c>
    </row>
    <row r="2697" spans="1:15" ht="179.4" x14ac:dyDescent="0.3">
      <c r="A2697" s="4">
        <v>2696</v>
      </c>
      <c r="B2697" s="5" t="s">
        <v>10608</v>
      </c>
      <c r="C2697" s="5" t="s">
        <v>10609</v>
      </c>
      <c r="D2697" s="5" t="s">
        <v>109</v>
      </c>
      <c r="E2697" s="5" t="s">
        <v>102</v>
      </c>
      <c r="F2697" s="5" t="s">
        <v>9957</v>
      </c>
      <c r="G2697" s="5" t="s">
        <v>8458</v>
      </c>
      <c r="H2697" s="5" t="s">
        <v>9958</v>
      </c>
      <c r="I2697" s="5" t="s">
        <v>20</v>
      </c>
      <c r="J2697" s="5">
        <v>5.95</v>
      </c>
      <c r="K2697" s="5" t="s">
        <v>21</v>
      </c>
      <c r="L2697" s="5" t="s">
        <v>10610</v>
      </c>
      <c r="M2697" s="5" t="s">
        <v>9960</v>
      </c>
      <c r="N2697" s="7" t="str">
        <f>HYPERLINK("C:\Users\alexa\YandexDisk\Книги\Программирование\Python\Решение трудных и увлекательных задач на Python.pdf","Решение трудных и увлекательных задач на Python.pdf")</f>
        <v>Решение трудных и увлекательных задач на Python.pdf</v>
      </c>
      <c r="O2697" s="5" t="s">
        <v>10611</v>
      </c>
    </row>
    <row r="2698" spans="1:15" ht="179.4" x14ac:dyDescent="0.3">
      <c r="A2698" s="2">
        <v>2697</v>
      </c>
      <c r="B2698" s="3" t="s">
        <v>10612</v>
      </c>
      <c r="C2698" s="3"/>
      <c r="D2698" s="3"/>
      <c r="E2698" s="3"/>
      <c r="F2698" s="3" t="s">
        <v>9957</v>
      </c>
      <c r="G2698" s="3" t="s">
        <v>8458</v>
      </c>
      <c r="H2698" s="3" t="s">
        <v>9958</v>
      </c>
      <c r="I2698" s="3" t="s">
        <v>20</v>
      </c>
      <c r="J2698" s="3">
        <v>16.95</v>
      </c>
      <c r="K2698" s="3" t="s">
        <v>21</v>
      </c>
      <c r="L2698" s="3" t="s">
        <v>10613</v>
      </c>
      <c r="M2698" s="3" t="s">
        <v>9960</v>
      </c>
      <c r="N2698" s="6" t="str">
        <f>HYPERLINK("C:\Users\alexa\YandexDisk\Книги\Программирование\Python\Сам_себе_программист (Python).pdf","Сам_себе_программист (Python).pdf")</f>
        <v>Сам_себе_программист (Python).pdf</v>
      </c>
      <c r="O2698" s="3" t="s">
        <v>10614</v>
      </c>
    </row>
    <row r="2699" spans="1:15" ht="151.80000000000001" x14ac:dyDescent="0.3">
      <c r="A2699" s="4">
        <v>2698</v>
      </c>
      <c r="B2699" s="5" t="s">
        <v>10615</v>
      </c>
      <c r="C2699" s="5" t="s">
        <v>10616</v>
      </c>
      <c r="D2699" s="5" t="s">
        <v>1022</v>
      </c>
      <c r="E2699" s="5"/>
      <c r="F2699" s="5" t="s">
        <v>9957</v>
      </c>
      <c r="G2699" s="5" t="s">
        <v>8458</v>
      </c>
      <c r="H2699" s="5" t="s">
        <v>9958</v>
      </c>
      <c r="I2699" s="5" t="s">
        <v>20</v>
      </c>
      <c r="J2699" s="5">
        <v>0.68</v>
      </c>
      <c r="K2699" s="5" t="s">
        <v>21</v>
      </c>
      <c r="L2699" s="5" t="s">
        <v>10617</v>
      </c>
      <c r="M2699" s="5" t="s">
        <v>9960</v>
      </c>
      <c r="N2699" s="7" t="str">
        <f>HYPERLINK("C:\Users\alexa\YandexDisk\Книги\Программирование\Python\самоучитель_python.pdf","самоучитель_python.pdf")</f>
        <v>самоучитель_python.pdf</v>
      </c>
      <c r="O2699" s="5" t="s">
        <v>10618</v>
      </c>
    </row>
    <row r="2700" spans="1:15" ht="124.2" x14ac:dyDescent="0.3">
      <c r="A2700" s="2">
        <v>2699</v>
      </c>
      <c r="B2700" s="3" t="s">
        <v>9970</v>
      </c>
      <c r="C2700" s="3" t="s">
        <v>9971</v>
      </c>
      <c r="D2700" s="3" t="s">
        <v>17</v>
      </c>
      <c r="E2700" s="3" t="s">
        <v>102</v>
      </c>
      <c r="F2700" s="3" t="s">
        <v>9957</v>
      </c>
      <c r="G2700" s="3" t="s">
        <v>8458</v>
      </c>
      <c r="H2700" s="3" t="s">
        <v>9958</v>
      </c>
      <c r="I2700" s="3" t="s">
        <v>20</v>
      </c>
      <c r="J2700" s="3">
        <v>1.66</v>
      </c>
      <c r="K2700" s="3" t="s">
        <v>21</v>
      </c>
      <c r="L2700" s="3" t="s">
        <v>10619</v>
      </c>
      <c r="M2700" s="3" t="s">
        <v>9960</v>
      </c>
      <c r="N2700" s="6" t="str">
        <f>HYPERLINK("C:\Users\alexa\YandexDisk\Книги\Программирование\Python\Сборник упражнений-Python - 2021.pdf","Сборник упражнений-Python - 2021.pdf")</f>
        <v>Сборник упражнений-Python - 2021.pdf</v>
      </c>
      <c r="O2700" s="3" t="s">
        <v>10620</v>
      </c>
    </row>
    <row r="2701" spans="1:15" ht="179.4" x14ac:dyDescent="0.3">
      <c r="A2701" s="4">
        <v>2700</v>
      </c>
      <c r="B2701" s="5" t="s">
        <v>10419</v>
      </c>
      <c r="C2701" s="5" t="s">
        <v>10236</v>
      </c>
      <c r="D2701" s="5" t="s">
        <v>71</v>
      </c>
      <c r="E2701" s="5" t="s">
        <v>18</v>
      </c>
      <c r="F2701" s="5" t="s">
        <v>9957</v>
      </c>
      <c r="G2701" s="5" t="s">
        <v>8458</v>
      </c>
      <c r="H2701" s="5" t="s">
        <v>9958</v>
      </c>
      <c r="I2701" s="5" t="s">
        <v>20</v>
      </c>
      <c r="J2701" s="5">
        <v>8.27</v>
      </c>
      <c r="K2701" s="5" t="s">
        <v>21</v>
      </c>
      <c r="L2701" s="5" t="s">
        <v>10621</v>
      </c>
      <c r="M2701" s="5" t="s">
        <v>9960</v>
      </c>
      <c r="N2701" s="7" t="str">
        <f>HYPERLINK("C:\Users\alexa\YandexDisk\Книги\Программирование\Python\Свейгарт Книга проектов на Python 2022.pdf","Свейгарт Книга проектов на Python 2022.pdf")</f>
        <v>Свейгарт Книга проектов на Python 2022.pdf</v>
      </c>
      <c r="O2701" s="5" t="s">
        <v>10622</v>
      </c>
    </row>
    <row r="2702" spans="1:15" ht="151.80000000000001" x14ac:dyDescent="0.3">
      <c r="A2702" s="2">
        <v>2701</v>
      </c>
      <c r="B2702" s="3" t="s">
        <v>10005</v>
      </c>
      <c r="C2702" s="3" t="s">
        <v>2771</v>
      </c>
      <c r="D2702" s="3" t="s">
        <v>17</v>
      </c>
      <c r="E2702" s="3"/>
      <c r="F2702" s="3" t="s">
        <v>9957</v>
      </c>
      <c r="G2702" s="3" t="s">
        <v>8458</v>
      </c>
      <c r="H2702" s="3" t="s">
        <v>9958</v>
      </c>
      <c r="I2702" s="3" t="s">
        <v>519</v>
      </c>
      <c r="J2702" s="3">
        <v>50.42</v>
      </c>
      <c r="K2702" s="3" t="s">
        <v>21</v>
      </c>
      <c r="L2702" s="3" t="s">
        <v>10623</v>
      </c>
      <c r="M2702" s="3" t="s">
        <v>9960</v>
      </c>
      <c r="N2702" s="6" t="str">
        <f>HYPERLINK("C:\Users\alexa\YandexDisk\Книги\Программирование\Python\Свейгарт Эл. Автоматизация рутинных задач с помощью Python, 2-е изд. (2021).zip","Свейгарт Эл. Автоматизация рутинных задач с помощью Python, 2-е изд. (2021).zip")</f>
        <v>Свейгарт Эл. Автоматизация рутинных задач с помощью Python, 2-е изд. (2021).zip</v>
      </c>
      <c r="O2702" s="3" t="s">
        <v>10624</v>
      </c>
    </row>
    <row r="2703" spans="1:15" ht="151.80000000000001" x14ac:dyDescent="0.3">
      <c r="A2703" s="4">
        <v>2702</v>
      </c>
      <c r="B2703" s="5" t="s">
        <v>10625</v>
      </c>
      <c r="C2703" s="5" t="s">
        <v>10626</v>
      </c>
      <c r="D2703" s="5" t="s">
        <v>27</v>
      </c>
      <c r="E2703" s="5" t="s">
        <v>102</v>
      </c>
      <c r="F2703" s="5" t="s">
        <v>9957</v>
      </c>
      <c r="G2703" s="5" t="s">
        <v>8458</v>
      </c>
      <c r="H2703" s="5" t="s">
        <v>9958</v>
      </c>
      <c r="I2703" s="5" t="s">
        <v>20</v>
      </c>
      <c r="J2703" s="5">
        <v>12.68</v>
      </c>
      <c r="K2703" s="5" t="s">
        <v>21</v>
      </c>
      <c r="L2703" s="5" t="s">
        <v>10627</v>
      </c>
      <c r="M2703" s="5" t="s">
        <v>9960</v>
      </c>
      <c r="N2703" s="7" t="str">
        <f>HYPERLINK("C:\Users\alexa\YandexDisk\Книги\Программирование\Python\Сверхбыстрый Python.pdf","Сверхбыстрый Python.pdf")</f>
        <v>Сверхбыстрый Python.pdf</v>
      </c>
      <c r="O2703" s="5" t="s">
        <v>10628</v>
      </c>
    </row>
    <row r="2704" spans="1:15" ht="151.80000000000001" x14ac:dyDescent="0.3">
      <c r="A2704" s="2">
        <v>2703</v>
      </c>
      <c r="B2704" s="3" t="s">
        <v>10629</v>
      </c>
      <c r="C2704" s="3" t="s">
        <v>10630</v>
      </c>
      <c r="D2704" s="3" t="s">
        <v>17</v>
      </c>
      <c r="E2704" s="3" t="s">
        <v>18</v>
      </c>
      <c r="F2704" s="3" t="s">
        <v>9957</v>
      </c>
      <c r="G2704" s="3" t="s">
        <v>8458</v>
      </c>
      <c r="H2704" s="3" t="s">
        <v>9958</v>
      </c>
      <c r="I2704" s="3" t="s">
        <v>20</v>
      </c>
      <c r="J2704" s="3">
        <v>7.45</v>
      </c>
      <c r="K2704" s="3" t="s">
        <v>21</v>
      </c>
      <c r="L2704" s="3" t="s">
        <v>10631</v>
      </c>
      <c r="M2704" s="3" t="s">
        <v>9960</v>
      </c>
      <c r="N2704" s="6" t="str">
        <f>HYPERLINK("C:\Users\alexa\YandexDisk\Книги\Программирование\Python\Секреты Python Pro [2021] Дейн Хиллард.pdf","Секреты Python Pro [2021] Дейн Хиллард.pdf")</f>
        <v>Секреты Python Pro [2021] Дейн Хиллард.pdf</v>
      </c>
      <c r="O2704" s="3" t="s">
        <v>10632</v>
      </c>
    </row>
    <row r="2705" spans="1:15" ht="179.4" x14ac:dyDescent="0.3">
      <c r="A2705" s="4">
        <v>2704</v>
      </c>
      <c r="B2705" s="5" t="s">
        <v>10633</v>
      </c>
      <c r="C2705" s="5" t="s">
        <v>10634</v>
      </c>
      <c r="D2705" s="5" t="s">
        <v>114</v>
      </c>
      <c r="E2705" s="5" t="s">
        <v>92</v>
      </c>
      <c r="F2705" s="5" t="s">
        <v>9957</v>
      </c>
      <c r="G2705" s="5" t="s">
        <v>8458</v>
      </c>
      <c r="H2705" s="5" t="s">
        <v>9958</v>
      </c>
      <c r="I2705" s="5" t="s">
        <v>20</v>
      </c>
      <c r="J2705" s="5">
        <v>8.49</v>
      </c>
      <c r="K2705" s="5" t="s">
        <v>21</v>
      </c>
      <c r="L2705" s="5" t="s">
        <v>10635</v>
      </c>
      <c r="M2705" s="5" t="s">
        <v>9960</v>
      </c>
      <c r="N2705" s="7" t="str">
        <f>HYPERLINK("C:\Users\alexa\YandexDisk\Книги\Программирование\Python\Секреты Python-59 рекомендаций.pdf","Секреты Python-59 рекомендаций.pdf")</f>
        <v>Секреты Python-59 рекомендаций.pdf</v>
      </c>
      <c r="O2705" s="5" t="s">
        <v>10636</v>
      </c>
    </row>
    <row r="2706" spans="1:15" ht="138" x14ac:dyDescent="0.3">
      <c r="A2706" s="2">
        <v>2705</v>
      </c>
      <c r="B2706" s="3" t="s">
        <v>10637</v>
      </c>
      <c r="C2706" s="3" t="s">
        <v>10638</v>
      </c>
      <c r="D2706" s="3" t="s">
        <v>109</v>
      </c>
      <c r="E2706" s="3" t="s">
        <v>402</v>
      </c>
      <c r="F2706" s="3" t="s">
        <v>9957</v>
      </c>
      <c r="G2706" s="3" t="s">
        <v>8458</v>
      </c>
      <c r="H2706" s="3" t="s">
        <v>9958</v>
      </c>
      <c r="I2706" s="3" t="s">
        <v>20</v>
      </c>
      <c r="J2706" s="3">
        <v>5.63</v>
      </c>
      <c r="K2706" s="3" t="s">
        <v>21</v>
      </c>
      <c r="L2706" s="3" t="s">
        <v>10639</v>
      </c>
      <c r="M2706" s="3" t="s">
        <v>9960</v>
      </c>
      <c r="N2706" s="6" t="str">
        <f>HYPERLINK("C:\Users\alexa\YandexDisk\Книги\Программирование\Python\Сетевое программирование на Python.pdf","Сетевое программирование на Python.pdf")</f>
        <v>Сетевое программирование на Python.pdf</v>
      </c>
      <c r="O2706" s="3" t="s">
        <v>10640</v>
      </c>
    </row>
    <row r="2707" spans="1:15" ht="151.80000000000001" x14ac:dyDescent="0.3">
      <c r="A2707" s="4">
        <v>2706</v>
      </c>
      <c r="B2707" s="5" t="s">
        <v>10594</v>
      </c>
      <c r="C2707" s="5" t="s">
        <v>10595</v>
      </c>
      <c r="D2707" s="5" t="s">
        <v>17</v>
      </c>
      <c r="E2707" s="5"/>
      <c r="F2707" s="5" t="s">
        <v>9957</v>
      </c>
      <c r="G2707" s="5" t="s">
        <v>8458</v>
      </c>
      <c r="H2707" s="5" t="s">
        <v>9958</v>
      </c>
      <c r="I2707" s="5" t="s">
        <v>20</v>
      </c>
      <c r="J2707" s="5">
        <v>3.9</v>
      </c>
      <c r="K2707" s="5" t="s">
        <v>21</v>
      </c>
      <c r="L2707" s="5" t="s">
        <v>10641</v>
      </c>
      <c r="M2707" s="5" t="s">
        <v>9960</v>
      </c>
      <c r="N2707" s="7" t="str">
        <f>HYPERLINK("C:\Users\alexa\YandexDisk\Книги\Программирование\Python\Современный_скрапинг_веб_сайтов_с_помощью_python_2021.pdf","Современный_скрапинг_веб_сайтов_с_помощью_python_2021.pdf")</f>
        <v>Современный_скрапинг_веб_сайтов_с_помощью_python_2021.pdf</v>
      </c>
      <c r="O2707" s="5" t="s">
        <v>10642</v>
      </c>
    </row>
    <row r="2708" spans="1:15" ht="151.80000000000001" x14ac:dyDescent="0.3">
      <c r="A2708" s="2">
        <v>2707</v>
      </c>
      <c r="B2708" s="3" t="s">
        <v>10643</v>
      </c>
      <c r="C2708" s="3" t="s">
        <v>10644</v>
      </c>
      <c r="D2708" s="3" t="s">
        <v>17</v>
      </c>
      <c r="E2708" s="3" t="s">
        <v>485</v>
      </c>
      <c r="F2708" s="3" t="s">
        <v>9957</v>
      </c>
      <c r="G2708" s="3" t="s">
        <v>8458</v>
      </c>
      <c r="H2708" s="3" t="s">
        <v>9958</v>
      </c>
      <c r="I2708" s="3" t="s">
        <v>20</v>
      </c>
      <c r="J2708" s="3">
        <v>12.79</v>
      </c>
      <c r="K2708" s="3" t="s">
        <v>21</v>
      </c>
      <c r="L2708" s="3" t="s">
        <v>10645</v>
      </c>
      <c r="M2708" s="3" t="s">
        <v>9960</v>
      </c>
      <c r="N2708" s="6" t="str">
        <f>HYPERLINK("C:\Users\alexa\YandexDisk\Книги\Программирование\Python\Справочник PYTHON.pdf","Справочник PYTHON.pdf")</f>
        <v>Справочник PYTHON.pdf</v>
      </c>
      <c r="O2708" s="3" t="s">
        <v>10646</v>
      </c>
    </row>
    <row r="2709" spans="1:15" ht="138" x14ac:dyDescent="0.3">
      <c r="A2709" s="4">
        <v>2708</v>
      </c>
      <c r="B2709" s="5" t="s">
        <v>10647</v>
      </c>
      <c r="C2709" s="5" t="s">
        <v>10648</v>
      </c>
      <c r="D2709" s="5" t="s">
        <v>77</v>
      </c>
      <c r="E2709" s="5" t="s">
        <v>2124</v>
      </c>
      <c r="F2709" s="5" t="s">
        <v>9957</v>
      </c>
      <c r="G2709" s="5" t="s">
        <v>8458</v>
      </c>
      <c r="H2709" s="5" t="s">
        <v>9958</v>
      </c>
      <c r="I2709" s="5" t="s">
        <v>20</v>
      </c>
      <c r="J2709" s="5">
        <v>46.84</v>
      </c>
      <c r="K2709" s="5" t="s">
        <v>21</v>
      </c>
      <c r="L2709" s="5" t="s">
        <v>10649</v>
      </c>
      <c r="M2709" s="5" t="s">
        <v>9960</v>
      </c>
      <c r="N2709" s="7" t="str">
        <f>HYPERLINK("C:\Users\alexa\YandexDisk\Книги\Программирование\Python\Стандартная_библиотека_Python_3_справочник_с_примерами 2019.pdf","Стандартная_библиотека_Python_3_справочник_с_примерами 2019.pdf")</f>
        <v>Стандартная_библиотека_Python_3_справочник_с_примерами 2019.pdf</v>
      </c>
      <c r="O2709" s="5" t="s">
        <v>10650</v>
      </c>
    </row>
    <row r="2710" spans="1:15" ht="165.6" x14ac:dyDescent="0.3">
      <c r="A2710" s="2">
        <v>2709</v>
      </c>
      <c r="B2710" s="3" t="s">
        <v>10651</v>
      </c>
      <c r="C2710" s="3" t="s">
        <v>10652</v>
      </c>
      <c r="D2710" s="3" t="s">
        <v>71</v>
      </c>
      <c r="E2710" s="3" t="s">
        <v>102</v>
      </c>
      <c r="F2710" s="3" t="s">
        <v>9957</v>
      </c>
      <c r="G2710" s="3" t="s">
        <v>8458</v>
      </c>
      <c r="H2710" s="3" t="s">
        <v>9958</v>
      </c>
      <c r="I2710" s="3" t="s">
        <v>20</v>
      </c>
      <c r="J2710" s="3">
        <v>2.25</v>
      </c>
      <c r="K2710" s="3" t="s">
        <v>21</v>
      </c>
      <c r="L2710" s="3" t="s">
        <v>10653</v>
      </c>
      <c r="M2710" s="3" t="s">
        <v>9960</v>
      </c>
      <c r="N2710" s="6" t="str">
        <f>HYPERLINK("C:\Users\alexa\YandexDisk\Книги\Программирование\Python\Структуры данных в Python.pdf","Структуры данных в Python.pdf")</f>
        <v>Структуры данных в Python.pdf</v>
      </c>
      <c r="O2710" s="3" t="s">
        <v>10654</v>
      </c>
    </row>
    <row r="2711" spans="1:15" ht="138" x14ac:dyDescent="0.3">
      <c r="A2711" s="4">
        <v>2710</v>
      </c>
      <c r="B2711" s="5" t="s">
        <v>10655</v>
      </c>
      <c r="C2711" s="5" t="s">
        <v>10656</v>
      </c>
      <c r="D2711" s="5" t="s">
        <v>71</v>
      </c>
      <c r="E2711" s="5"/>
      <c r="F2711" s="5" t="s">
        <v>9957</v>
      </c>
      <c r="G2711" s="5" t="s">
        <v>8458</v>
      </c>
      <c r="H2711" s="5" t="s">
        <v>9958</v>
      </c>
      <c r="I2711" s="5" t="s">
        <v>20</v>
      </c>
      <c r="J2711" s="5">
        <v>3.36</v>
      </c>
      <c r="K2711" s="5" t="s">
        <v>21</v>
      </c>
      <c r="L2711" s="5" t="s">
        <v>10657</v>
      </c>
      <c r="M2711" s="5" t="s">
        <v>9960</v>
      </c>
      <c r="N2711" s="7" t="str">
        <f>HYPERLINK("C:\Users\alexa\YandexDisk\Книги\Программирование\Python\Типизированный_Python_для_профессиональной_разработки 2022.pdf","Типизированный_Python_для_профессиональной_разработки 2022.pdf")</f>
        <v>Типизированный_Python_для_профессиональной_разработки 2022.pdf</v>
      </c>
      <c r="O2711" s="5" t="s">
        <v>10658</v>
      </c>
    </row>
    <row r="2712" spans="1:15" ht="165.6" x14ac:dyDescent="0.3">
      <c r="A2712" s="2">
        <v>2711</v>
      </c>
      <c r="B2712" s="3" t="s">
        <v>10659</v>
      </c>
      <c r="C2712" s="3" t="s">
        <v>2771</v>
      </c>
      <c r="D2712" s="3" t="s">
        <v>50</v>
      </c>
      <c r="E2712" s="3" t="s">
        <v>72</v>
      </c>
      <c r="F2712" s="3" t="s">
        <v>9957</v>
      </c>
      <c r="G2712" s="3" t="s">
        <v>8458</v>
      </c>
      <c r="H2712" s="3" t="s">
        <v>9958</v>
      </c>
      <c r="I2712" s="3" t="s">
        <v>20</v>
      </c>
      <c r="J2712" s="3">
        <v>6.56</v>
      </c>
      <c r="K2712" s="3" t="s">
        <v>21</v>
      </c>
      <c r="L2712" s="3" t="s">
        <v>10660</v>
      </c>
      <c r="M2712" s="3" t="s">
        <v>9960</v>
      </c>
      <c r="N2712" s="6" t="str">
        <f>HYPERLINK("C:\Users\alexa\YandexDisk\Книги\Программирование\Python\Учим_Python,_делая_крутые_игры.pdf","Учим_Python,_делая_крутые_игры.pdf")</f>
        <v>Учим_Python,_делая_крутые_игры.pdf</v>
      </c>
      <c r="O2712" s="3" t="s">
        <v>10661</v>
      </c>
    </row>
    <row r="2713" spans="1:15" ht="165.6" x14ac:dyDescent="0.3">
      <c r="A2713" s="4">
        <v>2712</v>
      </c>
      <c r="B2713" s="5" t="s">
        <v>10629</v>
      </c>
      <c r="C2713" s="5" t="s">
        <v>10630</v>
      </c>
      <c r="D2713" s="5" t="s">
        <v>17</v>
      </c>
      <c r="E2713" s="5" t="s">
        <v>18</v>
      </c>
      <c r="F2713" s="5" t="s">
        <v>9957</v>
      </c>
      <c r="G2713" s="5" t="s">
        <v>8458</v>
      </c>
      <c r="H2713" s="5" t="s">
        <v>9958</v>
      </c>
      <c r="I2713" s="5" t="s">
        <v>20</v>
      </c>
      <c r="J2713" s="5">
        <v>5.23</v>
      </c>
      <c r="K2713" s="5" t="s">
        <v>21</v>
      </c>
      <c r="L2713" s="5" t="s">
        <v>10662</v>
      </c>
      <c r="M2713" s="5" t="s">
        <v>9960</v>
      </c>
      <c r="N2713" s="7" t="str">
        <f>HYPERLINK("C:\Users\alexa\YandexDisk\Книги\Программирование\Python\Хиллард Секреты Python Pro 2021.pdf","Хиллард Секреты Python Pro 2021.pdf")</f>
        <v>Хиллард Секреты Python Pro 2021.pdf</v>
      </c>
      <c r="O2713" s="5" t="s">
        <v>10663</v>
      </c>
    </row>
    <row r="2714" spans="1:15" ht="165.6" x14ac:dyDescent="0.3">
      <c r="A2714" s="2">
        <v>2713</v>
      </c>
      <c r="B2714" s="3" t="s">
        <v>10415</v>
      </c>
      <c r="C2714" s="3" t="s">
        <v>10416</v>
      </c>
      <c r="D2714" s="3" t="s">
        <v>77</v>
      </c>
      <c r="E2714" s="3" t="s">
        <v>18</v>
      </c>
      <c r="F2714" s="3" t="s">
        <v>9957</v>
      </c>
      <c r="G2714" s="3" t="s">
        <v>8458</v>
      </c>
      <c r="H2714" s="3" t="s">
        <v>9958</v>
      </c>
      <c r="I2714" s="3" t="s">
        <v>20</v>
      </c>
      <c r="J2714" s="3">
        <v>6.21</v>
      </c>
      <c r="K2714" s="3" t="s">
        <v>21</v>
      </c>
      <c r="L2714" s="3" t="s">
        <v>10664</v>
      </c>
      <c r="M2714" s="3" t="s">
        <v>9960</v>
      </c>
      <c r="N2714" s="6" t="str">
        <f>HYPERLINK("C:\Users\alexa\YandexDisk\Книги\Программирование\Python\Цедер_Наоми Python Экспресс курс 2019.pdf","Цедер_Наоми Python Экспресс курс 2019.pdf")</f>
        <v>Цедер_Наоми Python Экспресс курс 2019.pdf</v>
      </c>
      <c r="O2714" s="3" t="s">
        <v>10665</v>
      </c>
    </row>
    <row r="2715" spans="1:15" ht="207" x14ac:dyDescent="0.3">
      <c r="A2715" s="4">
        <v>2714</v>
      </c>
      <c r="B2715" s="5" t="s">
        <v>10666</v>
      </c>
      <c r="C2715" s="5" t="s">
        <v>6515</v>
      </c>
      <c r="D2715" s="5" t="s">
        <v>50</v>
      </c>
      <c r="E2715" s="5" t="s">
        <v>102</v>
      </c>
      <c r="F2715" s="5" t="s">
        <v>9957</v>
      </c>
      <c r="G2715" s="5" t="s">
        <v>8458</v>
      </c>
      <c r="H2715" s="5" t="s">
        <v>9958</v>
      </c>
      <c r="I2715" s="5" t="s">
        <v>20</v>
      </c>
      <c r="J2715" s="5">
        <v>10.33</v>
      </c>
      <c r="K2715" s="5" t="s">
        <v>21</v>
      </c>
      <c r="L2715" s="5" t="s">
        <v>10667</v>
      </c>
      <c r="M2715" s="5" t="s">
        <v>9960</v>
      </c>
      <c r="N2715" s="7" t="str">
        <f>HYPERLINK("C:\Users\alexa\YandexDisk\Книги\Программирование\Python\Цифровая_обработка_сигналов_на_Python.pdf","Цифровая_обработка_сигналов_на_Python.pdf")</f>
        <v>Цифровая_обработка_сигналов_на_Python.pdf</v>
      </c>
      <c r="O2715" s="5" t="s">
        <v>10668</v>
      </c>
    </row>
    <row r="2716" spans="1:15" ht="151.80000000000001" x14ac:dyDescent="0.3">
      <c r="A2716" s="2">
        <v>2715</v>
      </c>
      <c r="B2716" s="3" t="s">
        <v>10669</v>
      </c>
      <c r="C2716" s="3" t="s">
        <v>4376</v>
      </c>
      <c r="D2716" s="3"/>
      <c r="E2716" s="3"/>
      <c r="F2716" s="3" t="s">
        <v>9957</v>
      </c>
      <c r="G2716" s="3" t="s">
        <v>8458</v>
      </c>
      <c r="H2716" s="3" t="s">
        <v>9958</v>
      </c>
      <c r="I2716" s="3" t="s">
        <v>20</v>
      </c>
      <c r="J2716" s="3">
        <v>19.18</v>
      </c>
      <c r="K2716" s="3" t="s">
        <v>21</v>
      </c>
      <c r="L2716" s="3" t="s">
        <v>10670</v>
      </c>
      <c r="M2716" s="3" t="s">
        <v>9960</v>
      </c>
      <c r="N2716" s="6" t="str">
        <f>HYPERLINK("C:\Users\alexa\YandexDisk\Книги\Программирование\Python\Цифровая_обработка_сигналов_на_Python_by_Аллен_Б.pdf","Цифровая_обработка_сигналов_на_Python_by_Аллен_Б.pdf")</f>
        <v>Цифровая_обработка_сигналов_на_Python_by_Аллен_Б.pdf</v>
      </c>
      <c r="O2716" s="3" t="s">
        <v>10671</v>
      </c>
    </row>
    <row r="2717" spans="1:15" ht="151.80000000000001" x14ac:dyDescent="0.3">
      <c r="A2717" s="4">
        <v>2716</v>
      </c>
      <c r="B2717" s="5" t="s">
        <v>10672</v>
      </c>
      <c r="C2717" s="5" t="s">
        <v>10673</v>
      </c>
      <c r="D2717" s="5" t="s">
        <v>109</v>
      </c>
      <c r="E2717" s="5" t="s">
        <v>18</v>
      </c>
      <c r="F2717" s="5" t="s">
        <v>9957</v>
      </c>
      <c r="G2717" s="5" t="s">
        <v>8458</v>
      </c>
      <c r="H2717" s="5" t="s">
        <v>9958</v>
      </c>
      <c r="I2717" s="5" t="s">
        <v>20</v>
      </c>
      <c r="J2717" s="5">
        <v>8.18</v>
      </c>
      <c r="K2717" s="5" t="s">
        <v>21</v>
      </c>
      <c r="L2717" s="5" t="s">
        <v>10674</v>
      </c>
      <c r="M2717" s="5" t="s">
        <v>9960</v>
      </c>
      <c r="N2717" s="7" t="str">
        <f>HYPERLINK("C:\Users\alexa\YandexDisk\Книги\Программирование\Python\Чистый Python.pdf","Чистый Python.pdf")</f>
        <v>Чистый Python.pdf</v>
      </c>
      <c r="O2717" s="5" t="s">
        <v>10675</v>
      </c>
    </row>
    <row r="2718" spans="1:15" ht="165.6" x14ac:dyDescent="0.3">
      <c r="A2718" s="2">
        <v>2717</v>
      </c>
      <c r="B2718" s="3" t="s">
        <v>10676</v>
      </c>
      <c r="C2718" s="3" t="s">
        <v>10677</v>
      </c>
      <c r="D2718" s="3"/>
      <c r="E2718" s="3" t="s">
        <v>102</v>
      </c>
      <c r="F2718" s="3" t="s">
        <v>9957</v>
      </c>
      <c r="G2718" s="3" t="s">
        <v>8458</v>
      </c>
      <c r="H2718" s="3" t="s">
        <v>9958</v>
      </c>
      <c r="I2718" s="3" t="s">
        <v>20</v>
      </c>
      <c r="J2718" s="3">
        <v>25.55</v>
      </c>
      <c r="K2718" s="3" t="s">
        <v>21</v>
      </c>
      <c r="L2718" s="3" t="s">
        <v>10678</v>
      </c>
      <c r="M2718" s="3" t="s">
        <v>9960</v>
      </c>
      <c r="N2718" s="6" t="str">
        <f>HYPERLINK("C:\Users\alexa\YandexDisk\Книги\Программирование\Python\Элегантный SciPy.pdf","Элегантный SciPy.pdf")</f>
        <v>Элегантный SciPy.pdf</v>
      </c>
      <c r="O2718" s="3" t="s">
        <v>10679</v>
      </c>
    </row>
    <row r="2719" spans="1:15" ht="165.6" x14ac:dyDescent="0.3">
      <c r="A2719" s="4">
        <v>2718</v>
      </c>
      <c r="B2719" s="5" t="s">
        <v>10680</v>
      </c>
      <c r="C2719" s="5" t="s">
        <v>10681</v>
      </c>
      <c r="D2719" s="5" t="s">
        <v>71</v>
      </c>
      <c r="E2719" s="5" t="s">
        <v>102</v>
      </c>
      <c r="F2719" s="5" t="s">
        <v>9957</v>
      </c>
      <c r="G2719" s="5" t="s">
        <v>8458</v>
      </c>
      <c r="H2719" s="5" t="s">
        <v>9958</v>
      </c>
      <c r="I2719" s="5" t="s">
        <v>20</v>
      </c>
      <c r="J2719" s="5">
        <v>30.38</v>
      </c>
      <c r="K2719" s="5" t="s">
        <v>21</v>
      </c>
      <c r="L2719" s="5" t="s">
        <v>10682</v>
      </c>
      <c r="M2719" s="5" t="s">
        <v>9960</v>
      </c>
      <c r="N2719" s="7" t="str">
        <f>HYPERLINK("C:\Users\alexa\YandexDisk\Книги\Программирование\Python\Элиас_Даббас_Интерактивные_дашборды_и_приложения_с_Plotly_и_Dash.pdf","Элиас_Даббас_Интерактивные_дашборды_и_приложения_с_Plotly_и_Dash.pdf")</f>
        <v>Элиас_Даббас_Интерактивные_дашборды_и_приложения_с_Plotly_и_Dash.pdf</v>
      </c>
      <c r="O2719" s="5" t="s">
        <v>10683</v>
      </c>
    </row>
    <row r="2720" spans="1:15" ht="110.4" x14ac:dyDescent="0.3">
      <c r="A2720" s="2">
        <v>2719</v>
      </c>
      <c r="B2720" s="3" t="s">
        <v>10684</v>
      </c>
      <c r="C2720" s="3" t="s">
        <v>10685</v>
      </c>
      <c r="D2720" s="3" t="s">
        <v>50</v>
      </c>
      <c r="E2720" s="3"/>
      <c r="F2720" s="3" t="s">
        <v>10686</v>
      </c>
      <c r="G2720" s="3" t="s">
        <v>8458</v>
      </c>
      <c r="H2720" s="3" t="s">
        <v>10687</v>
      </c>
      <c r="I2720" s="3" t="s">
        <v>20</v>
      </c>
      <c r="J2720" s="3">
        <v>33.78</v>
      </c>
      <c r="K2720" s="3" t="s">
        <v>21</v>
      </c>
      <c r="L2720" s="3" t="s">
        <v>10688</v>
      </c>
      <c r="M2720" s="3" t="s">
        <v>10689</v>
      </c>
      <c r="N2720" s="6" t="str">
        <f>HYPERLINK("C:\Users\alexa\YandexDisk\Книги\Программирование\R\!Сбор_данных_в_Интернете_на_языке_R_2017_Храмов.pdf","!Сбор_данных_в_Интернете_на_языке_R_2017_Храмов.pdf")</f>
        <v>!Сбор_данных_в_Интернете_на_языке_R_2017_Храмов.pdf</v>
      </c>
      <c r="O2720" s="3" t="s">
        <v>10690</v>
      </c>
    </row>
    <row r="2721" spans="1:15" ht="179.4" x14ac:dyDescent="0.3">
      <c r="A2721" s="4">
        <v>2720</v>
      </c>
      <c r="B2721" s="5" t="s">
        <v>10691</v>
      </c>
      <c r="C2721" s="5" t="s">
        <v>10692</v>
      </c>
      <c r="D2721" s="5"/>
      <c r="E2721" s="5"/>
      <c r="F2721" s="5" t="s">
        <v>10686</v>
      </c>
      <c r="G2721" s="5" t="s">
        <v>8458</v>
      </c>
      <c r="H2721" s="5" t="s">
        <v>10687</v>
      </c>
      <c r="I2721" s="5" t="s">
        <v>20</v>
      </c>
      <c r="J2721" s="5">
        <v>6.42</v>
      </c>
      <c r="K2721" s="5" t="s">
        <v>21</v>
      </c>
      <c r="L2721" s="5" t="s">
        <v>10693</v>
      </c>
      <c r="M2721" s="5" t="s">
        <v>10689</v>
      </c>
      <c r="N2721" s="7" t="str">
        <f>HYPERLINK("C:\Users\alexa\YandexDisk\Книги\Программирование\R\A First Course in Statistical Programming with R, 3rd Editio.pdf","A First Course in Statistical Programming with R, 3rd Editio.pdf")</f>
        <v>A First Course in Statistical Programming with R, 3rd Editio.pdf</v>
      </c>
      <c r="O2721" s="5" t="s">
        <v>10694</v>
      </c>
    </row>
    <row r="2722" spans="1:15" ht="138" x14ac:dyDescent="0.3">
      <c r="A2722" s="2">
        <v>2721</v>
      </c>
      <c r="B2722" s="3" t="s">
        <v>10695</v>
      </c>
      <c r="C2722" s="3" t="s">
        <v>10696</v>
      </c>
      <c r="D2722" s="3" t="s">
        <v>71</v>
      </c>
      <c r="E2722" s="3"/>
      <c r="F2722" s="3" t="s">
        <v>10686</v>
      </c>
      <c r="G2722" s="3" t="s">
        <v>8458</v>
      </c>
      <c r="H2722" s="3" t="s">
        <v>10687</v>
      </c>
      <c r="I2722" s="3" t="s">
        <v>20</v>
      </c>
      <c r="J2722" s="3">
        <v>6.66</v>
      </c>
      <c r="K2722" s="3" t="s">
        <v>21</v>
      </c>
      <c r="L2722" s="3" t="s">
        <v>10697</v>
      </c>
      <c r="M2722" s="3" t="s">
        <v>10689</v>
      </c>
      <c r="N2722" s="6" t="str">
        <f>HYPERLINK("C:\Users\alexa\YandexDisk\Книги\Программирование\R\Deep R Programming.pdf","Deep R Programming.pdf")</f>
        <v>Deep R Programming.pdf</v>
      </c>
      <c r="O2722" s="3" t="s">
        <v>10698</v>
      </c>
    </row>
    <row r="2723" spans="1:15" ht="220.8" x14ac:dyDescent="0.3">
      <c r="A2723" s="4">
        <v>2722</v>
      </c>
      <c r="B2723" s="5" t="s">
        <v>10699</v>
      </c>
      <c r="C2723" s="5" t="s">
        <v>10700</v>
      </c>
      <c r="D2723" s="5"/>
      <c r="E2723" s="5"/>
      <c r="F2723" s="5" t="s">
        <v>10686</v>
      </c>
      <c r="G2723" s="5" t="s">
        <v>8458</v>
      </c>
      <c r="H2723" s="5" t="s">
        <v>10687</v>
      </c>
      <c r="I2723" s="5" t="s">
        <v>20</v>
      </c>
      <c r="J2723" s="5">
        <v>11.23</v>
      </c>
      <c r="K2723" s="5" t="s">
        <v>21</v>
      </c>
      <c r="L2723" s="5" t="s">
        <v>10701</v>
      </c>
      <c r="M2723" s="5" t="s">
        <v>10689</v>
      </c>
      <c r="N2723" s="7" t="str">
        <f>HYPERLINK("C:\Users\alexa\YandexDisk\Книги\Программирование\R\Learn R_As a Language_2Ed.pdf","Learn R_As a Language_2Ed.pdf")</f>
        <v>Learn R_As a Language_2Ed.pdf</v>
      </c>
      <c r="O2723" s="5" t="s">
        <v>10702</v>
      </c>
    </row>
    <row r="2724" spans="1:15" ht="165.6" x14ac:dyDescent="0.3">
      <c r="A2724" s="2">
        <v>2723</v>
      </c>
      <c r="B2724" s="3" t="s">
        <v>10703</v>
      </c>
      <c r="C2724" s="3" t="s">
        <v>10704</v>
      </c>
      <c r="D2724" s="3" t="s">
        <v>27</v>
      </c>
      <c r="E2724" s="3" t="s">
        <v>308</v>
      </c>
      <c r="F2724" s="3" t="s">
        <v>10686</v>
      </c>
      <c r="G2724" s="3" t="s">
        <v>8458</v>
      </c>
      <c r="H2724" s="3" t="s">
        <v>10687</v>
      </c>
      <c r="I2724" s="3" t="s">
        <v>20</v>
      </c>
      <c r="J2724" s="3">
        <v>10.57</v>
      </c>
      <c r="K2724" s="3" t="s">
        <v>21</v>
      </c>
      <c r="L2724" s="3" t="s">
        <v>10705</v>
      </c>
      <c r="M2724" s="3" t="s">
        <v>10689</v>
      </c>
      <c r="N2724" s="6" t="str">
        <f>HYPERLINK("C:\Users\alexa\YandexDisk\Книги\Программирование\R\R All-in-One For Dummies(r) - Joseph Schmuller.pdf","R All-in-One For Dummies(r) - Joseph Schmuller.pdf")</f>
        <v>R All-in-One For Dummies(r) - Joseph Schmuller.pdf</v>
      </c>
      <c r="O2724" s="3" t="s">
        <v>10706</v>
      </c>
    </row>
    <row r="2725" spans="1:15" ht="248.4" x14ac:dyDescent="0.3">
      <c r="A2725" s="4">
        <v>2724</v>
      </c>
      <c r="B2725" s="5" t="s">
        <v>10707</v>
      </c>
      <c r="C2725" s="5" t="s">
        <v>10708</v>
      </c>
      <c r="D2725" s="5" t="s">
        <v>109</v>
      </c>
      <c r="E2725" s="5" t="s">
        <v>102</v>
      </c>
      <c r="F2725" s="5" t="s">
        <v>10686</v>
      </c>
      <c r="G2725" s="5" t="s">
        <v>8458</v>
      </c>
      <c r="H2725" s="5" t="s">
        <v>10687</v>
      </c>
      <c r="I2725" s="5" t="s">
        <v>20</v>
      </c>
      <c r="J2725" s="5">
        <v>13.32</v>
      </c>
      <c r="K2725" s="5" t="s">
        <v>21</v>
      </c>
      <c r="L2725" s="5" t="s">
        <v>10709</v>
      </c>
      <c r="M2725" s="5" t="s">
        <v>10689</v>
      </c>
      <c r="N2725" s="7" t="str">
        <f>HYPERLINK("C:\Users\alexa\YandexDisk\Книги\Программирование\R\R. К вершинам мастерства.pdf","R. К вершинам мастерства.pdf")</f>
        <v>R. К вершинам мастерства.pdf</v>
      </c>
      <c r="O2725" s="5" t="s">
        <v>10710</v>
      </c>
    </row>
    <row r="2726" spans="1:15" ht="193.2" x14ac:dyDescent="0.3">
      <c r="A2726" s="2">
        <v>2725</v>
      </c>
      <c r="B2726" s="3" t="s">
        <v>1241</v>
      </c>
      <c r="C2726" s="3" t="s">
        <v>1242</v>
      </c>
      <c r="D2726" s="3"/>
      <c r="E2726" s="3" t="s">
        <v>102</v>
      </c>
      <c r="F2726" s="3" t="s">
        <v>10686</v>
      </c>
      <c r="G2726" s="3" t="s">
        <v>8458</v>
      </c>
      <c r="H2726" s="3" t="s">
        <v>10687</v>
      </c>
      <c r="I2726" s="3" t="s">
        <v>20</v>
      </c>
      <c r="J2726" s="3">
        <v>9.89</v>
      </c>
      <c r="K2726" s="3" t="s">
        <v>21</v>
      </c>
      <c r="L2726" s="3" t="s">
        <v>10711</v>
      </c>
      <c r="M2726" s="3" t="s">
        <v>10689</v>
      </c>
      <c r="N2726" s="6" t="str">
        <f>HYPERLINK("C:\Users\alexa\YandexDisk\Книги\Программирование\R\R. Книга рецептов.pdf","R. Книга рецептов.pdf")</f>
        <v>R. Книга рецептов.pdf</v>
      </c>
      <c r="O2726" s="3" t="s">
        <v>10712</v>
      </c>
    </row>
    <row r="2727" spans="1:15" ht="179.4" x14ac:dyDescent="0.3">
      <c r="A2727" s="4">
        <v>2726</v>
      </c>
      <c r="B2727" s="5" t="s">
        <v>10713</v>
      </c>
      <c r="C2727" s="5" t="s">
        <v>10714</v>
      </c>
      <c r="D2727" s="5"/>
      <c r="E2727" s="5"/>
      <c r="F2727" s="5" t="s">
        <v>10686</v>
      </c>
      <c r="G2727" s="5" t="s">
        <v>8458</v>
      </c>
      <c r="H2727" s="5" t="s">
        <v>10687</v>
      </c>
      <c r="I2727" s="5" t="s">
        <v>20</v>
      </c>
      <c r="J2727" s="5">
        <v>13.35</v>
      </c>
      <c r="K2727" s="5" t="s">
        <v>21</v>
      </c>
      <c r="L2727" s="5" t="s">
        <v>10715</v>
      </c>
      <c r="M2727" s="5" t="s">
        <v>10689</v>
      </c>
      <c r="N2727" s="7" t="str">
        <f>HYPERLINK("C:\Users\alexa\YandexDisk\Книги\Программирование\R\The.R.Book.3rd.Edition.pdf","The.R.Book.3rd.Edition.pdf")</f>
        <v>The.R.Book.3rd.Edition.pdf</v>
      </c>
      <c r="O2727" s="5" t="s">
        <v>10716</v>
      </c>
    </row>
    <row r="2728" spans="1:15" ht="151.80000000000001" x14ac:dyDescent="0.3">
      <c r="A2728" s="2">
        <v>2727</v>
      </c>
      <c r="B2728" s="3" t="s">
        <v>10717</v>
      </c>
      <c r="C2728" s="3" t="s">
        <v>10718</v>
      </c>
      <c r="D2728" s="3" t="s">
        <v>71</v>
      </c>
      <c r="E2728" s="3" t="s">
        <v>102</v>
      </c>
      <c r="F2728" s="3" t="s">
        <v>10686</v>
      </c>
      <c r="G2728" s="3" t="s">
        <v>8458</v>
      </c>
      <c r="H2728" s="3" t="s">
        <v>10687</v>
      </c>
      <c r="I2728" s="3" t="s">
        <v>20</v>
      </c>
      <c r="J2728" s="3">
        <v>12.78</v>
      </c>
      <c r="K2728" s="3" t="s">
        <v>21</v>
      </c>
      <c r="L2728" s="3" t="s">
        <v>10719</v>
      </c>
      <c r="M2728" s="3" t="s">
        <v>10689</v>
      </c>
      <c r="N2728" s="6" t="str">
        <f>HYPERLINK("C:\Users\alexa\YandexDisk\Книги\Программирование\R\Изучаем Shiny - R.pdf","Изучаем Shiny - R.pdf")</f>
        <v>Изучаем Shiny - R.pdf</v>
      </c>
      <c r="O2728" s="3" t="s">
        <v>10720</v>
      </c>
    </row>
    <row r="2729" spans="1:15" ht="179.4" x14ac:dyDescent="0.3">
      <c r="A2729" s="4">
        <v>2728</v>
      </c>
      <c r="B2729" s="5" t="s">
        <v>10721</v>
      </c>
      <c r="C2729" s="5" t="s">
        <v>10722</v>
      </c>
      <c r="D2729" s="5" t="s">
        <v>27</v>
      </c>
      <c r="E2729" s="5" t="s">
        <v>10723</v>
      </c>
      <c r="F2729" s="5" t="s">
        <v>10686</v>
      </c>
      <c r="G2729" s="5" t="s">
        <v>8458</v>
      </c>
      <c r="H2729" s="5" t="s">
        <v>10687</v>
      </c>
      <c r="I2729" s="5" t="s">
        <v>20</v>
      </c>
      <c r="J2729" s="5">
        <v>14.74</v>
      </c>
      <c r="K2729" s="5" t="s">
        <v>21</v>
      </c>
      <c r="L2729" s="5" t="s">
        <v>10724</v>
      </c>
      <c r="M2729" s="5" t="s">
        <v>10689</v>
      </c>
      <c r="N2729" s="7" t="str">
        <f>HYPERLINK("C:\Users\alexa\YandexDisk\Книги\Программирование\R\Математические пакеты R.pdf","Математические пакеты R.pdf")</f>
        <v>Математические пакеты R.pdf</v>
      </c>
      <c r="O2729" s="5" t="s">
        <v>10725</v>
      </c>
    </row>
    <row r="2730" spans="1:15" ht="138" x14ac:dyDescent="0.3">
      <c r="A2730" s="2">
        <v>2729</v>
      </c>
      <c r="B2730" s="3" t="s">
        <v>10726</v>
      </c>
      <c r="C2730" s="3"/>
      <c r="D2730" s="3"/>
      <c r="E2730" s="3"/>
      <c r="F2730" s="3" t="s">
        <v>10686</v>
      </c>
      <c r="G2730" s="3" t="s">
        <v>8458</v>
      </c>
      <c r="H2730" s="3" t="s">
        <v>10687</v>
      </c>
      <c r="I2730" s="3" t="s">
        <v>20</v>
      </c>
      <c r="J2730" s="3">
        <v>51.16</v>
      </c>
      <c r="K2730" s="3" t="s">
        <v>21</v>
      </c>
      <c r="L2730" s="3" t="s">
        <v>10727</v>
      </c>
      <c r="M2730" s="3" t="s">
        <v>10689</v>
      </c>
      <c r="N2730" s="6" t="str">
        <f>HYPERLINK("C:\Users\alexa\YandexDisk\Книги\Программирование\R\Моделирование и анализ в среде R.pdf","Моделирование и анализ в среде R.pdf")</f>
        <v>Моделирование и анализ в среде R.pdf</v>
      </c>
      <c r="O2730" s="3" t="s">
        <v>10728</v>
      </c>
    </row>
    <row r="2731" spans="1:15" ht="138" x14ac:dyDescent="0.3">
      <c r="A2731" s="4">
        <v>2730</v>
      </c>
      <c r="B2731" s="5" t="s">
        <v>10684</v>
      </c>
      <c r="C2731" s="5" t="s">
        <v>10685</v>
      </c>
      <c r="D2731" s="5" t="s">
        <v>50</v>
      </c>
      <c r="E2731" s="5"/>
      <c r="F2731" s="5" t="s">
        <v>10686</v>
      </c>
      <c r="G2731" s="5" t="s">
        <v>8458</v>
      </c>
      <c r="H2731" s="5" t="s">
        <v>10687</v>
      </c>
      <c r="I2731" s="5" t="s">
        <v>20</v>
      </c>
      <c r="J2731" s="5">
        <v>33.78</v>
      </c>
      <c r="K2731" s="5" t="s">
        <v>21</v>
      </c>
      <c r="L2731" s="5" t="s">
        <v>10729</v>
      </c>
      <c r="M2731" s="5" t="s">
        <v>10689</v>
      </c>
      <c r="N2731" s="7" t="str">
        <f>HYPERLINK("C:\Users\alexa\YandexDisk\Книги\Программирование\R\Сбор_данных_в_Интернете_на_языке_R_2017_Храмов.pdf","Сбор_данных_в_Интернете_на_языке_R_2017_Храмов.pdf")</f>
        <v>Сбор_данных_в_Интернете_на_языке_R_2017_Храмов.pdf</v>
      </c>
      <c r="O2731" s="5" t="s">
        <v>10730</v>
      </c>
    </row>
    <row r="2732" spans="1:15" ht="124.2" x14ac:dyDescent="0.3">
      <c r="A2732" s="2">
        <v>2731</v>
      </c>
      <c r="B2732" s="3" t="s">
        <v>10731</v>
      </c>
      <c r="C2732" s="3"/>
      <c r="D2732" s="3"/>
      <c r="E2732" s="3"/>
      <c r="F2732" s="3" t="s">
        <v>10686</v>
      </c>
      <c r="G2732" s="3" t="s">
        <v>8458</v>
      </c>
      <c r="H2732" s="3" t="s">
        <v>10687</v>
      </c>
      <c r="I2732" s="3" t="s">
        <v>20</v>
      </c>
      <c r="J2732" s="3">
        <v>38.46</v>
      </c>
      <c r="K2732" s="3" t="s">
        <v>21</v>
      </c>
      <c r="L2732" s="3" t="s">
        <v>10732</v>
      </c>
      <c r="M2732" s="3" t="s">
        <v>10689</v>
      </c>
      <c r="N2732" s="6" t="str">
        <f>HYPERLINK("C:\Users\alexa\YandexDisk\Книги\Программирование\R\Язык и среда программирования R.pdf","Язык и среда программирования R.pdf")</f>
        <v>Язык и среда программирования R.pdf</v>
      </c>
      <c r="O2732" s="3" t="s">
        <v>10733</v>
      </c>
    </row>
    <row r="2733" spans="1:15" ht="124.2" x14ac:dyDescent="0.3">
      <c r="A2733" s="4">
        <v>2732</v>
      </c>
      <c r="B2733" s="5" t="s">
        <v>10734</v>
      </c>
      <c r="C2733" s="5" t="s">
        <v>10735</v>
      </c>
      <c r="D2733" s="5" t="s">
        <v>50</v>
      </c>
      <c r="E2733" s="5" t="s">
        <v>92</v>
      </c>
      <c r="F2733" s="5" t="s">
        <v>10736</v>
      </c>
      <c r="G2733" s="5" t="s">
        <v>8458</v>
      </c>
      <c r="H2733" s="5" t="s">
        <v>10737</v>
      </c>
      <c r="I2733" s="5" t="s">
        <v>20</v>
      </c>
      <c r="J2733" s="5">
        <v>30.53</v>
      </c>
      <c r="K2733" s="5" t="s">
        <v>21</v>
      </c>
      <c r="L2733" s="5" t="s">
        <v>10738</v>
      </c>
      <c r="M2733" s="5" t="s">
        <v>10739</v>
      </c>
      <c r="N2733" s="7" t="str">
        <f>HYPERLINK("C:\Users\alexa\YandexDisk\Книги\Программирование\Ruby\Ruby on Rails для начинающих  2017.pdf","Ruby on Rails для начинающих  2017.pdf")</f>
        <v>Ruby on Rails для начинающих  2017.pdf</v>
      </c>
      <c r="O2733" s="5" t="s">
        <v>10740</v>
      </c>
    </row>
    <row r="2734" spans="1:15" ht="234.6" x14ac:dyDescent="0.3">
      <c r="A2734" s="2">
        <v>2733</v>
      </c>
      <c r="B2734" s="3" t="s">
        <v>10741</v>
      </c>
      <c r="C2734" s="3" t="s">
        <v>10742</v>
      </c>
      <c r="D2734" s="3" t="s">
        <v>77</v>
      </c>
      <c r="E2734" s="3" t="s">
        <v>536</v>
      </c>
      <c r="F2734" s="3" t="s">
        <v>10736</v>
      </c>
      <c r="G2734" s="3" t="s">
        <v>8458</v>
      </c>
      <c r="H2734" s="3" t="s">
        <v>10737</v>
      </c>
      <c r="I2734" s="3" t="s">
        <v>20</v>
      </c>
      <c r="J2734" s="3">
        <v>4.5199999999999996</v>
      </c>
      <c r="K2734" s="3" t="s">
        <v>21</v>
      </c>
      <c r="L2734" s="3" t="s">
        <v>10743</v>
      </c>
      <c r="M2734" s="3" t="s">
        <v>10739</v>
      </c>
      <c r="N2734" s="6" t="str">
        <f>HYPERLINK("C:\Users\alexa\YandexDisk\Книги\Программирование\Ruby\Ruby_Feb_2019pdf.pdf","Ruby_Feb_2019pdf.pdf")</f>
        <v>Ruby_Feb_2019pdf.pdf</v>
      </c>
      <c r="O2734" s="3" t="s">
        <v>10744</v>
      </c>
    </row>
    <row r="2735" spans="1:15" ht="234.6" x14ac:dyDescent="0.3">
      <c r="A2735" s="4">
        <v>2734</v>
      </c>
      <c r="B2735" s="5" t="s">
        <v>10745</v>
      </c>
      <c r="C2735" s="5" t="s">
        <v>10746</v>
      </c>
      <c r="D2735" s="5" t="s">
        <v>50</v>
      </c>
      <c r="E2735" s="5" t="s">
        <v>18</v>
      </c>
      <c r="F2735" s="5" t="s">
        <v>10736</v>
      </c>
      <c r="G2735" s="5" t="s">
        <v>8458</v>
      </c>
      <c r="H2735" s="5" t="s">
        <v>10737</v>
      </c>
      <c r="I2735" s="5" t="s">
        <v>20</v>
      </c>
      <c r="J2735" s="5">
        <v>2.6</v>
      </c>
      <c r="K2735" s="5" t="s">
        <v>21</v>
      </c>
      <c r="L2735" s="5" t="s">
        <v>10747</v>
      </c>
      <c r="M2735" s="5" t="s">
        <v>10739</v>
      </c>
      <c r="N2735" s="7" t="str">
        <f>HYPERLINK("C:\Users\alexa\YandexDisk\Книги\Программирование\Ruby\Ruby_Объектно_ориентированное_проектирование.pdf","Ruby_Объектно_ориентированное_проектирование.pdf")</f>
        <v>Ruby_Объектно_ориентированное_проектирование.pdf</v>
      </c>
      <c r="O2735" s="5" t="s">
        <v>10748</v>
      </c>
    </row>
    <row r="2736" spans="1:15" ht="27.6" x14ac:dyDescent="0.3">
      <c r="A2736" s="2">
        <v>2735</v>
      </c>
      <c r="B2736" s="3" t="s">
        <v>10749</v>
      </c>
      <c r="C2736" s="3" t="s">
        <v>1693</v>
      </c>
      <c r="D2736" s="3"/>
      <c r="E2736" s="3"/>
      <c r="F2736" s="3" t="s">
        <v>10736</v>
      </c>
      <c r="G2736" s="3" t="s">
        <v>8458</v>
      </c>
      <c r="H2736" s="3" t="s">
        <v>10737</v>
      </c>
      <c r="I2736" s="3" t="s">
        <v>20</v>
      </c>
      <c r="J2736" s="3">
        <v>58.67</v>
      </c>
      <c r="K2736" s="3" t="s">
        <v>21</v>
      </c>
      <c r="L2736" s="3" t="s">
        <v>10750</v>
      </c>
      <c r="M2736" s="3" t="s">
        <v>10739</v>
      </c>
      <c r="N2736" s="6" t="str">
        <f>HYPERLINK("C:\Users\alexa\YandexDisk\Книги\Программирование\Ruby\Программирование на языке Ruby.pdf","Программирование на языке Ruby.pdf")</f>
        <v>Программирование на языке Ruby.pdf</v>
      </c>
      <c r="O2736" s="3" t="s">
        <v>1735</v>
      </c>
    </row>
    <row r="2737" spans="1:15" ht="138" x14ac:dyDescent="0.3">
      <c r="A2737" s="4">
        <v>2736</v>
      </c>
      <c r="B2737" s="5" t="s">
        <v>10751</v>
      </c>
      <c r="C2737" s="5"/>
      <c r="D2737" s="5"/>
      <c r="E2737" s="5"/>
      <c r="F2737" s="5" t="s">
        <v>10736</v>
      </c>
      <c r="G2737" s="5" t="s">
        <v>8458</v>
      </c>
      <c r="H2737" s="5" t="s">
        <v>10737</v>
      </c>
      <c r="I2737" s="5" t="s">
        <v>20</v>
      </c>
      <c r="J2737" s="5">
        <v>51.5</v>
      </c>
      <c r="K2737" s="5" t="s">
        <v>21</v>
      </c>
      <c r="L2737" s="5" t="s">
        <v>10752</v>
      </c>
      <c r="M2737" s="5" t="s">
        <v>10739</v>
      </c>
      <c r="N2737" s="7" t="str">
        <f>HYPERLINK("C:\Users\alexa\YandexDisk\Книги\Программирование\Ruby\Путь Ruby.pdf","Путь Ruby.pdf")</f>
        <v>Путь Ruby.pdf</v>
      </c>
      <c r="O2737" s="5" t="s">
        <v>10753</v>
      </c>
    </row>
    <row r="2738" spans="1:15" ht="124.2" x14ac:dyDescent="0.3">
      <c r="A2738" s="2">
        <v>2737</v>
      </c>
      <c r="B2738" s="3" t="s">
        <v>10754</v>
      </c>
      <c r="C2738" s="3"/>
      <c r="D2738" s="3"/>
      <c r="E2738" s="3"/>
      <c r="F2738" s="3" t="s">
        <v>10736</v>
      </c>
      <c r="G2738" s="3" t="s">
        <v>8458</v>
      </c>
      <c r="H2738" s="3" t="s">
        <v>10737</v>
      </c>
      <c r="I2738" s="3" t="s">
        <v>519</v>
      </c>
      <c r="J2738" s="3">
        <v>7.03</v>
      </c>
      <c r="K2738" s="3" t="s">
        <v>21</v>
      </c>
      <c r="L2738" s="3" t="s">
        <v>10755</v>
      </c>
      <c r="M2738" s="3" t="s">
        <v>10739</v>
      </c>
      <c r="N2738" s="6" t="str">
        <f>HYPERLINK("C:\Users\alexa\YandexDisk\Книги\Программирование\Ruby\Самоучитель Ruby.zip","Самоучитель Ruby.zip")</f>
        <v>Самоучитель Ruby.zip</v>
      </c>
      <c r="O2738" s="3" t="s">
        <v>10756</v>
      </c>
    </row>
    <row r="2739" spans="1:15" ht="193.2" x14ac:dyDescent="0.3">
      <c r="A2739" s="4">
        <v>2738</v>
      </c>
      <c r="B2739" s="5" t="s">
        <v>10757</v>
      </c>
      <c r="C2739" s="5" t="s">
        <v>10758</v>
      </c>
      <c r="D2739" s="5" t="s">
        <v>71</v>
      </c>
      <c r="E2739" s="5" t="s">
        <v>536</v>
      </c>
      <c r="F2739" s="5" t="s">
        <v>10759</v>
      </c>
      <c r="G2739" s="5" t="s">
        <v>8458</v>
      </c>
      <c r="H2739" s="5" t="s">
        <v>10760</v>
      </c>
      <c r="I2739" s="5" t="s">
        <v>20</v>
      </c>
      <c r="J2739" s="5">
        <v>9.8800000000000008</v>
      </c>
      <c r="K2739" s="5" t="s">
        <v>21</v>
      </c>
      <c r="L2739" s="5" t="s">
        <v>10761</v>
      </c>
      <c r="M2739" s="5" t="s">
        <v>10762</v>
      </c>
      <c r="N2739" s="7" t="str">
        <f>HYPERLINK("C:\Users\alexa\YandexDisk\Книги\Программирование\Rust\Code Like a Pro in Rust V4 2022.pdf","Code Like a Pro in Rust V4 2022.pdf")</f>
        <v>Code Like a Pro in Rust V4 2022.pdf</v>
      </c>
      <c r="O2739" s="5" t="s">
        <v>10763</v>
      </c>
    </row>
    <row r="2740" spans="1:15" ht="179.4" x14ac:dyDescent="0.3">
      <c r="A2740" s="2">
        <v>2739</v>
      </c>
      <c r="B2740" s="3" t="s">
        <v>10764</v>
      </c>
      <c r="C2740" s="3" t="s">
        <v>10765</v>
      </c>
      <c r="D2740" s="3" t="s">
        <v>71</v>
      </c>
      <c r="E2740" s="3" t="s">
        <v>260</v>
      </c>
      <c r="F2740" s="3" t="s">
        <v>10759</v>
      </c>
      <c r="G2740" s="3" t="s">
        <v>8458</v>
      </c>
      <c r="H2740" s="3" t="s">
        <v>10760</v>
      </c>
      <c r="I2740" s="3" t="s">
        <v>20</v>
      </c>
      <c r="J2740" s="3">
        <v>3.61</v>
      </c>
      <c r="K2740" s="3" t="s">
        <v>21</v>
      </c>
      <c r="L2740" s="3" t="s">
        <v>10766</v>
      </c>
      <c r="M2740" s="3" t="s">
        <v>10762</v>
      </c>
      <c r="N2740" s="6" t="str">
        <f>HYPERLINK("C:\Users\alexa\YandexDisk\Книги\Программирование\Rust\Command-Line Rust 2022.pdf","Command-Line Rust 2022.pdf")</f>
        <v>Command-Line Rust 2022.pdf</v>
      </c>
      <c r="O2740" s="3" t="s">
        <v>10767</v>
      </c>
    </row>
    <row r="2741" spans="1:15" ht="165.6" x14ac:dyDescent="0.3">
      <c r="A2741" s="4">
        <v>2740</v>
      </c>
      <c r="B2741" s="5" t="s">
        <v>10768</v>
      </c>
      <c r="C2741" s="5" t="s">
        <v>10769</v>
      </c>
      <c r="D2741" s="5" t="s">
        <v>71</v>
      </c>
      <c r="E2741" s="5"/>
      <c r="F2741" s="5" t="s">
        <v>10759</v>
      </c>
      <c r="G2741" s="5" t="s">
        <v>8458</v>
      </c>
      <c r="H2741" s="5" t="s">
        <v>10760</v>
      </c>
      <c r="I2741" s="5" t="s">
        <v>20</v>
      </c>
      <c r="J2741" s="5">
        <v>4.8600000000000003</v>
      </c>
      <c r="K2741" s="5" t="s">
        <v>21</v>
      </c>
      <c r="L2741" s="5" t="s">
        <v>10770</v>
      </c>
      <c r="M2741" s="5" t="s">
        <v>10762</v>
      </c>
      <c r="N2741" s="7" t="str">
        <f>HYPERLINK("C:\Users\alexa\YandexDisk\Книги\Программирование\Rust\Data Analysis with Rust Notebooks.pdf","Data Analysis with Rust Notebooks.pdf")</f>
        <v>Data Analysis with Rust Notebooks.pdf</v>
      </c>
      <c r="O2741" s="5" t="s">
        <v>10771</v>
      </c>
    </row>
    <row r="2742" spans="1:15" ht="179.4" x14ac:dyDescent="0.3">
      <c r="A2742" s="2">
        <v>2741</v>
      </c>
      <c r="B2742" s="3" t="s">
        <v>10772</v>
      </c>
      <c r="C2742" s="3" t="s">
        <v>10773</v>
      </c>
      <c r="D2742" s="3" t="s">
        <v>17</v>
      </c>
      <c r="E2742" s="3"/>
      <c r="F2742" s="3" t="s">
        <v>10759</v>
      </c>
      <c r="G2742" s="3" t="s">
        <v>8458</v>
      </c>
      <c r="H2742" s="3" t="s">
        <v>10760</v>
      </c>
      <c r="I2742" s="3" t="s">
        <v>20</v>
      </c>
      <c r="J2742" s="3">
        <v>15.08</v>
      </c>
      <c r="K2742" s="3" t="s">
        <v>21</v>
      </c>
      <c r="L2742" s="3" t="s">
        <v>10774</v>
      </c>
      <c r="M2742" s="3" t="s">
        <v>10762</v>
      </c>
      <c r="N2742" s="6" t="str">
        <f>HYPERLINK("C:\Users\alexa\YandexDisk\Книги\Программирование\Rust\Hands_on_Rust_Development_and_Play_2021_Wolverson_Herbert.pdf","Hands_on_Rust_Development_and_Play_2021_Wolverson_Herbert.pdf")</f>
        <v>Hands_on_Rust_Development_and_Play_2021_Wolverson_Herbert.pdf</v>
      </c>
      <c r="O2742" s="3" t="s">
        <v>10775</v>
      </c>
    </row>
    <row r="2743" spans="1:15" ht="165.6" x14ac:dyDescent="0.3">
      <c r="A2743" s="4">
        <v>2742</v>
      </c>
      <c r="B2743" s="5" t="s">
        <v>10776</v>
      </c>
      <c r="C2743" s="5" t="s">
        <v>10777</v>
      </c>
      <c r="D2743" s="5" t="s">
        <v>17</v>
      </c>
      <c r="E2743" s="5" t="s">
        <v>10778</v>
      </c>
      <c r="F2743" s="5" t="s">
        <v>10759</v>
      </c>
      <c r="G2743" s="5" t="s">
        <v>8458</v>
      </c>
      <c r="H2743" s="5" t="s">
        <v>10760</v>
      </c>
      <c r="I2743" s="5" t="s">
        <v>20</v>
      </c>
      <c r="J2743" s="5">
        <v>21.56</v>
      </c>
      <c r="K2743" s="5" t="s">
        <v>21</v>
      </c>
      <c r="L2743" s="5" t="s">
        <v>10779</v>
      </c>
      <c r="M2743" s="5" t="s">
        <v>10762</v>
      </c>
      <c r="N2743" s="7" t="str">
        <f>HYPERLINK("C:\Users\alexa\YandexDisk\Книги\Программирование\Rust\Practical GPU Graphics with wgpu and Rust.pdf","Practical GPU Graphics with wgpu and Rust.pdf")</f>
        <v>Practical GPU Graphics with wgpu and Rust.pdf</v>
      </c>
      <c r="O2743" s="5" t="s">
        <v>10780</v>
      </c>
    </row>
    <row r="2744" spans="1:15" ht="220.8" x14ac:dyDescent="0.3">
      <c r="A2744" s="2">
        <v>2743</v>
      </c>
      <c r="B2744" s="3" t="s">
        <v>10781</v>
      </c>
      <c r="C2744" s="3" t="s">
        <v>10782</v>
      </c>
      <c r="D2744" s="3"/>
      <c r="E2744" s="3"/>
      <c r="F2744" s="3" t="s">
        <v>10759</v>
      </c>
      <c r="G2744" s="3" t="s">
        <v>8458</v>
      </c>
      <c r="H2744" s="3" t="s">
        <v>10760</v>
      </c>
      <c r="I2744" s="3" t="s">
        <v>280</v>
      </c>
      <c r="J2744" s="3">
        <v>2.66</v>
      </c>
      <c r="K2744" s="3" t="s">
        <v>21</v>
      </c>
      <c r="L2744" s="3" t="s">
        <v>10783</v>
      </c>
      <c r="M2744" s="3" t="s">
        <v>10762</v>
      </c>
      <c r="N2744" s="6" t="str">
        <f>HYPERLINK("C:\Users\alexa\YandexDisk\Книги\Программирование\Rust\Programming_Rust,_2nd_Edition_Early_Release_Jim_Blandy,_Jason_Orendorff.epub","Programming_Rust,_2nd_Edition_Early_Release_Jim_Blandy,_Jason_Orendorff.epub")</f>
        <v>Programming_Rust,_2nd_Edition_Early_Release_Jim_Blandy,_Jason_Orendorff.epub</v>
      </c>
      <c r="O2744" s="3" t="s">
        <v>10784</v>
      </c>
    </row>
    <row r="2745" spans="1:15" ht="179.4" x14ac:dyDescent="0.3">
      <c r="A2745" s="4">
        <v>2744</v>
      </c>
      <c r="B2745" s="5" t="s">
        <v>10785</v>
      </c>
      <c r="C2745" s="5" t="s">
        <v>10786</v>
      </c>
      <c r="D2745" s="5" t="s">
        <v>335</v>
      </c>
      <c r="E2745" s="5" t="s">
        <v>536</v>
      </c>
      <c r="F2745" s="5" t="s">
        <v>10759</v>
      </c>
      <c r="G2745" s="5" t="s">
        <v>8458</v>
      </c>
      <c r="H2745" s="5" t="s">
        <v>10760</v>
      </c>
      <c r="I2745" s="5" t="s">
        <v>20</v>
      </c>
      <c r="J2745" s="5">
        <v>25.75</v>
      </c>
      <c r="K2745" s="5" t="s">
        <v>21</v>
      </c>
      <c r="L2745" s="5" t="s">
        <v>10787</v>
      </c>
      <c r="M2745" s="5" t="s">
        <v>10762</v>
      </c>
      <c r="N2745" s="7" t="str">
        <f>HYPERLINK("C:\Users\alexa\YandexDisk\Книги\Программирование\Rust\Refactoring to Rust_Final.pdf","Refactoring to Rust_Final.pdf")</f>
        <v>Refactoring to Rust_Final.pdf</v>
      </c>
      <c r="O2745" s="5" t="s">
        <v>10788</v>
      </c>
    </row>
    <row r="2746" spans="1:15" ht="151.80000000000001" x14ac:dyDescent="0.3">
      <c r="A2746" s="2">
        <v>2745</v>
      </c>
      <c r="B2746" s="3" t="s">
        <v>10789</v>
      </c>
      <c r="C2746" s="3"/>
      <c r="D2746" s="3"/>
      <c r="E2746" s="3"/>
      <c r="F2746" s="3" t="s">
        <v>10759</v>
      </c>
      <c r="G2746" s="3" t="s">
        <v>8458</v>
      </c>
      <c r="H2746" s="3" t="s">
        <v>10760</v>
      </c>
      <c r="I2746" s="3" t="s">
        <v>20</v>
      </c>
      <c r="J2746" s="3">
        <v>0.09</v>
      </c>
      <c r="K2746" s="3" t="s">
        <v>21</v>
      </c>
      <c r="L2746" s="3" t="s">
        <v>10790</v>
      </c>
      <c r="M2746" s="3" t="s">
        <v>10762</v>
      </c>
      <c r="N2746" s="6" t="str">
        <f>HYPERLINK("C:\Users\alexa\YandexDisk\Книги\Программирование\Rust\Road_Map_Learning.pdf","Road_Map_Learning.pdf")</f>
        <v>Road_Map_Learning.pdf</v>
      </c>
      <c r="O2746" s="3" t="s">
        <v>10791</v>
      </c>
    </row>
    <row r="2747" spans="1:15" ht="151.80000000000001" x14ac:dyDescent="0.3">
      <c r="A2747" s="4">
        <v>2746</v>
      </c>
      <c r="B2747" s="5" t="s">
        <v>10792</v>
      </c>
      <c r="C2747" s="5" t="s">
        <v>10793</v>
      </c>
      <c r="D2747" s="5" t="s">
        <v>17</v>
      </c>
      <c r="E2747" s="5" t="s">
        <v>269</v>
      </c>
      <c r="F2747" s="5" t="s">
        <v>10759</v>
      </c>
      <c r="G2747" s="5" t="s">
        <v>8458</v>
      </c>
      <c r="H2747" s="5" t="s">
        <v>10760</v>
      </c>
      <c r="I2747" s="5" t="s">
        <v>20</v>
      </c>
      <c r="J2747" s="5">
        <v>16.04</v>
      </c>
      <c r="K2747" s="5" t="s">
        <v>21</v>
      </c>
      <c r="L2747" s="5" t="s">
        <v>10794</v>
      </c>
      <c r="M2747" s="5" t="s">
        <v>10762</v>
      </c>
      <c r="N2747" s="7" t="str">
        <f>HYPERLINK("C:\Users\alexa\YandexDisk\Книги\Программирование\Rust\Rust in Action 2021.pdf","Rust in Action 2021.pdf")</f>
        <v>Rust in Action 2021.pdf</v>
      </c>
      <c r="O2747" s="5" t="s">
        <v>10795</v>
      </c>
    </row>
    <row r="2748" spans="1:15" ht="151.80000000000001" x14ac:dyDescent="0.3">
      <c r="A2748" s="2">
        <v>2747</v>
      </c>
      <c r="B2748" s="3" t="s">
        <v>10796</v>
      </c>
      <c r="C2748" s="3" t="s">
        <v>10797</v>
      </c>
      <c r="D2748" s="3" t="s">
        <v>71</v>
      </c>
      <c r="E2748" s="3" t="s">
        <v>536</v>
      </c>
      <c r="F2748" s="3" t="s">
        <v>10759</v>
      </c>
      <c r="G2748" s="3" t="s">
        <v>8458</v>
      </c>
      <c r="H2748" s="3" t="s">
        <v>10760</v>
      </c>
      <c r="I2748" s="3" t="s">
        <v>20</v>
      </c>
      <c r="J2748" s="3">
        <v>7.25</v>
      </c>
      <c r="K2748" s="3" t="s">
        <v>21</v>
      </c>
      <c r="L2748" s="3" t="s">
        <v>10798</v>
      </c>
      <c r="M2748" s="3" t="s">
        <v>10762</v>
      </c>
      <c r="N2748" s="6" t="str">
        <f>HYPERLINK("C:\Users\alexa\YandexDisk\Книги\Программирование\Rust\Rust Web Development.pdf","Rust Web Development.pdf")</f>
        <v>Rust Web Development.pdf</v>
      </c>
      <c r="O2748" s="3" t="s">
        <v>10799</v>
      </c>
    </row>
    <row r="2749" spans="1:15" ht="248.4" x14ac:dyDescent="0.3">
      <c r="A2749" s="4">
        <v>2748</v>
      </c>
      <c r="B2749" s="5" t="s">
        <v>10800</v>
      </c>
      <c r="C2749" s="5" t="s">
        <v>10801</v>
      </c>
      <c r="D2749" s="5" t="s">
        <v>77</v>
      </c>
      <c r="E2749" s="5" t="s">
        <v>205</v>
      </c>
      <c r="F2749" s="5" t="s">
        <v>10759</v>
      </c>
      <c r="G2749" s="5" t="s">
        <v>8458</v>
      </c>
      <c r="H2749" s="5" t="s">
        <v>10760</v>
      </c>
      <c r="I2749" s="5" t="s">
        <v>20</v>
      </c>
      <c r="J2749" s="5">
        <v>6.81</v>
      </c>
      <c r="K2749" s="5" t="s">
        <v>21</v>
      </c>
      <c r="L2749" s="5" t="s">
        <v>10802</v>
      </c>
      <c r="M2749" s="5" t="s">
        <v>10762</v>
      </c>
      <c r="N2749" s="7" t="str">
        <f>HYPERLINK("C:\Users\alexa\YandexDisk\Книги\Программирование\Rust\Rust.Programming.Cookbook.pdf","Rust.Programming.Cookbook.pdf")</f>
        <v>Rust.Programming.Cookbook.pdf</v>
      </c>
      <c r="O2749" s="5" t="s">
        <v>10803</v>
      </c>
    </row>
    <row r="2750" spans="1:15" ht="165.6" x14ac:dyDescent="0.3">
      <c r="A2750" s="2">
        <v>2749</v>
      </c>
      <c r="B2750" s="3" t="s">
        <v>10796</v>
      </c>
      <c r="C2750" s="3" t="s">
        <v>10797</v>
      </c>
      <c r="D2750" s="3"/>
      <c r="E2750" s="3" t="s">
        <v>557</v>
      </c>
      <c r="F2750" s="3" t="s">
        <v>10759</v>
      </c>
      <c r="G2750" s="3" t="s">
        <v>8458</v>
      </c>
      <c r="H2750" s="3" t="s">
        <v>10760</v>
      </c>
      <c r="I2750" s="3" t="s">
        <v>20</v>
      </c>
      <c r="J2750" s="3">
        <v>8.2799999999999994</v>
      </c>
      <c r="K2750" s="3" t="s">
        <v>21</v>
      </c>
      <c r="L2750" s="3" t="s">
        <v>10804</v>
      </c>
      <c r="M2750" s="3" t="s">
        <v>10762</v>
      </c>
      <c r="N2750" s="6" t="str">
        <f>HYPERLINK("C:\Users\alexa\YandexDisk\Книги\Программирование\Rust\Rust_Web_Development_Final.pdf","Rust_Web_Development_Final.pdf")</f>
        <v>Rust_Web_Development_Final.pdf</v>
      </c>
      <c r="O2750" s="3" t="s">
        <v>10805</v>
      </c>
    </row>
    <row r="2751" spans="1:15" ht="165.6" x14ac:dyDescent="0.3">
      <c r="A2751" s="4">
        <v>2750</v>
      </c>
      <c r="B2751" s="5" t="s">
        <v>10806</v>
      </c>
      <c r="C2751" s="5" t="s">
        <v>10807</v>
      </c>
      <c r="D2751" s="5" t="s">
        <v>27</v>
      </c>
      <c r="E2751" s="5" t="s">
        <v>205</v>
      </c>
      <c r="F2751" s="5" t="s">
        <v>10759</v>
      </c>
      <c r="G2751" s="5" t="s">
        <v>8458</v>
      </c>
      <c r="H2751" s="5" t="s">
        <v>10760</v>
      </c>
      <c r="I2751" s="5" t="s">
        <v>20</v>
      </c>
      <c r="J2751" s="5">
        <v>11.78</v>
      </c>
      <c r="K2751" s="5" t="s">
        <v>21</v>
      </c>
      <c r="L2751" s="5" t="s">
        <v>10808</v>
      </c>
      <c r="M2751" s="5" t="s">
        <v>10762</v>
      </c>
      <c r="N2751" s="7" t="str">
        <f>HYPERLINK("C:\Users\alexa\YandexDisk\Книги\Программирование\Rust\Rust_Web_Programming.pdf","Rust_Web_Programming.pdf")</f>
        <v>Rust_Web_Programming.pdf</v>
      </c>
      <c r="O2751" s="5" t="s">
        <v>10809</v>
      </c>
    </row>
    <row r="2752" spans="1:15" ht="179.4" x14ac:dyDescent="0.3">
      <c r="A2752" s="2">
        <v>2751</v>
      </c>
      <c r="B2752" s="3" t="s">
        <v>10810</v>
      </c>
      <c r="C2752" s="3" t="s">
        <v>10807</v>
      </c>
      <c r="D2752" s="3" t="s">
        <v>17</v>
      </c>
      <c r="E2752" s="3" t="s">
        <v>205</v>
      </c>
      <c r="F2752" s="3" t="s">
        <v>10759</v>
      </c>
      <c r="G2752" s="3" t="s">
        <v>8458</v>
      </c>
      <c r="H2752" s="3" t="s">
        <v>10760</v>
      </c>
      <c r="I2752" s="3" t="s">
        <v>20</v>
      </c>
      <c r="J2752" s="3">
        <v>6.63</v>
      </c>
      <c r="K2752" s="3" t="s">
        <v>21</v>
      </c>
      <c r="L2752" s="3" t="s">
        <v>10811</v>
      </c>
      <c r="M2752" s="3" t="s">
        <v>10762</v>
      </c>
      <c r="N2752" s="6" t="str">
        <f>HYPERLINK("C:\Users\alexa\YandexDisk\Книги\Программирование\Rust\Speed Up Your Python with Rust.pdf","Speed Up Your Python with Rust.pdf")</f>
        <v>Speed Up Your Python with Rust.pdf</v>
      </c>
      <c r="O2752" s="3" t="s">
        <v>10812</v>
      </c>
    </row>
    <row r="2753" spans="1:15" ht="207" x14ac:dyDescent="0.3">
      <c r="A2753" s="4">
        <v>2752</v>
      </c>
      <c r="B2753" s="5" t="s">
        <v>10813</v>
      </c>
      <c r="C2753" s="5" t="s">
        <v>10814</v>
      </c>
      <c r="D2753" s="5" t="s">
        <v>17</v>
      </c>
      <c r="E2753" s="5" t="s">
        <v>18</v>
      </c>
      <c r="F2753" s="5" t="s">
        <v>10759</v>
      </c>
      <c r="G2753" s="5" t="s">
        <v>8458</v>
      </c>
      <c r="H2753" s="5" t="s">
        <v>10760</v>
      </c>
      <c r="I2753" s="5" t="s">
        <v>20</v>
      </c>
      <c r="J2753" s="5">
        <v>6.4</v>
      </c>
      <c r="K2753" s="5" t="s">
        <v>21</v>
      </c>
      <c r="L2753" s="5" t="s">
        <v>10815</v>
      </c>
      <c r="M2753" s="5" t="s">
        <v>10762</v>
      </c>
      <c r="N2753" s="7" t="str">
        <f>HYPERLINK("C:\Users\alexa\YandexDisk\Книги\Программирование\Rust\Программирование на Rust.pdf","Программирование на Rust.pdf")</f>
        <v>Программирование на Rust.pdf</v>
      </c>
      <c r="O2753" s="5" t="s">
        <v>10816</v>
      </c>
    </row>
    <row r="2754" spans="1:15" ht="193.2" x14ac:dyDescent="0.3">
      <c r="A2754" s="2">
        <v>2753</v>
      </c>
      <c r="B2754" s="3" t="s">
        <v>10817</v>
      </c>
      <c r="C2754" s="3" t="s">
        <v>10818</v>
      </c>
      <c r="D2754" s="3"/>
      <c r="E2754" s="3"/>
      <c r="F2754" s="3" t="s">
        <v>10759</v>
      </c>
      <c r="G2754" s="3" t="s">
        <v>8458</v>
      </c>
      <c r="H2754" s="3" t="s">
        <v>10760</v>
      </c>
      <c r="I2754" s="3" t="s">
        <v>20</v>
      </c>
      <c r="J2754" s="3">
        <v>3.13</v>
      </c>
      <c r="K2754" s="3" t="s">
        <v>21</v>
      </c>
      <c r="L2754" s="3" t="s">
        <v>10819</v>
      </c>
      <c r="M2754" s="3" t="s">
        <v>10762</v>
      </c>
      <c r="N2754" s="6" t="str">
        <f>HYPERLINK("C:\Users\alexa\YandexDisk\Книги\Программирование\Rust\Язык_программирования_Rust.pdf","Язык_программирования_Rust.pdf")</f>
        <v>Язык_программирования_Rust.pdf</v>
      </c>
      <c r="O2754" s="3" t="s">
        <v>10820</v>
      </c>
    </row>
    <row r="2755" spans="1:15" ht="207" x14ac:dyDescent="0.3">
      <c r="A2755" s="4">
        <v>2754</v>
      </c>
      <c r="B2755" s="5" t="s">
        <v>10821</v>
      </c>
      <c r="C2755" s="5" t="s">
        <v>10822</v>
      </c>
      <c r="D2755" s="5"/>
      <c r="E2755" s="5" t="s">
        <v>10823</v>
      </c>
      <c r="F2755" s="5" t="s">
        <v>10824</v>
      </c>
      <c r="G2755" s="5" t="s">
        <v>8458</v>
      </c>
      <c r="H2755" s="5" t="s">
        <v>10825</v>
      </c>
      <c r="I2755" s="5" t="s">
        <v>20</v>
      </c>
      <c r="J2755" s="5">
        <v>15.28</v>
      </c>
      <c r="K2755" s="5" t="s">
        <v>21</v>
      </c>
      <c r="L2755" s="5" t="s">
        <v>10826</v>
      </c>
      <c r="M2755" s="5" t="s">
        <v>10827</v>
      </c>
      <c r="N2755" s="7" t="str">
        <f>HYPERLINK("C:\Users\alexa\YandexDisk\Книги\Программирование\Scala\Programming_in_Scala,_Fifth_Edition_Martin_Odersky,_Lex_Spoon_etc.pdf","Programming_in_Scala,_Fifth_Edition_Martin_Odersky,_Lex_Spoon_etc.pdf")</f>
        <v>Programming_in_Scala,_Fifth_Edition_Martin_Odersky,_Lex_Spoon_etc.pdf</v>
      </c>
      <c r="O2755" s="5" t="s">
        <v>10828</v>
      </c>
    </row>
    <row r="2756" spans="1:15" ht="179.4" x14ac:dyDescent="0.3">
      <c r="A2756" s="2">
        <v>2755</v>
      </c>
      <c r="B2756" s="3" t="s">
        <v>10829</v>
      </c>
      <c r="C2756" s="3" t="s">
        <v>10830</v>
      </c>
      <c r="D2756" s="3" t="s">
        <v>71</v>
      </c>
      <c r="E2756" s="3" t="s">
        <v>18</v>
      </c>
      <c r="F2756" s="3" t="s">
        <v>10824</v>
      </c>
      <c r="G2756" s="3" t="s">
        <v>8458</v>
      </c>
      <c r="H2756" s="3" t="s">
        <v>10825</v>
      </c>
      <c r="I2756" s="3" t="s">
        <v>20</v>
      </c>
      <c r="J2756" s="3">
        <v>6.24</v>
      </c>
      <c r="K2756" s="3" t="s">
        <v>21</v>
      </c>
      <c r="L2756" s="3" t="s">
        <v>10831</v>
      </c>
      <c r="M2756" s="3" t="s">
        <v>10827</v>
      </c>
      <c r="N2756" s="6" t="str">
        <f>HYPERLINK("C:\Users\alexa\YandexDisk\Книги\Программирование\Scala\Scala_Профессиональное_программирование.pdf","Scala_Профессиональное_программирование.pdf")</f>
        <v>Scala_Профессиональное_программирование.pdf</v>
      </c>
      <c r="O2756" s="3" t="s">
        <v>10832</v>
      </c>
    </row>
    <row r="2757" spans="1:15" ht="207" x14ac:dyDescent="0.3">
      <c r="A2757" s="4">
        <v>2756</v>
      </c>
      <c r="B2757" s="5" t="s">
        <v>10833</v>
      </c>
      <c r="C2757" s="5" t="s">
        <v>10834</v>
      </c>
      <c r="D2757" s="5" t="s">
        <v>109</v>
      </c>
      <c r="E2757" s="5" t="s">
        <v>10835</v>
      </c>
      <c r="F2757" s="5" t="s">
        <v>10836</v>
      </c>
      <c r="G2757" s="5" t="s">
        <v>8458</v>
      </c>
      <c r="H2757" s="5" t="s">
        <v>10837</v>
      </c>
      <c r="I2757" s="5" t="s">
        <v>20</v>
      </c>
      <c r="J2757" s="5">
        <v>18.239999999999998</v>
      </c>
      <c r="K2757" s="5" t="s">
        <v>21</v>
      </c>
      <c r="L2757" s="5" t="s">
        <v>10838</v>
      </c>
      <c r="M2757" s="5" t="s">
        <v>10839</v>
      </c>
      <c r="N2757" s="7" t="str">
        <f>HYPERLINK("C:\Users\alexa\YandexDisk\Книги\Программирование\Scilab\Scilab-Решение инженерных и математических задач.pdf","Scilab-Решение инженерных и математических задач.pdf")</f>
        <v>Scilab-Решение инженерных и математических задач.pdf</v>
      </c>
      <c r="O2757" s="5" t="s">
        <v>10840</v>
      </c>
    </row>
    <row r="2758" spans="1:15" ht="207" x14ac:dyDescent="0.3">
      <c r="A2758" s="2">
        <v>2757</v>
      </c>
      <c r="B2758" s="3" t="s">
        <v>10841</v>
      </c>
      <c r="C2758" s="3" t="s">
        <v>10842</v>
      </c>
      <c r="D2758" s="3" t="s">
        <v>27</v>
      </c>
      <c r="E2758" s="3" t="s">
        <v>18</v>
      </c>
      <c r="F2758" s="3" t="s">
        <v>10843</v>
      </c>
      <c r="G2758" s="3" t="s">
        <v>8458</v>
      </c>
      <c r="H2758" s="3" t="s">
        <v>10844</v>
      </c>
      <c r="I2758" s="3" t="s">
        <v>20</v>
      </c>
      <c r="J2758" s="3">
        <v>16</v>
      </c>
      <c r="K2758" s="3" t="s">
        <v>21</v>
      </c>
      <c r="L2758" s="3" t="s">
        <v>10845</v>
      </c>
      <c r="M2758" s="3" t="s">
        <v>10846</v>
      </c>
      <c r="N2758" s="6" t="str">
        <f>HYPERLINK("C:\Users\alexa\YandexDisk\Книги\Программирование\Swift\Head First. Изучаем Swift.pdf","Head First. Изучаем Swift.pdf")</f>
        <v>Head First. Изучаем Swift.pdf</v>
      </c>
      <c r="O2758" s="3" t="s">
        <v>10847</v>
      </c>
    </row>
    <row r="2759" spans="1:15" ht="124.2" x14ac:dyDescent="0.3">
      <c r="A2759" s="4">
        <v>2758</v>
      </c>
      <c r="B2759" s="5" t="s">
        <v>10848</v>
      </c>
      <c r="C2759" s="5" t="s">
        <v>10849</v>
      </c>
      <c r="D2759" s="5" t="s">
        <v>59</v>
      </c>
      <c r="E2759" s="5" t="s">
        <v>102</v>
      </c>
      <c r="F2759" s="5" t="s">
        <v>10843</v>
      </c>
      <c r="G2759" s="5" t="s">
        <v>8458</v>
      </c>
      <c r="H2759" s="5" t="s">
        <v>10844</v>
      </c>
      <c r="I2759" s="5" t="s">
        <v>20</v>
      </c>
      <c r="J2759" s="5">
        <v>12.06</v>
      </c>
      <c r="K2759" s="5" t="s">
        <v>21</v>
      </c>
      <c r="L2759" s="5" t="s">
        <v>10850</v>
      </c>
      <c r="M2759" s="5" t="s">
        <v>10846</v>
      </c>
      <c r="N2759" s="7" t="str">
        <f>HYPERLINK("C:\Users\alexa\YandexDisk\Книги\Программирование\Swift\Swift подробно 2019.pdf","Swift подробно 2019.pdf")</f>
        <v>Swift подробно 2019.pdf</v>
      </c>
      <c r="O2759" s="5" t="s">
        <v>10851</v>
      </c>
    </row>
    <row r="2760" spans="1:15" ht="151.80000000000001" x14ac:dyDescent="0.3">
      <c r="A2760" s="2">
        <v>2759</v>
      </c>
      <c r="B2760" s="3" t="s">
        <v>6937</v>
      </c>
      <c r="C2760" s="3" t="s">
        <v>10852</v>
      </c>
      <c r="D2760" s="3" t="s">
        <v>59</v>
      </c>
      <c r="E2760" s="3" t="s">
        <v>18</v>
      </c>
      <c r="F2760" s="3" t="s">
        <v>10843</v>
      </c>
      <c r="G2760" s="3" t="s">
        <v>8458</v>
      </c>
      <c r="H2760" s="3" t="s">
        <v>10844</v>
      </c>
      <c r="I2760" s="3" t="s">
        <v>20</v>
      </c>
      <c r="J2760" s="3">
        <v>10.23</v>
      </c>
      <c r="K2760" s="3" t="s">
        <v>21</v>
      </c>
      <c r="L2760" s="3" t="s">
        <v>10853</v>
      </c>
      <c r="M2760" s="3" t="s">
        <v>10846</v>
      </c>
      <c r="N2760" s="6" t="str">
        <f>HYPERLINK("C:\Users\alexa\YandexDisk\Книги\Программирование\Swift\Swift-Основы разработки.pdf","Swift-Основы разработки.pdf")</f>
        <v>Swift-Основы разработки.pdf</v>
      </c>
      <c r="O2760" s="3" t="s">
        <v>10854</v>
      </c>
    </row>
    <row r="2761" spans="1:15" ht="151.80000000000001" x14ac:dyDescent="0.3">
      <c r="A2761" s="4">
        <v>2760</v>
      </c>
      <c r="B2761" s="5" t="s">
        <v>10848</v>
      </c>
      <c r="C2761" s="5" t="s">
        <v>10849</v>
      </c>
      <c r="D2761" s="5" t="s">
        <v>59</v>
      </c>
      <c r="E2761" s="5" t="s">
        <v>102</v>
      </c>
      <c r="F2761" s="5" t="s">
        <v>10843</v>
      </c>
      <c r="G2761" s="5" t="s">
        <v>8458</v>
      </c>
      <c r="H2761" s="5" t="s">
        <v>10844</v>
      </c>
      <c r="I2761" s="5" t="s">
        <v>20</v>
      </c>
      <c r="J2761" s="5">
        <v>12</v>
      </c>
      <c r="K2761" s="5" t="s">
        <v>21</v>
      </c>
      <c r="L2761" s="5" t="s">
        <v>10855</v>
      </c>
      <c r="M2761" s="5" t="s">
        <v>10846</v>
      </c>
      <c r="N2761" s="7" t="str">
        <f>HYPERLINK("C:\Users\alexa\YandexDisk\Книги\Программирование\Swift\Swift. Подробно [2020] Чейрд ин’т Вейн.pdf","Swift. Подробно [2020] Чейрд ин’т Вейн.pdf")</f>
        <v>Swift. Подробно [2020] Чейрд ин’т Вейн.pdf</v>
      </c>
      <c r="O2761" s="5" t="s">
        <v>10856</v>
      </c>
    </row>
    <row r="2762" spans="1:15" ht="165.6" x14ac:dyDescent="0.3">
      <c r="A2762" s="2">
        <v>2761</v>
      </c>
      <c r="B2762" s="3" t="s">
        <v>10857</v>
      </c>
      <c r="C2762" s="3" t="s">
        <v>3440</v>
      </c>
      <c r="D2762" s="3" t="s">
        <v>27</v>
      </c>
      <c r="E2762" s="3" t="s">
        <v>536</v>
      </c>
      <c r="F2762" s="3" t="s">
        <v>10858</v>
      </c>
      <c r="G2762" s="3" t="s">
        <v>8458</v>
      </c>
      <c r="H2762" s="3" t="s">
        <v>10859</v>
      </c>
      <c r="I2762" s="3" t="s">
        <v>20</v>
      </c>
      <c r="J2762" s="3">
        <v>5.18</v>
      </c>
      <c r="K2762" s="3" t="s">
        <v>21</v>
      </c>
      <c r="L2762" s="3" t="s">
        <v>10860</v>
      </c>
      <c r="M2762" s="3" t="s">
        <v>10861</v>
      </c>
      <c r="N2762" s="6" t="str">
        <f>HYPERLINK("C:\Users\alexa\YandexDisk\Книги\Программирование\TypeScript\Essential_TypeScript_5_3Ed_Final.pdf","Essential_TypeScript_5_3Ed_Final.pdf")</f>
        <v>Essential_TypeScript_5_3Ed_Final.pdf</v>
      </c>
      <c r="O2762" s="3" t="s">
        <v>10862</v>
      </c>
    </row>
    <row r="2763" spans="1:15" ht="179.4" x14ac:dyDescent="0.3">
      <c r="A2763" s="4">
        <v>2762</v>
      </c>
      <c r="B2763" s="5" t="s">
        <v>10863</v>
      </c>
      <c r="C2763" s="5" t="s">
        <v>10864</v>
      </c>
      <c r="D2763" s="5"/>
      <c r="E2763" s="5" t="s">
        <v>442</v>
      </c>
      <c r="F2763" s="5" t="s">
        <v>10858</v>
      </c>
      <c r="G2763" s="5" t="s">
        <v>8458</v>
      </c>
      <c r="H2763" s="5" t="s">
        <v>10859</v>
      </c>
      <c r="I2763" s="5" t="s">
        <v>20</v>
      </c>
      <c r="J2763" s="5">
        <v>4.68</v>
      </c>
      <c r="K2763" s="5" t="s">
        <v>21</v>
      </c>
      <c r="L2763" s="5" t="s">
        <v>10865</v>
      </c>
      <c r="M2763" s="5" t="s">
        <v>10861</v>
      </c>
      <c r="N2763" s="7" t="str">
        <f>HYPERLINK("C:\Users\alexa\YandexDisk\Книги\Программирование\TypeScript\Learning TypeScript Enhance Your Web....pdf","Learning TypeScript Enhance Your Web....pdf")</f>
        <v>Learning TypeScript Enhance Your Web....pdf</v>
      </c>
      <c r="O2763" s="5" t="s">
        <v>10866</v>
      </c>
    </row>
    <row r="2764" spans="1:15" ht="179.4" x14ac:dyDescent="0.3">
      <c r="A2764" s="2">
        <v>2763</v>
      </c>
      <c r="B2764" s="3" t="s">
        <v>10857</v>
      </c>
      <c r="C2764" s="3" t="s">
        <v>3440</v>
      </c>
      <c r="D2764" s="3" t="s">
        <v>27</v>
      </c>
      <c r="E2764" s="3" t="s">
        <v>536</v>
      </c>
      <c r="F2764" s="3" t="s">
        <v>10858</v>
      </c>
      <c r="G2764" s="3" t="s">
        <v>8458</v>
      </c>
      <c r="H2764" s="3" t="s">
        <v>10859</v>
      </c>
      <c r="I2764" s="3" t="s">
        <v>20</v>
      </c>
      <c r="J2764" s="3">
        <v>3.33</v>
      </c>
      <c r="K2764" s="3" t="s">
        <v>21</v>
      </c>
      <c r="L2764" s="3" t="s">
        <v>10867</v>
      </c>
      <c r="M2764" s="3" t="s">
        <v>10861</v>
      </c>
      <c r="N2764" s="6" t="str">
        <f>HYPERLINK("C:\Users\alexa\YandexDisk\Книги\Программирование\TypeScript\Manning.Essential.TypeScript.5.pdf","Manning.Essential.TypeScript.5.pdf")</f>
        <v>Manning.Essential.TypeScript.5.pdf</v>
      </c>
      <c r="O2764" s="3" t="s">
        <v>10868</v>
      </c>
    </row>
    <row r="2765" spans="1:15" ht="165.6" x14ac:dyDescent="0.3">
      <c r="A2765" s="4">
        <v>2764</v>
      </c>
      <c r="B2765" s="5" t="s">
        <v>10869</v>
      </c>
      <c r="C2765" s="5" t="s">
        <v>10870</v>
      </c>
      <c r="D2765" s="5" t="s">
        <v>77</v>
      </c>
      <c r="E2765" s="5" t="s">
        <v>205</v>
      </c>
      <c r="F2765" s="5" t="s">
        <v>10858</v>
      </c>
      <c r="G2765" s="5" t="s">
        <v>8458</v>
      </c>
      <c r="H2765" s="5" t="s">
        <v>10859</v>
      </c>
      <c r="I2765" s="5" t="s">
        <v>20</v>
      </c>
      <c r="J2765" s="5">
        <v>10.01</v>
      </c>
      <c r="K2765" s="5" t="s">
        <v>21</v>
      </c>
      <c r="L2765" s="5" t="s">
        <v>10871</v>
      </c>
      <c r="M2765" s="5" t="s">
        <v>10861</v>
      </c>
      <c r="N2765" s="7" t="str">
        <f>HYPERLINK("C:\Users\alexa\YandexDisk\Книги\Программирование\TypeScript\Mastering.TypeScript.3.3rd.Edition.pdf","Mastering.TypeScript.3.3rd.Edition.pdf")</f>
        <v>Mastering.TypeScript.3.3rd.Edition.pdf</v>
      </c>
      <c r="O2765" s="5" t="s">
        <v>10872</v>
      </c>
    </row>
    <row r="2766" spans="1:15" ht="151.80000000000001" x14ac:dyDescent="0.3">
      <c r="A2766" s="2">
        <v>2765</v>
      </c>
      <c r="B2766" s="3" t="s">
        <v>10873</v>
      </c>
      <c r="C2766" s="3" t="s">
        <v>10874</v>
      </c>
      <c r="D2766" s="3"/>
      <c r="E2766" s="3"/>
      <c r="F2766" s="3" t="s">
        <v>10858</v>
      </c>
      <c r="G2766" s="3" t="s">
        <v>8458</v>
      </c>
      <c r="H2766" s="3" t="s">
        <v>10859</v>
      </c>
      <c r="I2766" s="3" t="s">
        <v>20</v>
      </c>
      <c r="J2766" s="3">
        <v>2.68</v>
      </c>
      <c r="K2766" s="3" t="s">
        <v>21</v>
      </c>
      <c r="L2766" s="3" t="s">
        <v>10875</v>
      </c>
      <c r="M2766" s="3" t="s">
        <v>10861</v>
      </c>
      <c r="N2766" s="6" t="str">
        <f>HYPERLINK("C:\Users\alexa\YandexDisk\Книги\Программирование\TypeScript\Nauchikus_TypeScript_Подробное_Руководство_4_9_beta (2).pdf","Nauchikus_TypeScript_Подробное_Руководство_4_9_beta (2).pdf")</f>
        <v>Nauchikus_TypeScript_Подробное_Руководство_4_9_beta (2).pdf</v>
      </c>
      <c r="O2766" s="3" t="s">
        <v>10876</v>
      </c>
    </row>
    <row r="2767" spans="1:15" ht="165.6" x14ac:dyDescent="0.3">
      <c r="A2767" s="4">
        <v>2766</v>
      </c>
      <c r="B2767" s="5" t="s">
        <v>10877</v>
      </c>
      <c r="C2767" s="5" t="s">
        <v>10878</v>
      </c>
      <c r="D2767" s="5" t="s">
        <v>59</v>
      </c>
      <c r="E2767" s="5" t="s">
        <v>10879</v>
      </c>
      <c r="F2767" s="5" t="s">
        <v>10858</v>
      </c>
      <c r="G2767" s="5" t="s">
        <v>8458</v>
      </c>
      <c r="H2767" s="5" t="s">
        <v>10859</v>
      </c>
      <c r="I2767" s="5" t="s">
        <v>20</v>
      </c>
      <c r="J2767" s="5">
        <v>8.58</v>
      </c>
      <c r="K2767" s="5" t="s">
        <v>21</v>
      </c>
      <c r="L2767" s="5" t="s">
        <v>10880</v>
      </c>
      <c r="M2767" s="5" t="s">
        <v>10861</v>
      </c>
      <c r="N2767" s="7" t="str">
        <f>HYPERLINK("C:\Users\alexa\YandexDisk\Книги\Программирование\TypeScript\TypeScript in 50 Lessons (Stefan Baumgartner).pdf","TypeScript in 50 Lessons (Stefan Baumgartner).pdf")</f>
        <v>TypeScript in 50 Lessons (Stefan Baumgartner).pdf</v>
      </c>
      <c r="O2767" s="5" t="s">
        <v>10881</v>
      </c>
    </row>
    <row r="2768" spans="1:15" ht="179.4" x14ac:dyDescent="0.3">
      <c r="A2768" s="2">
        <v>2767</v>
      </c>
      <c r="B2768" s="3" t="s">
        <v>10882</v>
      </c>
      <c r="C2768" s="3" t="s">
        <v>10883</v>
      </c>
      <c r="D2768" s="3" t="s">
        <v>59</v>
      </c>
      <c r="E2768" s="3" t="s">
        <v>536</v>
      </c>
      <c r="F2768" s="3" t="s">
        <v>10858</v>
      </c>
      <c r="G2768" s="3" t="s">
        <v>8458</v>
      </c>
      <c r="H2768" s="3" t="s">
        <v>10859</v>
      </c>
      <c r="I2768" s="3" t="s">
        <v>20</v>
      </c>
      <c r="J2768" s="3">
        <v>36.33</v>
      </c>
      <c r="K2768" s="3" t="s">
        <v>21</v>
      </c>
      <c r="L2768" s="3" t="s">
        <v>10884</v>
      </c>
      <c r="M2768" s="3" t="s">
        <v>10861</v>
      </c>
      <c r="N2768" s="6" t="str">
        <f>HYPERLINK("C:\Users\alexa\YandexDisk\Книги\Программирование\TypeScript\TypeScript Quickly.pdf","TypeScript Quickly.pdf")</f>
        <v>TypeScript Quickly.pdf</v>
      </c>
      <c r="O2768" s="3" t="s">
        <v>10885</v>
      </c>
    </row>
    <row r="2769" spans="1:15" ht="138" x14ac:dyDescent="0.3">
      <c r="A2769" s="4">
        <v>2768</v>
      </c>
      <c r="B2769" s="5" t="s">
        <v>10886</v>
      </c>
      <c r="C2769" s="5"/>
      <c r="D2769" s="5"/>
      <c r="E2769" s="5"/>
      <c r="F2769" s="5" t="s">
        <v>10858</v>
      </c>
      <c r="G2769" s="5" t="s">
        <v>8458</v>
      </c>
      <c r="H2769" s="5" t="s">
        <v>10859</v>
      </c>
      <c r="I2769" s="5" t="s">
        <v>20</v>
      </c>
      <c r="J2769" s="5">
        <v>14.2</v>
      </c>
      <c r="K2769" s="5" t="s">
        <v>21</v>
      </c>
      <c r="L2769" s="5" t="s">
        <v>10887</v>
      </c>
      <c r="M2769" s="5" t="s">
        <v>10861</v>
      </c>
      <c r="N2769" s="7" t="str">
        <f>HYPERLINK("C:\Users\alexa\YandexDisk\Книги\Программирование\TypeScript\Typescript.and.JavaScript.pdf","Typescript.and.JavaScript.pdf")</f>
        <v>Typescript.and.JavaScript.pdf</v>
      </c>
      <c r="O2769" s="5" t="s">
        <v>10888</v>
      </c>
    </row>
    <row r="2770" spans="1:15" ht="165.6" x14ac:dyDescent="0.3">
      <c r="A2770" s="2">
        <v>2769</v>
      </c>
      <c r="B2770" s="3" t="s">
        <v>10889</v>
      </c>
      <c r="C2770" s="3" t="s">
        <v>3424</v>
      </c>
      <c r="D2770" s="3" t="s">
        <v>17</v>
      </c>
      <c r="E2770" s="3" t="s">
        <v>18</v>
      </c>
      <c r="F2770" s="3" t="s">
        <v>10858</v>
      </c>
      <c r="G2770" s="3" t="s">
        <v>8458</v>
      </c>
      <c r="H2770" s="3" t="s">
        <v>10859</v>
      </c>
      <c r="I2770" s="3" t="s">
        <v>20</v>
      </c>
      <c r="J2770" s="3">
        <v>11.14</v>
      </c>
      <c r="K2770" s="3" t="s">
        <v>21</v>
      </c>
      <c r="L2770" s="3" t="s">
        <v>10890</v>
      </c>
      <c r="M2770" s="3" t="s">
        <v>10861</v>
      </c>
      <c r="N2770" s="6" t="str">
        <f>HYPERLINK("C:\Users\alexa\YandexDisk\Книги\Программирование\TypeScript\TypeScript_быстро_2021_Файн_Яков,_Моисеев_Антон.pdf","TypeScript_быстро_2021_Файн_Яков,_Моисеев_Антон.pdf")</f>
        <v>TypeScript_быстро_2021_Файн_Яков,_Моисеев_Антон.pdf</v>
      </c>
      <c r="O2770" s="3" t="s">
        <v>10891</v>
      </c>
    </row>
    <row r="2771" spans="1:15" ht="151.80000000000001" x14ac:dyDescent="0.3">
      <c r="A2771" s="4">
        <v>2770</v>
      </c>
      <c r="B2771" s="5" t="s">
        <v>10873</v>
      </c>
      <c r="C2771" s="5" t="s">
        <v>10874</v>
      </c>
      <c r="D2771" s="5" t="s">
        <v>71</v>
      </c>
      <c r="E2771" s="5"/>
      <c r="F2771" s="5" t="s">
        <v>10858</v>
      </c>
      <c r="G2771" s="5" t="s">
        <v>8458</v>
      </c>
      <c r="H2771" s="5" t="s">
        <v>10859</v>
      </c>
      <c r="I2771" s="5" t="s">
        <v>20</v>
      </c>
      <c r="J2771" s="5">
        <v>2.68</v>
      </c>
      <c r="K2771" s="5" t="s">
        <v>21</v>
      </c>
      <c r="L2771" s="5" t="s">
        <v>10892</v>
      </c>
      <c r="M2771" s="5" t="s">
        <v>10861</v>
      </c>
      <c r="N2771" s="7" t="str">
        <f>HYPERLINK("C:\Users\alexa\YandexDisk\Книги\Программирование\TypeScript\TypeScript_Подробное_Руководство_4_9_beta.pdf","TypeScript_Подробное_Руководство_4_9_beta.pdf")</f>
        <v>TypeScript_Подробное_Руководство_4_9_beta.pdf</v>
      </c>
      <c r="O2771" s="5" t="s">
        <v>10893</v>
      </c>
    </row>
    <row r="2772" spans="1:15" ht="207" x14ac:dyDescent="0.3">
      <c r="A2772" s="2">
        <v>2771</v>
      </c>
      <c r="B2772" s="3" t="s">
        <v>10894</v>
      </c>
      <c r="C2772" s="3" t="s">
        <v>10895</v>
      </c>
      <c r="D2772" s="3"/>
      <c r="E2772" s="3" t="s">
        <v>102</v>
      </c>
      <c r="F2772" s="3" t="s">
        <v>10858</v>
      </c>
      <c r="G2772" s="3" t="s">
        <v>8458</v>
      </c>
      <c r="H2772" s="3" t="s">
        <v>10859</v>
      </c>
      <c r="I2772" s="3" t="s">
        <v>20</v>
      </c>
      <c r="J2772" s="3">
        <v>30.3</v>
      </c>
      <c r="K2772" s="3" t="s">
        <v>21</v>
      </c>
      <c r="L2772" s="3" t="s">
        <v>10896</v>
      </c>
      <c r="M2772" s="3" t="s">
        <v>10861</v>
      </c>
      <c r="N2772" s="6" t="str">
        <f>HYPERLINK("C:\Users\alexa\YandexDisk\Книги\Программирование\TypeScript\Изучаем TypeScript 3.pdf","Изучаем TypeScript 3.pdf")</f>
        <v>Изучаем TypeScript 3.pdf</v>
      </c>
      <c r="O2772" s="3" t="s">
        <v>10897</v>
      </c>
    </row>
    <row r="2773" spans="1:15" ht="179.4" x14ac:dyDescent="0.3">
      <c r="A2773" s="4">
        <v>2772</v>
      </c>
      <c r="B2773" s="5" t="s">
        <v>10898</v>
      </c>
      <c r="C2773" s="5" t="s">
        <v>3440</v>
      </c>
      <c r="D2773" s="5" t="s">
        <v>109</v>
      </c>
      <c r="E2773" s="5" t="s">
        <v>536</v>
      </c>
      <c r="F2773" s="5" t="s">
        <v>10858</v>
      </c>
      <c r="G2773" s="5" t="s">
        <v>8458</v>
      </c>
      <c r="H2773" s="5" t="s">
        <v>10859</v>
      </c>
      <c r="I2773" s="5" t="s">
        <v>20</v>
      </c>
      <c r="J2773" s="5">
        <v>22.54</v>
      </c>
      <c r="K2773" s="5" t="s">
        <v>21</v>
      </c>
      <c r="L2773" s="5" t="s">
        <v>10899</v>
      </c>
      <c r="M2773" s="5" t="s">
        <v>10861</v>
      </c>
      <c r="N2773" s="7" t="str">
        <f>HYPERLINK("C:\Users\alexa\YandexDisk\Книги\Программирование\TypeScript\Основы TypeScript. 3-е изд.pdf","Основы TypeScript. 3-е изд.pdf")</f>
        <v>Основы TypeScript. 3-е изд.pdf</v>
      </c>
      <c r="O2773" s="5" t="s">
        <v>10900</v>
      </c>
    </row>
    <row r="2774" spans="1:15" ht="179.4" x14ac:dyDescent="0.3">
      <c r="A2774" s="2">
        <v>2773</v>
      </c>
      <c r="B2774" s="3" t="s">
        <v>10901</v>
      </c>
      <c r="C2774" s="3" t="s">
        <v>10902</v>
      </c>
      <c r="D2774" s="3" t="s">
        <v>17</v>
      </c>
      <c r="E2774" s="3" t="s">
        <v>18</v>
      </c>
      <c r="F2774" s="3" t="s">
        <v>10858</v>
      </c>
      <c r="G2774" s="3" t="s">
        <v>8458</v>
      </c>
      <c r="H2774" s="3" t="s">
        <v>10859</v>
      </c>
      <c r="I2774" s="3" t="s">
        <v>20</v>
      </c>
      <c r="J2774" s="3">
        <v>33.93</v>
      </c>
      <c r="K2774" s="3" t="s">
        <v>21</v>
      </c>
      <c r="L2774" s="3" t="s">
        <v>10903</v>
      </c>
      <c r="M2774" s="3" t="s">
        <v>10861</v>
      </c>
      <c r="N2774" s="6" t="str">
        <f>HYPERLINK("C:\Users\alexa\YandexDisk\Книги\Программирование\TypeScript\Программируй &amp; типизируй.pdf","Программируй &amp; типизируй.pdf")</f>
        <v>Программируй &amp; типизируй.pdf</v>
      </c>
      <c r="O2774" s="3" t="s">
        <v>10904</v>
      </c>
    </row>
    <row r="2775" spans="1:15" ht="151.80000000000001" x14ac:dyDescent="0.3">
      <c r="A2775" s="4">
        <v>2774</v>
      </c>
      <c r="B2775" s="5" t="s">
        <v>10905</v>
      </c>
      <c r="C2775" s="5" t="s">
        <v>10906</v>
      </c>
      <c r="D2775" s="5" t="s">
        <v>17</v>
      </c>
      <c r="E2775" s="5" t="s">
        <v>18</v>
      </c>
      <c r="F2775" s="5" t="s">
        <v>10858</v>
      </c>
      <c r="G2775" s="5" t="s">
        <v>8458</v>
      </c>
      <c r="H2775" s="5" t="s">
        <v>10859</v>
      </c>
      <c r="I2775" s="5" t="s">
        <v>20</v>
      </c>
      <c r="J2775" s="5">
        <v>5.42</v>
      </c>
      <c r="K2775" s="5" t="s">
        <v>21</v>
      </c>
      <c r="L2775" s="5" t="s">
        <v>10907</v>
      </c>
      <c r="M2775" s="5" t="s">
        <v>10861</v>
      </c>
      <c r="N2775" s="7" t="str">
        <f>HYPERLINK("C:\Users\alexa\YandexDisk\Книги\Программирование\TypeScript\Профессиональный TypeScript.pdf","Профессиональный TypeScript.pdf")</f>
        <v>Профессиональный TypeScript.pdf</v>
      </c>
      <c r="O2775" s="5" t="s">
        <v>10908</v>
      </c>
    </row>
    <row r="2776" spans="1:15" ht="179.4" x14ac:dyDescent="0.3">
      <c r="A2776" s="2">
        <v>2775</v>
      </c>
      <c r="B2776" s="3" t="s">
        <v>10909</v>
      </c>
      <c r="C2776" s="3"/>
      <c r="D2776" s="3"/>
      <c r="E2776" s="3"/>
      <c r="F2776" s="3" t="s">
        <v>10858</v>
      </c>
      <c r="G2776" s="3" t="s">
        <v>8458</v>
      </c>
      <c r="H2776" s="3" t="s">
        <v>10859</v>
      </c>
      <c r="I2776" s="3" t="s">
        <v>20</v>
      </c>
      <c r="J2776" s="3">
        <v>10.82</v>
      </c>
      <c r="K2776" s="3" t="s">
        <v>21</v>
      </c>
      <c r="L2776" s="3" t="s">
        <v>10910</v>
      </c>
      <c r="M2776" s="3" t="s">
        <v>10861</v>
      </c>
      <c r="N2776" s="6" t="str">
        <f>HYPERLINK("C:\Users\alexa\YandexDisk\Книги\Программирование\TypeScript\Пять строк кода  TypeScript.pdf","Пять строк кода  TypeScript.pdf")</f>
        <v>Пять строк кода  TypeScript.pdf</v>
      </c>
      <c r="O2776" s="3" t="s">
        <v>10911</v>
      </c>
    </row>
    <row r="2777" spans="1:15" ht="165.6" x14ac:dyDescent="0.3">
      <c r="A2777" s="4">
        <v>2776</v>
      </c>
      <c r="B2777" s="5" t="s">
        <v>10912</v>
      </c>
      <c r="C2777" s="5" t="s">
        <v>10913</v>
      </c>
      <c r="D2777" s="5" t="s">
        <v>335</v>
      </c>
      <c r="E2777" s="5" t="s">
        <v>336</v>
      </c>
      <c r="F2777" s="5" t="s">
        <v>10858</v>
      </c>
      <c r="G2777" s="5" t="s">
        <v>8458</v>
      </c>
      <c r="H2777" s="5" t="s">
        <v>10859</v>
      </c>
      <c r="I2777" s="5" t="s">
        <v>20</v>
      </c>
      <c r="J2777" s="5">
        <v>6.67</v>
      </c>
      <c r="K2777" s="5" t="s">
        <v>21</v>
      </c>
      <c r="L2777" s="5" t="s">
        <v>10914</v>
      </c>
      <c r="M2777" s="5" t="s">
        <v>10861</v>
      </c>
      <c r="N2777" s="7" t="str">
        <f>HYPERLINK("C:\Users\alexa\YandexDisk\Книги\Программирование\TypeScript\Эффективный TypeScript.pdf","Эффективный TypeScript.pdf")</f>
        <v>Эффективный TypeScript.pdf</v>
      </c>
      <c r="O2777" s="5" t="s">
        <v>10915</v>
      </c>
    </row>
    <row r="2778" spans="1:15" ht="165.6" x14ac:dyDescent="0.3">
      <c r="A2778" s="2">
        <v>2777</v>
      </c>
      <c r="B2778" s="3" t="s">
        <v>10916</v>
      </c>
      <c r="C2778" s="3" t="s">
        <v>10917</v>
      </c>
      <c r="D2778" s="3" t="s">
        <v>50</v>
      </c>
      <c r="E2778" s="3" t="s">
        <v>1023</v>
      </c>
      <c r="F2778" s="3" t="s">
        <v>10918</v>
      </c>
      <c r="G2778" s="3" t="s">
        <v>8458</v>
      </c>
      <c r="H2778" s="3" t="s">
        <v>10919</v>
      </c>
      <c r="I2778" s="3" t="s">
        <v>20</v>
      </c>
      <c r="J2778" s="3">
        <v>25.12</v>
      </c>
      <c r="K2778" s="3" t="s">
        <v>21</v>
      </c>
      <c r="L2778" s="3" t="s">
        <v>10920</v>
      </c>
      <c r="M2778" s="3" t="s">
        <v>10921</v>
      </c>
      <c r="N2778" s="6" t="str">
        <f>HYPERLINK("C:\Users\alexa\YandexDisk\Книги\Программирование\Visual Basic\Программирование на VB для начинающих.pdf","Программирование на VB для начинающих.pdf")</f>
        <v>Программирование на VB для начинающих.pdf</v>
      </c>
      <c r="O2778" s="3" t="s">
        <v>10922</v>
      </c>
    </row>
    <row r="2779" spans="1:15" ht="207" x14ac:dyDescent="0.3">
      <c r="A2779" s="4">
        <v>2778</v>
      </c>
      <c r="B2779" s="5" t="s">
        <v>10923</v>
      </c>
      <c r="C2779" s="5" t="s">
        <v>10924</v>
      </c>
      <c r="D2779" s="5" t="s">
        <v>1022</v>
      </c>
      <c r="E2779" s="5"/>
      <c r="F2779" s="5" t="s">
        <v>10925</v>
      </c>
      <c r="G2779" s="5" t="s">
        <v>8458</v>
      </c>
      <c r="H2779" s="5" t="s">
        <v>10926</v>
      </c>
      <c r="I2779" s="5" t="s">
        <v>20</v>
      </c>
      <c r="J2779" s="5">
        <v>5.0999999999999996</v>
      </c>
      <c r="K2779" s="5" t="s">
        <v>21</v>
      </c>
      <c r="L2779" s="5" t="s">
        <v>10927</v>
      </c>
      <c r="M2779" s="5" t="s">
        <v>10928</v>
      </c>
      <c r="N2779" s="7" t="str">
        <f>HYPERLINK("C:\Users\alexa\YandexDisk\Книги\Программирование\Компиляторы\Konstruirovanie_kompilyatorov_2015.pdf","Konstruirovanie_kompilyatorov_2015.pdf")</f>
        <v>Konstruirovanie_kompilyatorov_2015.pdf</v>
      </c>
      <c r="O2779" s="5" t="s">
        <v>10929</v>
      </c>
    </row>
    <row r="2780" spans="1:15" ht="193.2" x14ac:dyDescent="0.3">
      <c r="A2780" s="2">
        <v>2779</v>
      </c>
      <c r="B2780" s="3" t="s">
        <v>10930</v>
      </c>
      <c r="C2780" s="3" t="s">
        <v>10931</v>
      </c>
      <c r="D2780" s="3" t="s">
        <v>71</v>
      </c>
      <c r="E2780" s="3" t="s">
        <v>102</v>
      </c>
      <c r="F2780" s="3" t="s">
        <v>10925</v>
      </c>
      <c r="G2780" s="3" t="s">
        <v>8458</v>
      </c>
      <c r="H2780" s="3" t="s">
        <v>10926</v>
      </c>
      <c r="I2780" s="3" t="s">
        <v>20</v>
      </c>
      <c r="J2780" s="3">
        <v>14.7</v>
      </c>
      <c r="K2780" s="3" t="s">
        <v>21</v>
      </c>
      <c r="L2780" s="3" t="s">
        <v>10932</v>
      </c>
      <c r="M2780" s="3" t="s">
        <v>10928</v>
      </c>
      <c r="N2780" s="6" t="str">
        <f>HYPERLINK("C:\Users\alexa\YandexDisk\Книги\Программирование\Компиляторы\Kлинтoн_Л_Джeффepи_Создай_свой_собственный_язык_программирования.pdf","Kлинтoн_Л_Джeффepи_Создай_свой_собственный_язык_программирования.pdf")</f>
        <v>Kлинтoн_Л_Джeффepи_Создай_свой_собственный_язык_программирования.pdf</v>
      </c>
      <c r="O2780" s="3" t="s">
        <v>10933</v>
      </c>
    </row>
    <row r="2781" spans="1:15" ht="151.80000000000001" x14ac:dyDescent="0.3">
      <c r="A2781" s="4">
        <v>2780</v>
      </c>
      <c r="B2781" s="5" t="s">
        <v>10934</v>
      </c>
      <c r="C2781" s="5" t="s">
        <v>10935</v>
      </c>
      <c r="D2781" s="5" t="s">
        <v>3158</v>
      </c>
      <c r="E2781" s="5" t="s">
        <v>4397</v>
      </c>
      <c r="F2781" s="5" t="s">
        <v>10925</v>
      </c>
      <c r="G2781" s="5" t="s">
        <v>8458</v>
      </c>
      <c r="H2781" s="5" t="s">
        <v>10926</v>
      </c>
      <c r="I2781" s="5" t="s">
        <v>721</v>
      </c>
      <c r="J2781" s="5">
        <v>15.32</v>
      </c>
      <c r="K2781" s="5" t="s">
        <v>21</v>
      </c>
      <c r="L2781" s="5" t="s">
        <v>10936</v>
      </c>
      <c r="M2781" s="5" t="s">
        <v>10928</v>
      </c>
      <c r="N2781" s="7" t="str">
        <f>HYPERLINK("C:\Users\alexa\YandexDisk\Книги\Программирование\Компиляторы\Компиляторы. Принципы, технологии, инструменты, 2-е издание.djvu","Компиляторы. Принципы, технологии, инструменты, 2-е издание.djvu")</f>
        <v>Компиляторы. Принципы, технологии, инструменты, 2-е издание.djvu</v>
      </c>
      <c r="O2781" s="5" t="s">
        <v>10937</v>
      </c>
    </row>
    <row r="2782" spans="1:15" ht="165.6" x14ac:dyDescent="0.3">
      <c r="A2782" s="2">
        <v>2781</v>
      </c>
      <c r="B2782" s="3" t="s">
        <v>10938</v>
      </c>
      <c r="C2782" s="3" t="s">
        <v>10939</v>
      </c>
      <c r="D2782" s="3" t="s">
        <v>59</v>
      </c>
      <c r="E2782" s="3" t="s">
        <v>102</v>
      </c>
      <c r="F2782" s="3" t="s">
        <v>10940</v>
      </c>
      <c r="G2782" s="3" t="s">
        <v>8458</v>
      </c>
      <c r="H2782" s="3" t="s">
        <v>10941</v>
      </c>
      <c r="I2782" s="3" t="s">
        <v>20</v>
      </c>
      <c r="J2782" s="3">
        <v>44.93</v>
      </c>
      <c r="K2782" s="3" t="s">
        <v>21</v>
      </c>
      <c r="L2782" s="3" t="s">
        <v>10942</v>
      </c>
      <c r="M2782" s="3" t="s">
        <v>10943</v>
      </c>
      <c r="N2782" s="6" t="str">
        <f>HYPERLINK("C:\Users\alexa\YandexDisk\Книги\Программирование\Многопоточность\C++ параллельное прграммирование TBB.pdf","C++ параллельное прграммирование TBB.pdf")</f>
        <v>C++ параллельное прграммирование TBB.pdf</v>
      </c>
      <c r="O2782" s="3" t="s">
        <v>10944</v>
      </c>
    </row>
    <row r="2783" spans="1:15" ht="234.6" x14ac:dyDescent="0.3">
      <c r="A2783" s="4">
        <v>2782</v>
      </c>
      <c r="B2783" s="5" t="s">
        <v>10945</v>
      </c>
      <c r="C2783" s="5" t="s">
        <v>10946</v>
      </c>
      <c r="D2783" s="5"/>
      <c r="E2783" s="5" t="s">
        <v>557</v>
      </c>
      <c r="F2783" s="5" t="s">
        <v>10940</v>
      </c>
      <c r="G2783" s="5" t="s">
        <v>8458</v>
      </c>
      <c r="H2783" s="5" t="s">
        <v>10941</v>
      </c>
      <c r="I2783" s="5" t="s">
        <v>20</v>
      </c>
      <c r="J2783" s="5">
        <v>19.940000000000001</v>
      </c>
      <c r="K2783" s="5" t="s">
        <v>21</v>
      </c>
      <c r="L2783" s="5" t="s">
        <v>10947</v>
      </c>
      <c r="M2783" s="5" t="s">
        <v>10943</v>
      </c>
      <c r="N2783" s="7" t="str">
        <f>HYPERLINK("C:\Users\alexa\YandexDisk\Книги\Программирование\Многопоточность\Grokking Concurrency_Final.pdf","Grokking Concurrency_Final.pdf")</f>
        <v>Grokking Concurrency_Final.pdf</v>
      </c>
      <c r="O2783" s="5" t="s">
        <v>10948</v>
      </c>
    </row>
    <row r="2784" spans="1:15" ht="207" x14ac:dyDescent="0.3">
      <c r="A2784" s="2">
        <v>2783</v>
      </c>
      <c r="B2784" s="3" t="s">
        <v>10949</v>
      </c>
      <c r="C2784" s="3" t="s">
        <v>10950</v>
      </c>
      <c r="D2784" s="3" t="s">
        <v>59</v>
      </c>
      <c r="E2784" s="3" t="s">
        <v>18</v>
      </c>
      <c r="F2784" s="3" t="s">
        <v>10940</v>
      </c>
      <c r="G2784" s="3" t="s">
        <v>8458</v>
      </c>
      <c r="H2784" s="3" t="s">
        <v>10941</v>
      </c>
      <c r="I2784" s="3" t="s">
        <v>20</v>
      </c>
      <c r="J2784" s="3">
        <v>7.48</v>
      </c>
      <c r="K2784" s="3" t="s">
        <v>21</v>
      </c>
      <c r="L2784" s="3" t="s">
        <v>10951</v>
      </c>
      <c r="M2784" s="3" t="s">
        <v>10943</v>
      </c>
      <c r="N2784" s="6" t="str">
        <f>HYPERLINK("C:\Users\alexa\YandexDisk\Книги\Программирование\Многопоточность\Java_Concurrency_на_практике_2020.pdf","Java_Concurrency_на_практике_2020.pdf")</f>
        <v>Java_Concurrency_на_практике_2020.pdf</v>
      </c>
      <c r="O2784" s="3" t="s">
        <v>10952</v>
      </c>
    </row>
    <row r="2785" spans="1:15" ht="220.8" x14ac:dyDescent="0.3">
      <c r="A2785" s="4">
        <v>2784</v>
      </c>
      <c r="B2785" s="5" t="s">
        <v>10001</v>
      </c>
      <c r="C2785" s="5" t="s">
        <v>10168</v>
      </c>
      <c r="D2785" s="5" t="s">
        <v>71</v>
      </c>
      <c r="E2785" s="5" t="s">
        <v>269</v>
      </c>
      <c r="F2785" s="5" t="s">
        <v>10940</v>
      </c>
      <c r="G2785" s="5" t="s">
        <v>8458</v>
      </c>
      <c r="H2785" s="5" t="s">
        <v>10941</v>
      </c>
      <c r="I2785" s="5" t="s">
        <v>20</v>
      </c>
      <c r="J2785" s="5">
        <v>4.62</v>
      </c>
      <c r="K2785" s="5" t="s">
        <v>21</v>
      </c>
      <c r="L2785" s="5" t="s">
        <v>10953</v>
      </c>
      <c r="M2785" s="5" t="s">
        <v>10943</v>
      </c>
      <c r="N2785" s="7" t="str">
        <f>HYPERLINK("C:\Users\alexa\YandexDisk\Книги\Программирование\Многопоточность\Python Concurrency with asyncio 2022.pdf","Python Concurrency with asyncio 2022.pdf")</f>
        <v>Python Concurrency with asyncio 2022.pdf</v>
      </c>
      <c r="O2785" s="5" t="s">
        <v>10954</v>
      </c>
    </row>
    <row r="2786" spans="1:15" ht="165.6" x14ac:dyDescent="0.3">
      <c r="A2786" s="2">
        <v>2785</v>
      </c>
      <c r="B2786" s="3" t="s">
        <v>10955</v>
      </c>
      <c r="C2786" s="3" t="s">
        <v>10956</v>
      </c>
      <c r="D2786" s="3" t="s">
        <v>71</v>
      </c>
      <c r="E2786" s="3" t="s">
        <v>102</v>
      </c>
      <c r="F2786" s="3" t="s">
        <v>10940</v>
      </c>
      <c r="G2786" s="3" t="s">
        <v>8458</v>
      </c>
      <c r="H2786" s="3" t="s">
        <v>10941</v>
      </c>
      <c r="I2786" s="3" t="s">
        <v>20</v>
      </c>
      <c r="J2786" s="3">
        <v>7.3</v>
      </c>
      <c r="K2786" s="3" t="s">
        <v>21</v>
      </c>
      <c r="L2786" s="3" t="s">
        <v>10957</v>
      </c>
      <c r="M2786" s="3" t="s">
        <v>10943</v>
      </c>
      <c r="N2786" s="6" t="str">
        <f>HYPERLINK("C:\Users\alexa\YandexDisk\Книги\Программирование\Многопоточность\Многопоточный Javascript.pdf","Многопоточный Javascript.pdf")</f>
        <v>Многопоточный Javascript.pdf</v>
      </c>
      <c r="O2786" s="3" t="s">
        <v>10958</v>
      </c>
    </row>
    <row r="2787" spans="1:15" ht="234.6" x14ac:dyDescent="0.3">
      <c r="A2787" s="4">
        <v>2786</v>
      </c>
      <c r="B2787" s="5" t="s">
        <v>10959</v>
      </c>
      <c r="C2787" s="5" t="s">
        <v>10960</v>
      </c>
      <c r="D2787" s="5" t="s">
        <v>59</v>
      </c>
      <c r="E2787" s="5" t="s">
        <v>726</v>
      </c>
      <c r="F2787" s="5" t="s">
        <v>10940</v>
      </c>
      <c r="G2787" s="5" t="s">
        <v>8458</v>
      </c>
      <c r="H2787" s="5" t="s">
        <v>10941</v>
      </c>
      <c r="I2787" s="5" t="s">
        <v>20</v>
      </c>
      <c r="J2787" s="5">
        <v>1.55</v>
      </c>
      <c r="K2787" s="5" t="s">
        <v>21</v>
      </c>
      <c r="L2787" s="5" t="s">
        <v>10961</v>
      </c>
      <c r="M2787" s="5" t="s">
        <v>10943</v>
      </c>
      <c r="N2787" s="7" t="str">
        <f>HYPERLINK("C:\Users\alexa\YandexDisk\Книги\Программирование\Многопоточность\Основы_параллельного_программирования-2020.pdf","Основы_параллельного_программирования-2020.pdf")</f>
        <v>Основы_параллельного_программирования-2020.pdf</v>
      </c>
      <c r="O2787" s="5" t="s">
        <v>10962</v>
      </c>
    </row>
    <row r="2788" spans="1:15" ht="165.6" x14ac:dyDescent="0.3">
      <c r="A2788" s="2">
        <v>2787</v>
      </c>
      <c r="B2788" s="3" t="s">
        <v>10963</v>
      </c>
      <c r="C2788" s="3" t="s">
        <v>10964</v>
      </c>
      <c r="D2788" s="3" t="s">
        <v>65</v>
      </c>
      <c r="E2788" s="3" t="s">
        <v>102</v>
      </c>
      <c r="F2788" s="3" t="s">
        <v>10940</v>
      </c>
      <c r="G2788" s="3" t="s">
        <v>8458</v>
      </c>
      <c r="H2788" s="3" t="s">
        <v>10941</v>
      </c>
      <c r="I2788" s="3" t="s">
        <v>20</v>
      </c>
      <c r="J2788" s="3">
        <v>2.81</v>
      </c>
      <c r="K2788" s="3" t="s">
        <v>21</v>
      </c>
      <c r="L2788" s="3" t="s">
        <v>10965</v>
      </c>
      <c r="M2788" s="3" t="s">
        <v>10943</v>
      </c>
      <c r="N2788" s="6" t="str">
        <f>HYPERLINK("C:\Users\alexa\YandexDisk\Книги\Программирование\Многопоточность\Параллельное_программирование_на_С++_в_действии.pdf","Параллельное_программирование_на_С++_в_действии.pdf")</f>
        <v>Параллельное_программирование_на_С++_в_действии.pdf</v>
      </c>
      <c r="O2788" s="3" t="s">
        <v>10966</v>
      </c>
    </row>
    <row r="2789" spans="1:15" ht="165.6" x14ac:dyDescent="0.3">
      <c r="A2789" s="4">
        <v>2788</v>
      </c>
      <c r="B2789" s="5" t="s">
        <v>10967</v>
      </c>
      <c r="C2789" s="5" t="s">
        <v>10968</v>
      </c>
      <c r="D2789" s="5" t="s">
        <v>17</v>
      </c>
      <c r="E2789" s="5" t="s">
        <v>102</v>
      </c>
      <c r="F2789" s="5" t="s">
        <v>10940</v>
      </c>
      <c r="G2789" s="5" t="s">
        <v>8458</v>
      </c>
      <c r="H2789" s="5" t="s">
        <v>10941</v>
      </c>
      <c r="I2789" s="5" t="s">
        <v>20</v>
      </c>
      <c r="J2789" s="5">
        <v>30.13</v>
      </c>
      <c r="K2789" s="5" t="s">
        <v>21</v>
      </c>
      <c r="L2789" s="5" t="s">
        <v>10969</v>
      </c>
      <c r="M2789" s="5" t="s">
        <v>10943</v>
      </c>
      <c r="N2789" s="7" t="str">
        <f>HYPERLINK("C:\Users\alexa\YandexDisk\Книги\Программирование\Многопоточность\Параллельные_и_высокопроизводительные_вычисления.pdf","Параллельные_и_высокопроизводительные_вычисления.pdf")</f>
        <v>Параллельные_и_высокопроизводительные_вычисления.pdf</v>
      </c>
      <c r="O2789" s="5" t="s">
        <v>10970</v>
      </c>
    </row>
    <row r="2790" spans="1:15" ht="179.4" x14ac:dyDescent="0.3">
      <c r="A2790" s="2">
        <v>2789</v>
      </c>
      <c r="B2790" s="3" t="s">
        <v>10963</v>
      </c>
      <c r="C2790" s="3" t="s">
        <v>10964</v>
      </c>
      <c r="D2790" s="3" t="s">
        <v>59</v>
      </c>
      <c r="E2790" s="3" t="s">
        <v>18</v>
      </c>
      <c r="F2790" s="3" t="s">
        <v>10940</v>
      </c>
      <c r="G2790" s="3" t="s">
        <v>8458</v>
      </c>
      <c r="H2790" s="3" t="s">
        <v>10941</v>
      </c>
      <c r="I2790" s="3" t="s">
        <v>20</v>
      </c>
      <c r="J2790" s="3">
        <v>16.7</v>
      </c>
      <c r="K2790" s="3" t="s">
        <v>21</v>
      </c>
      <c r="L2790" s="3" t="s">
        <v>10971</v>
      </c>
      <c r="M2790" s="3" t="s">
        <v>10943</v>
      </c>
      <c r="N2790" s="6" t="str">
        <f>HYPERLINK("C:\Users\alexa\YandexDisk\Книги\Программирование\Многопоточность\Энтони Практика многопоточного программирования 2020.pdf","Энтони Практика многопоточного программирования 2020.pdf")</f>
        <v>Энтони Практика многопоточного программирования 2020.pdf</v>
      </c>
      <c r="O2790" s="3" t="s">
        <v>10972</v>
      </c>
    </row>
    <row r="2791" spans="1:15" ht="179.4" x14ac:dyDescent="0.3">
      <c r="A2791" s="4">
        <v>2790</v>
      </c>
      <c r="B2791" s="5" t="s">
        <v>10973</v>
      </c>
      <c r="C2791" s="5" t="s">
        <v>10974</v>
      </c>
      <c r="D2791" s="5" t="s">
        <v>59</v>
      </c>
      <c r="E2791" s="5" t="s">
        <v>92</v>
      </c>
      <c r="F2791" s="5" t="s">
        <v>10975</v>
      </c>
      <c r="G2791" s="5" t="s">
        <v>8458</v>
      </c>
      <c r="H2791" s="5" t="s">
        <v>199</v>
      </c>
      <c r="I2791" s="5" t="s">
        <v>20</v>
      </c>
      <c r="J2791" s="5">
        <v>53.19</v>
      </c>
      <c r="K2791" s="5" t="s">
        <v>21</v>
      </c>
      <c r="L2791" s="5" t="s">
        <v>10976</v>
      </c>
      <c r="M2791" s="5" t="s">
        <v>10977</v>
      </c>
      <c r="N2791" s="7" t="str">
        <f>HYPERLINK("C:\Users\alexa\YandexDisk\Книги\Программирование\Общие вопросы\!!Программист - прогматик (2020).pdf","!!Программист - прогматик (2020).pdf")</f>
        <v>!!Программист - прогматик (2020).pdf</v>
      </c>
      <c r="O2791" s="5" t="s">
        <v>10978</v>
      </c>
    </row>
    <row r="2792" spans="1:15" ht="179.4" x14ac:dyDescent="0.3">
      <c r="A2792" s="2">
        <v>2791</v>
      </c>
      <c r="B2792" s="3" t="s">
        <v>10979</v>
      </c>
      <c r="C2792" s="3" t="s">
        <v>10980</v>
      </c>
      <c r="D2792" s="3" t="s">
        <v>71</v>
      </c>
      <c r="E2792" s="3" t="s">
        <v>308</v>
      </c>
      <c r="F2792" s="3" t="s">
        <v>10975</v>
      </c>
      <c r="G2792" s="3" t="s">
        <v>8458</v>
      </c>
      <c r="H2792" s="3" t="s">
        <v>199</v>
      </c>
      <c r="I2792" s="3" t="s">
        <v>20</v>
      </c>
      <c r="J2792" s="3">
        <v>21.48</v>
      </c>
      <c r="K2792" s="3" t="s">
        <v>21</v>
      </c>
      <c r="L2792" s="3" t="s">
        <v>10981</v>
      </c>
      <c r="M2792" s="3" t="s">
        <v>10977</v>
      </c>
      <c r="N2792" s="6" t="str">
        <f>HYPERLINK("C:\Users\alexa\YandexDisk\Книги\Программирование\Общие вопросы\!Beginning Programming All-in-One For Dummies, 2nd Edition 2022.pdf","!Beginning Programming All-in-One For Dummies, 2nd Edition 2022.pdf")</f>
        <v>!Beginning Programming All-in-One For Dummies, 2nd Edition 2022.pdf</v>
      </c>
      <c r="O2792" s="3" t="s">
        <v>10982</v>
      </c>
    </row>
    <row r="2793" spans="1:15" ht="193.2" x14ac:dyDescent="0.3">
      <c r="A2793" s="4">
        <v>2792</v>
      </c>
      <c r="B2793" s="5" t="s">
        <v>10983</v>
      </c>
      <c r="C2793" s="5" t="s">
        <v>10984</v>
      </c>
      <c r="D2793" s="5" t="s">
        <v>114</v>
      </c>
      <c r="E2793" s="5" t="s">
        <v>18</v>
      </c>
      <c r="F2793" s="5" t="s">
        <v>10975</v>
      </c>
      <c r="G2793" s="5" t="s">
        <v>8458</v>
      </c>
      <c r="H2793" s="5" t="s">
        <v>199</v>
      </c>
      <c r="I2793" s="5" t="s">
        <v>20</v>
      </c>
      <c r="J2793" s="5">
        <v>16.600000000000001</v>
      </c>
      <c r="K2793" s="5" t="s">
        <v>21</v>
      </c>
      <c r="L2793" s="5" t="s">
        <v>10985</v>
      </c>
      <c r="M2793" s="5" t="s">
        <v>10977</v>
      </c>
      <c r="N2793" s="7" t="str">
        <f>HYPERLINK("C:\Users\alexa\YandexDisk\Книги\Программирование\Общие вопросы\!Сонмез_Д_Путь_программиста_Библиотека.pdf","!Сонмез_Д_Путь_программиста_Библиотека.pdf")</f>
        <v>!Сонмез_Д_Путь_программиста_Библиотека.pdf</v>
      </c>
      <c r="O2793" s="5" t="s">
        <v>10986</v>
      </c>
    </row>
    <row r="2794" spans="1:15" ht="207" x14ac:dyDescent="0.3">
      <c r="A2794" s="2">
        <v>2793</v>
      </c>
      <c r="B2794" s="3" t="s">
        <v>10987</v>
      </c>
      <c r="C2794" s="3" t="s">
        <v>10988</v>
      </c>
      <c r="D2794" s="3"/>
      <c r="E2794" s="3" t="s">
        <v>10989</v>
      </c>
      <c r="F2794" s="3" t="s">
        <v>10975</v>
      </c>
      <c r="G2794" s="3" t="s">
        <v>8458</v>
      </c>
      <c r="H2794" s="3" t="s">
        <v>199</v>
      </c>
      <c r="I2794" s="3" t="s">
        <v>20</v>
      </c>
      <c r="J2794" s="3">
        <v>6.36</v>
      </c>
      <c r="K2794" s="3" t="s">
        <v>21</v>
      </c>
      <c r="L2794" s="3" t="s">
        <v>10990</v>
      </c>
      <c r="M2794" s="3" t="s">
        <v>10977</v>
      </c>
      <c r="N2794" s="6" t="str">
        <f>HYPERLINK("C:\Users\alexa\YandexDisk\Книги\Программирование\Общие вопросы\A Friendly Guide to Software Development.pdf","A Friendly Guide to Software Development.pdf")</f>
        <v>A Friendly Guide to Software Development.pdf</v>
      </c>
      <c r="O2794" s="3" t="s">
        <v>10991</v>
      </c>
    </row>
    <row r="2795" spans="1:15" ht="179.4" x14ac:dyDescent="0.3">
      <c r="A2795" s="4">
        <v>2794</v>
      </c>
      <c r="B2795" s="5" t="s">
        <v>10992</v>
      </c>
      <c r="C2795" s="5" t="s">
        <v>10993</v>
      </c>
      <c r="D2795" s="5" t="s">
        <v>27</v>
      </c>
      <c r="E2795" s="5" t="s">
        <v>227</v>
      </c>
      <c r="F2795" s="5" t="s">
        <v>10975</v>
      </c>
      <c r="G2795" s="5" t="s">
        <v>8458</v>
      </c>
      <c r="H2795" s="5" t="s">
        <v>199</v>
      </c>
      <c r="I2795" s="5" t="s">
        <v>20</v>
      </c>
      <c r="J2795" s="5">
        <v>1.72</v>
      </c>
      <c r="K2795" s="5" t="s">
        <v>21</v>
      </c>
      <c r="L2795" s="5" t="s">
        <v>10994</v>
      </c>
      <c r="M2795" s="5" t="s">
        <v>10977</v>
      </c>
      <c r="N2795" s="7" t="str">
        <f>HYPERLINK("C:\Users\alexa\YandexDisk\Книги\Программирование\Общие вопросы\A Software Engineers Guide to Seniority.pdf","A Software Engineers Guide to Seniority.pdf")</f>
        <v>A Software Engineers Guide to Seniority.pdf</v>
      </c>
      <c r="O2795" s="5" t="s">
        <v>10995</v>
      </c>
    </row>
    <row r="2796" spans="1:15" ht="179.4" x14ac:dyDescent="0.3">
      <c r="A2796" s="2">
        <v>2795</v>
      </c>
      <c r="B2796" s="3" t="s">
        <v>10996</v>
      </c>
      <c r="C2796" s="3" t="s">
        <v>10997</v>
      </c>
      <c r="D2796" s="3"/>
      <c r="E2796" s="3"/>
      <c r="F2796" s="3" t="s">
        <v>10975</v>
      </c>
      <c r="G2796" s="3" t="s">
        <v>8458</v>
      </c>
      <c r="H2796" s="3" t="s">
        <v>199</v>
      </c>
      <c r="I2796" s="3" t="s">
        <v>20</v>
      </c>
      <c r="J2796" s="3">
        <v>9.36</v>
      </c>
      <c r="K2796" s="3" t="s">
        <v>21</v>
      </c>
      <c r="L2796" s="3" t="s">
        <v>10998</v>
      </c>
      <c r="M2796" s="3" t="s">
        <v>10977</v>
      </c>
      <c r="N2796" s="6" t="str">
        <f>HYPERLINK("C:\Users\alexa\YandexDisk\Книги\Программирование\Общие вопросы\An Artists Guide to Programming.pdf","An Artists Guide to Programming.pdf")</f>
        <v>An Artists Guide to Programming.pdf</v>
      </c>
      <c r="O2796" s="3" t="s">
        <v>10999</v>
      </c>
    </row>
    <row r="2797" spans="1:15" ht="165.6" x14ac:dyDescent="0.3">
      <c r="A2797" s="4">
        <v>2796</v>
      </c>
      <c r="B2797" s="5" t="s">
        <v>11000</v>
      </c>
      <c r="C2797" s="5" t="s">
        <v>11001</v>
      </c>
      <c r="D2797" s="5" t="s">
        <v>27</v>
      </c>
      <c r="E2797" s="5"/>
      <c r="F2797" s="5" t="s">
        <v>10975</v>
      </c>
      <c r="G2797" s="5" t="s">
        <v>8458</v>
      </c>
      <c r="H2797" s="5" t="s">
        <v>199</v>
      </c>
      <c r="I2797" s="5" t="s">
        <v>20</v>
      </c>
      <c r="J2797" s="5">
        <v>6.81</v>
      </c>
      <c r="K2797" s="5" t="s">
        <v>21</v>
      </c>
      <c r="L2797" s="5" t="s">
        <v>11002</v>
      </c>
      <c r="M2797" s="5" t="s">
        <v>10977</v>
      </c>
      <c r="N2797" s="7" t="str">
        <f>HYPERLINK("C:\Users\alexa\YandexDisk\Книги\Программирование\Общие вопросы\Anyone Can Code_Algorithmic Thinking.pdf","Anyone Can Code_Algorithmic Thinking.pdf")</f>
        <v>Anyone Can Code_Algorithmic Thinking.pdf</v>
      </c>
      <c r="O2797" s="5" t="s">
        <v>11003</v>
      </c>
    </row>
    <row r="2798" spans="1:15" ht="207" x14ac:dyDescent="0.3">
      <c r="A2798" s="2">
        <v>2797</v>
      </c>
      <c r="B2798" s="3" t="s">
        <v>11004</v>
      </c>
      <c r="C2798" s="3" t="s">
        <v>11005</v>
      </c>
      <c r="D2798" s="3"/>
      <c r="E2798" s="3"/>
      <c r="F2798" s="3" t="s">
        <v>10975</v>
      </c>
      <c r="G2798" s="3" t="s">
        <v>8458</v>
      </c>
      <c r="H2798" s="3" t="s">
        <v>199</v>
      </c>
      <c r="I2798" s="3" t="s">
        <v>280</v>
      </c>
      <c r="J2798" s="3">
        <v>28.28</v>
      </c>
      <c r="K2798" s="3" t="s">
        <v>21</v>
      </c>
      <c r="L2798" s="3" t="s">
        <v>11006</v>
      </c>
      <c r="M2798" s="3" t="s">
        <v>10977</v>
      </c>
      <c r="N2798" s="6" t="str">
        <f>HYPERLINK("C:\Users\alexa\YandexDisk\Книги\Программирование\Общие вопросы\Ben_Shneiderman_&amp;_Catherine_Plaisant_&amp;_Maxine_Cohen_&amp;_Steven_Jacobs.epub","Ben_Shneiderman_&amp;_Catherine_Plaisant_&amp;_Maxine_Cohen_&amp;_Steven_Jacobs.epub")</f>
        <v>Ben_Shneiderman_&amp;_Catherine_Plaisant_&amp;_Maxine_Cohen_&amp;_Steven_Jacobs.epub</v>
      </c>
      <c r="O2798" s="3" t="s">
        <v>11007</v>
      </c>
    </row>
    <row r="2799" spans="1:15" ht="193.2" x14ac:dyDescent="0.3">
      <c r="A2799" s="4">
        <v>2798</v>
      </c>
      <c r="B2799" s="5" t="s">
        <v>11008</v>
      </c>
      <c r="C2799" s="5" t="s">
        <v>11009</v>
      </c>
      <c r="D2799" s="5" t="s">
        <v>1022</v>
      </c>
      <c r="E2799" s="5" t="s">
        <v>18</v>
      </c>
      <c r="F2799" s="5" t="s">
        <v>10975</v>
      </c>
      <c r="G2799" s="5" t="s">
        <v>8458</v>
      </c>
      <c r="H2799" s="5" t="s">
        <v>199</v>
      </c>
      <c r="I2799" s="5" t="s">
        <v>20</v>
      </c>
      <c r="J2799" s="5">
        <v>4.8899999999999997</v>
      </c>
      <c r="K2799" s="5" t="s">
        <v>21</v>
      </c>
      <c r="L2799" s="5" t="s">
        <v>11010</v>
      </c>
      <c r="M2799" s="5" t="s">
        <v>10977</v>
      </c>
      <c r="N2799" s="7" t="str">
        <f>HYPERLINK("C:\Users\alexa\YandexDisk\Книги\Программирование\Общие вопросы\Ched_Fauler_-_Programmist-fanatik.pdf","Ched_Fauler_-_Programmist-fanatik.pdf")</f>
        <v>Ched_Fauler_-_Programmist-fanatik.pdf</v>
      </c>
      <c r="O2799" s="5" t="s">
        <v>11011</v>
      </c>
    </row>
    <row r="2800" spans="1:15" ht="193.2" x14ac:dyDescent="0.3">
      <c r="A2800" s="2">
        <v>2799</v>
      </c>
      <c r="B2800" s="3" t="s">
        <v>11012</v>
      </c>
      <c r="C2800" s="3" t="s">
        <v>11013</v>
      </c>
      <c r="D2800" s="3"/>
      <c r="E2800" s="3" t="s">
        <v>269</v>
      </c>
      <c r="F2800" s="3" t="s">
        <v>10975</v>
      </c>
      <c r="G2800" s="3" t="s">
        <v>8458</v>
      </c>
      <c r="H2800" s="3" t="s">
        <v>199</v>
      </c>
      <c r="I2800" s="3" t="s">
        <v>20</v>
      </c>
      <c r="J2800" s="3">
        <v>5.61</v>
      </c>
      <c r="K2800" s="3" t="s">
        <v>21</v>
      </c>
      <c r="L2800" s="3" t="s">
        <v>11014</v>
      </c>
      <c r="M2800" s="3" t="s">
        <v>10977</v>
      </c>
      <c r="N2800" s="6" t="str">
        <f>HYPERLINK("C:\Users\alexa\YandexDisk\Книги\Программирование\Общие вопросы\Christian Clausen_Five_Lines_of_Code Manning.pdf","Christian Clausen_Five_Lines_of_Code Manning.pdf")</f>
        <v>Christian Clausen_Five_Lines_of_Code Manning.pdf</v>
      </c>
      <c r="O2800" s="3" t="s">
        <v>11015</v>
      </c>
    </row>
    <row r="2801" spans="1:15" ht="193.2" x14ac:dyDescent="0.3">
      <c r="A2801" s="4">
        <v>2800</v>
      </c>
      <c r="B2801" s="5" t="s">
        <v>11016</v>
      </c>
      <c r="C2801" s="5" t="s">
        <v>11017</v>
      </c>
      <c r="D2801" s="5" t="s">
        <v>71</v>
      </c>
      <c r="E2801" s="5" t="s">
        <v>536</v>
      </c>
      <c r="F2801" s="5" t="s">
        <v>10975</v>
      </c>
      <c r="G2801" s="5" t="s">
        <v>8458</v>
      </c>
      <c r="H2801" s="5" t="s">
        <v>199</v>
      </c>
      <c r="I2801" s="5" t="s">
        <v>20</v>
      </c>
      <c r="J2801" s="5">
        <v>9.4600000000000009</v>
      </c>
      <c r="K2801" s="5" t="s">
        <v>21</v>
      </c>
      <c r="L2801" s="5" t="s">
        <v>11018</v>
      </c>
      <c r="M2801" s="5" t="s">
        <v>10977</v>
      </c>
      <c r="N2801" s="7" t="str">
        <f>HYPERLINK("C:\Users\alexa\YandexDisk\Книги\Программирование\Общие вопросы\Data-Oriented Programming Unlearning objects.pdf","Data-Oriented Programming Unlearning objects.pdf")</f>
        <v>Data-Oriented Programming Unlearning objects.pdf</v>
      </c>
      <c r="O2801" s="5" t="s">
        <v>11019</v>
      </c>
    </row>
    <row r="2802" spans="1:15" ht="151.80000000000001" x14ac:dyDescent="0.3">
      <c r="A2802" s="2">
        <v>2801</v>
      </c>
      <c r="B2802" s="3" t="s">
        <v>11020</v>
      </c>
      <c r="C2802" s="3" t="s">
        <v>11021</v>
      </c>
      <c r="D2802" s="3"/>
      <c r="E2802" s="3" t="s">
        <v>587</v>
      </c>
      <c r="F2802" s="3" t="s">
        <v>896</v>
      </c>
      <c r="G2802" s="3" t="s">
        <v>633</v>
      </c>
      <c r="H2802" s="3" t="s">
        <v>897</v>
      </c>
      <c r="I2802" s="3" t="s">
        <v>20</v>
      </c>
      <c r="J2802" s="3">
        <v>12.3</v>
      </c>
      <c r="K2802" s="3" t="s">
        <v>21</v>
      </c>
      <c r="L2802" s="3" t="s">
        <v>11022</v>
      </c>
      <c r="M2802" s="3" t="s">
        <v>10977</v>
      </c>
      <c r="N2802" s="6" t="str">
        <f>HYPERLINK("C:\Users\alexa\YandexDisk\Книги\Программирование\Общие вопросы\Data.Structures.the.Fun.Way.pdf","Data.Structures.the.Fun.Way.pdf")</f>
        <v>Data.Structures.the.Fun.Way.pdf</v>
      </c>
      <c r="O2802" s="3" t="s">
        <v>11023</v>
      </c>
    </row>
    <row r="2803" spans="1:15" ht="220.8" x14ac:dyDescent="0.3">
      <c r="A2803" s="4">
        <v>2802</v>
      </c>
      <c r="B2803" s="5" t="s">
        <v>11024</v>
      </c>
      <c r="C2803" s="5" t="s">
        <v>11017</v>
      </c>
      <c r="D2803" s="5"/>
      <c r="E2803" s="5" t="s">
        <v>269</v>
      </c>
      <c r="F2803" s="5" t="s">
        <v>10975</v>
      </c>
      <c r="G2803" s="5" t="s">
        <v>8458</v>
      </c>
      <c r="H2803" s="5" t="s">
        <v>199</v>
      </c>
      <c r="I2803" s="5" t="s">
        <v>20</v>
      </c>
      <c r="J2803" s="5">
        <v>5.65</v>
      </c>
      <c r="K2803" s="5" t="s">
        <v>21</v>
      </c>
      <c r="L2803" s="5" t="s">
        <v>11025</v>
      </c>
      <c r="M2803" s="5" t="s">
        <v>10977</v>
      </c>
      <c r="N2803" s="7" t="str">
        <f>HYPERLINK("C:\Users\alexa\YandexDisk\Книги\Программирование\Общие вопросы\Data_Oriented_Programming_Reduce_complexity_by_rethinking_data.pdf","Data_Oriented_Programming_Reduce_complexity_by_rethinking_data.pdf")</f>
        <v>Data_Oriented_Programming_Reduce_complexity_by_rethinking_data.pdf</v>
      </c>
      <c r="O2803" s="5" t="s">
        <v>11026</v>
      </c>
    </row>
    <row r="2804" spans="1:15" ht="165.6" x14ac:dyDescent="0.3">
      <c r="A2804" s="2">
        <v>2803</v>
      </c>
      <c r="B2804" s="3" t="s">
        <v>11027</v>
      </c>
      <c r="C2804" s="3" t="s">
        <v>11021</v>
      </c>
      <c r="D2804" s="3" t="s">
        <v>71</v>
      </c>
      <c r="E2804" s="3" t="s">
        <v>72</v>
      </c>
      <c r="F2804" s="3" t="s">
        <v>896</v>
      </c>
      <c r="G2804" s="3" t="s">
        <v>633</v>
      </c>
      <c r="H2804" s="3" t="s">
        <v>897</v>
      </c>
      <c r="I2804" s="3" t="s">
        <v>20</v>
      </c>
      <c r="J2804" s="3">
        <v>10.89</v>
      </c>
      <c r="K2804" s="3" t="s">
        <v>21</v>
      </c>
      <c r="L2804" s="3" t="s">
        <v>11028</v>
      </c>
      <c r="M2804" s="3" t="s">
        <v>10977</v>
      </c>
      <c r="N2804" s="6" t="str">
        <f>HYPERLINK("C:\Users\alexa\YandexDisk\Книги\Программирование\Общие вопросы\Data_Structures_the_Fun_Way_From_Binary_Search_to_QuadTrees_in_1.pdf","Data_Structures_the_Fun_Way_From_Binary_Search_to_QuadTrees_in_1.pdf")</f>
        <v>Data_Structures_the_Fun_Way_From_Binary_Search_to_QuadTrees_in_1.pdf</v>
      </c>
      <c r="O2804" s="3" t="s">
        <v>11029</v>
      </c>
    </row>
    <row r="2805" spans="1:15" ht="179.4" x14ac:dyDescent="0.3">
      <c r="A2805" s="4">
        <v>2804</v>
      </c>
      <c r="B2805" s="5" t="s">
        <v>11030</v>
      </c>
      <c r="C2805" s="5" t="s">
        <v>11031</v>
      </c>
      <c r="D2805" s="5"/>
      <c r="E2805" s="5" t="s">
        <v>1566</v>
      </c>
      <c r="F2805" s="5" t="s">
        <v>10975</v>
      </c>
      <c r="G2805" s="5" t="s">
        <v>8458</v>
      </c>
      <c r="H2805" s="5" t="s">
        <v>199</v>
      </c>
      <c r="I2805" s="5" t="s">
        <v>20</v>
      </c>
      <c r="J2805" s="5">
        <v>2.61</v>
      </c>
      <c r="K2805" s="5" t="s">
        <v>21</v>
      </c>
      <c r="L2805" s="5" t="s">
        <v>11032</v>
      </c>
      <c r="M2805" s="5" t="s">
        <v>10977</v>
      </c>
      <c r="N2805" s="7" t="str">
        <f>HYPERLINK("C:\Users\alexa\YandexDisk\Книги\Программирование\Общие вопросы\dzhoel_o_programmirovanii_fail_pdf_651529.pdf","dzhoel_o_programmirovanii_fail_pdf_651529.pdf")</f>
        <v>dzhoel_o_programmirovanii_fail_pdf_651529.pdf</v>
      </c>
      <c r="O2805" s="5" t="s">
        <v>11033</v>
      </c>
    </row>
    <row r="2806" spans="1:15" ht="193.2" x14ac:dyDescent="0.3">
      <c r="A2806" s="2">
        <v>2805</v>
      </c>
      <c r="B2806" s="3" t="s">
        <v>11034</v>
      </c>
      <c r="C2806" s="3" t="s">
        <v>11035</v>
      </c>
      <c r="D2806" s="3" t="s">
        <v>17</v>
      </c>
      <c r="E2806" s="3" t="s">
        <v>536</v>
      </c>
      <c r="F2806" s="3" t="s">
        <v>10975</v>
      </c>
      <c r="G2806" s="3" t="s">
        <v>8458</v>
      </c>
      <c r="H2806" s="3" t="s">
        <v>199</v>
      </c>
      <c r="I2806" s="3" t="s">
        <v>20</v>
      </c>
      <c r="J2806" s="3">
        <v>17.66</v>
      </c>
      <c r="K2806" s="3" t="s">
        <v>21</v>
      </c>
      <c r="L2806" s="3" t="s">
        <v>11036</v>
      </c>
      <c r="M2806" s="3" t="s">
        <v>10977</v>
      </c>
      <c r="N2806" s="6" t="str">
        <f>HYPERLINK("C:\Users\alexa\YandexDisk\Книги\Программирование\Общие вопросы\Grokking_Simplicity_Taming_complex_software_with_functional_thin.pdf","Grokking_Simplicity_Taming_complex_software_with_functional_thin.pdf")</f>
        <v>Grokking_Simplicity_Taming_complex_software_with_functional_thin.pdf</v>
      </c>
      <c r="O2806" s="3" t="s">
        <v>11037</v>
      </c>
    </row>
    <row r="2807" spans="1:15" ht="151.80000000000001" x14ac:dyDescent="0.3">
      <c r="A2807" s="4">
        <v>2806</v>
      </c>
      <c r="B2807" s="5" t="s">
        <v>10073</v>
      </c>
      <c r="C2807" s="5" t="s">
        <v>11038</v>
      </c>
      <c r="D2807" s="5"/>
      <c r="E2807" s="5"/>
      <c r="F2807" s="5" t="s">
        <v>10975</v>
      </c>
      <c r="G2807" s="5" t="s">
        <v>8458</v>
      </c>
      <c r="H2807" s="5" t="s">
        <v>199</v>
      </c>
      <c r="I2807" s="5" t="s">
        <v>20</v>
      </c>
      <c r="J2807" s="5">
        <v>81.77</v>
      </c>
      <c r="K2807" s="5" t="s">
        <v>21</v>
      </c>
      <c r="L2807" s="5" t="s">
        <v>11039</v>
      </c>
      <c r="M2807" s="5" t="s">
        <v>10977</v>
      </c>
      <c r="N2807" s="7" t="str">
        <f>HYPERLINK("C:\Users\alexa\YandexDisk\Книги\Программирование\Общие вопросы\Head_First_Learn_to_Code_A_Learner’s_Guide_to_Coding_and_Computational.pdf","Head_First_Learn_to_Code_A_Learner’s_Guide_to_Coding_and_Computational.pdf")</f>
        <v>Head_First_Learn_to_Code_A_Learner’s_Guide_to_Coding_and_Computational.pdf</v>
      </c>
      <c r="O2807" s="5" t="s">
        <v>11040</v>
      </c>
    </row>
    <row r="2808" spans="1:15" ht="165.6" x14ac:dyDescent="0.3">
      <c r="A2808" s="2">
        <v>2807</v>
      </c>
      <c r="B2808" s="3" t="s">
        <v>11041</v>
      </c>
      <c r="C2808" s="3" t="s">
        <v>10470</v>
      </c>
      <c r="D2808" s="3" t="s">
        <v>27</v>
      </c>
      <c r="E2808" s="3" t="s">
        <v>18</v>
      </c>
      <c r="F2808" s="3" t="s">
        <v>10975</v>
      </c>
      <c r="G2808" s="3" t="s">
        <v>8458</v>
      </c>
      <c r="H2808" s="3" t="s">
        <v>199</v>
      </c>
      <c r="I2808" s="3" t="s">
        <v>20</v>
      </c>
      <c r="J2808" s="3">
        <v>7.06</v>
      </c>
      <c r="K2808" s="3" t="s">
        <v>21</v>
      </c>
      <c r="L2808" s="3" t="s">
        <v>11042</v>
      </c>
      <c r="M2808" s="3" t="s">
        <v>10977</v>
      </c>
      <c r="N2808" s="6" t="str">
        <f>HYPERLINK("C:\Users\alexa\YandexDisk\Книги\Программирование\Общие вопросы\Iskusstvo_chistogo_koda.pdf","Iskusstvo_chistogo_koda.pdf")</f>
        <v>Iskusstvo_chistogo_koda.pdf</v>
      </c>
      <c r="O2808" s="3" t="s">
        <v>11043</v>
      </c>
    </row>
    <row r="2809" spans="1:15" ht="179.4" x14ac:dyDescent="0.3">
      <c r="A2809" s="4">
        <v>2808</v>
      </c>
      <c r="B2809" s="5" t="s">
        <v>11044</v>
      </c>
      <c r="C2809" s="5" t="s">
        <v>1589</v>
      </c>
      <c r="D2809" s="5"/>
      <c r="E2809" s="5"/>
      <c r="F2809" s="5" t="s">
        <v>10975</v>
      </c>
      <c r="G2809" s="5" t="s">
        <v>8458</v>
      </c>
      <c r="H2809" s="5" t="s">
        <v>199</v>
      </c>
      <c r="I2809" s="5" t="s">
        <v>721</v>
      </c>
      <c r="J2809" s="5">
        <v>4.6399999999999997</v>
      </c>
      <c r="K2809" s="5" t="s">
        <v>21</v>
      </c>
      <c r="L2809" s="5" t="s">
        <v>11045</v>
      </c>
      <c r="M2809" s="5" t="s">
        <v>10977</v>
      </c>
      <c r="N2809" s="7" t="str">
        <f>HYPERLINK("C:\Users\alexa\YandexDisk\Книги\Программирование\Общие вопросы\Kent_Bek_-_Shablony_realizacii_korporativnyh_pr.djvu","Kent_Bek_-_Shablony_realizacii_korporativnyh_pr.djvu")</f>
        <v>Kent_Bek_-_Shablony_realizacii_korporativnyh_pr.djvu</v>
      </c>
      <c r="O2809" s="5" t="s">
        <v>11046</v>
      </c>
    </row>
    <row r="2810" spans="1:15" ht="138" x14ac:dyDescent="0.3">
      <c r="A2810" s="2">
        <v>2809</v>
      </c>
      <c r="B2810" s="3" t="s">
        <v>11047</v>
      </c>
      <c r="C2810" s="3" t="s">
        <v>11048</v>
      </c>
      <c r="D2810" s="3" t="s">
        <v>71</v>
      </c>
      <c r="E2810" s="3" t="s">
        <v>205</v>
      </c>
      <c r="F2810" s="3" t="s">
        <v>10975</v>
      </c>
      <c r="G2810" s="3" t="s">
        <v>8458</v>
      </c>
      <c r="H2810" s="3" t="s">
        <v>199</v>
      </c>
      <c r="I2810" s="3" t="s">
        <v>20</v>
      </c>
      <c r="J2810" s="3">
        <v>13.28</v>
      </c>
      <c r="K2810" s="3" t="s">
        <v>21</v>
      </c>
      <c r="L2810" s="3" t="s">
        <v>11049</v>
      </c>
      <c r="M2810" s="3" t="s">
        <v>10977</v>
      </c>
      <c r="N2810" s="6" t="str">
        <f>HYPERLINK("C:\Users\alexa\YandexDisk\Книги\Программирование\Общие вопросы\LaTeX,_руководство_для_начинающих.pdf","LaTeX,_руководство_для_начинающих.pdf")</f>
        <v>LaTeX,_руководство_для_начинающих.pdf</v>
      </c>
      <c r="O2810" s="3" t="s">
        <v>11050</v>
      </c>
    </row>
    <row r="2811" spans="1:15" ht="207" x14ac:dyDescent="0.3">
      <c r="A2811" s="4">
        <v>2810</v>
      </c>
      <c r="B2811" s="5" t="s">
        <v>11051</v>
      </c>
      <c r="C2811" s="5" t="s">
        <v>11052</v>
      </c>
      <c r="D2811" s="5" t="s">
        <v>71</v>
      </c>
      <c r="E2811" s="5" t="s">
        <v>536</v>
      </c>
      <c r="F2811" s="5" t="s">
        <v>10975</v>
      </c>
      <c r="G2811" s="5" t="s">
        <v>8458</v>
      </c>
      <c r="H2811" s="5" t="s">
        <v>199</v>
      </c>
      <c r="I2811" s="5" t="s">
        <v>280</v>
      </c>
      <c r="J2811" s="5">
        <v>5.82</v>
      </c>
      <c r="K2811" s="5" t="s">
        <v>21</v>
      </c>
      <c r="L2811" s="5" t="s">
        <v>11053</v>
      </c>
      <c r="M2811" s="5" t="s">
        <v>10977</v>
      </c>
      <c r="N2811" s="7" t="str">
        <f>HYPERLINK("C:\Users\alexa\YandexDisk\Книги\Программирование\Общие вопросы\Manning.Skills.of.a.Successful.Software.Engineer.1617299707.epub","Manning.Skills.of.a.Successful.Software.Engineer.1617299707.epub")</f>
        <v>Manning.Skills.of.a.Successful.Software.Engineer.1617299707.epub</v>
      </c>
      <c r="O2811" s="5" t="s">
        <v>11054</v>
      </c>
    </row>
    <row r="2812" spans="1:15" ht="151.80000000000001" x14ac:dyDescent="0.3">
      <c r="A2812" s="2">
        <v>2811</v>
      </c>
      <c r="B2812" s="3" t="s">
        <v>11051</v>
      </c>
      <c r="C2812" s="3"/>
      <c r="D2812" s="3"/>
      <c r="E2812" s="3" t="s">
        <v>269</v>
      </c>
      <c r="F2812" s="3" t="s">
        <v>10975</v>
      </c>
      <c r="G2812" s="3" t="s">
        <v>8458</v>
      </c>
      <c r="H2812" s="3" t="s">
        <v>199</v>
      </c>
      <c r="I2812" s="3" t="s">
        <v>6740</v>
      </c>
      <c r="J2812" s="3">
        <v>1.05</v>
      </c>
      <c r="K2812" s="3" t="s">
        <v>21</v>
      </c>
      <c r="L2812" s="3" t="s">
        <v>11055</v>
      </c>
      <c r="M2812" s="3" t="s">
        <v>10977</v>
      </c>
      <c r="N2812" s="6" t="str">
        <f>HYPERLINK("C:\Users\alexa\YandexDisk\Книги\Программирование\Общие вопросы\Manning.Skills.of.a.Successful.Software.Engineer.1617299707.mobi","Manning.Skills.of.a.Successful.Software.Engineer.1617299707.mobi")</f>
        <v>Manning.Skills.of.a.Successful.Software.Engineer.1617299707.mobi</v>
      </c>
      <c r="O2812" s="3" t="s">
        <v>11056</v>
      </c>
    </row>
    <row r="2813" spans="1:15" ht="220.8" x14ac:dyDescent="0.3">
      <c r="A2813" s="4">
        <v>2812</v>
      </c>
      <c r="B2813" s="5" t="s">
        <v>11051</v>
      </c>
      <c r="C2813" s="5" t="s">
        <v>11052</v>
      </c>
      <c r="D2813" s="5"/>
      <c r="E2813" s="5" t="s">
        <v>269</v>
      </c>
      <c r="F2813" s="5" t="s">
        <v>10975</v>
      </c>
      <c r="G2813" s="5" t="s">
        <v>8458</v>
      </c>
      <c r="H2813" s="5" t="s">
        <v>199</v>
      </c>
      <c r="I2813" s="5" t="s">
        <v>20</v>
      </c>
      <c r="J2813" s="5">
        <v>8.49</v>
      </c>
      <c r="K2813" s="5" t="s">
        <v>21</v>
      </c>
      <c r="L2813" s="5" t="s">
        <v>11057</v>
      </c>
      <c r="M2813" s="5" t="s">
        <v>10977</v>
      </c>
      <c r="N2813" s="7" t="str">
        <f>HYPERLINK("C:\Users\alexa\YandexDisk\Книги\Программирование\Общие вопросы\Manning.Skills.of.a.Successful.Software.Engineer.1617299707.pdf","Manning.Skills.of.a.Successful.Software.Engineer.1617299707.pdf")</f>
        <v>Manning.Skills.of.a.Successful.Software.Engineer.1617299707.pdf</v>
      </c>
      <c r="O2813" s="5" t="s">
        <v>11058</v>
      </c>
    </row>
    <row r="2814" spans="1:15" ht="165.6" x14ac:dyDescent="0.3">
      <c r="A2814" s="2">
        <v>2813</v>
      </c>
      <c r="B2814" s="3" t="s">
        <v>11059</v>
      </c>
      <c r="C2814" s="3" t="s">
        <v>11060</v>
      </c>
      <c r="D2814" s="3"/>
      <c r="E2814" s="3"/>
      <c r="F2814" s="3" t="s">
        <v>10975</v>
      </c>
      <c r="G2814" s="3" t="s">
        <v>8458</v>
      </c>
      <c r="H2814" s="3" t="s">
        <v>199</v>
      </c>
      <c r="I2814" s="3" t="s">
        <v>20</v>
      </c>
      <c r="J2814" s="3">
        <v>19.670000000000002</v>
      </c>
      <c r="K2814" s="3" t="s">
        <v>21</v>
      </c>
      <c r="L2814" s="3" t="s">
        <v>11061</v>
      </c>
      <c r="M2814" s="3" t="s">
        <v>10977</v>
      </c>
      <c r="N2814" s="6" t="str">
        <f>HYPERLINK("C:\Users\alexa\YandexDisk\Книги\Программирование\Общие вопросы\Martin_Fauler_-_Refaktoring_Uluchshenie_suschestvuyuschego_koda.pdf","Martin_Fauler_-_Refaktoring_Uluchshenie_suschestvuyuschego_koda.pdf")</f>
        <v>Martin_Fauler_-_Refaktoring_Uluchshenie_suschestvuyuschego_koda.pdf</v>
      </c>
      <c r="O2814" s="3" t="s">
        <v>11062</v>
      </c>
    </row>
    <row r="2815" spans="1:15" ht="207" x14ac:dyDescent="0.3">
      <c r="A2815" s="4">
        <v>2814</v>
      </c>
      <c r="B2815" s="5" t="s">
        <v>11063</v>
      </c>
      <c r="C2815" s="5" t="s">
        <v>11064</v>
      </c>
      <c r="D2815" s="5" t="s">
        <v>186</v>
      </c>
      <c r="E2815" s="5" t="s">
        <v>18</v>
      </c>
      <c r="F2815" s="5" t="s">
        <v>10975</v>
      </c>
      <c r="G2815" s="5" t="s">
        <v>8458</v>
      </c>
      <c r="H2815" s="5" t="s">
        <v>199</v>
      </c>
      <c r="I2815" s="5" t="s">
        <v>20</v>
      </c>
      <c r="J2815" s="5">
        <v>8.4600000000000009</v>
      </c>
      <c r="K2815" s="5" t="s">
        <v>21</v>
      </c>
      <c r="L2815" s="5" t="s">
        <v>11065</v>
      </c>
      <c r="M2815" s="5" t="s">
        <v>10977</v>
      </c>
      <c r="N2815" s="7" t="str">
        <f>HYPERLINK("C:\Users\alexa\YandexDisk\Книги\Программирование\Общие вопросы\Obektno-orientirovannoe_myshlenie.pdf","Obektno-orientirovannoe_myshlenie.pdf")</f>
        <v>Obektno-orientirovannoe_myshlenie.pdf</v>
      </c>
      <c r="O2815" s="5" t="s">
        <v>11066</v>
      </c>
    </row>
    <row r="2816" spans="1:15" ht="207" x14ac:dyDescent="0.3">
      <c r="A2816" s="2">
        <v>2815</v>
      </c>
      <c r="B2816" s="3" t="s">
        <v>11067</v>
      </c>
      <c r="C2816" s="3" t="s">
        <v>11068</v>
      </c>
      <c r="D2816" s="3"/>
      <c r="E2816" s="3"/>
      <c r="F2816" s="3" t="s">
        <v>10975</v>
      </c>
      <c r="G2816" s="3" t="s">
        <v>8458</v>
      </c>
      <c r="H2816" s="3" t="s">
        <v>199</v>
      </c>
      <c r="I2816" s="3" t="s">
        <v>20</v>
      </c>
      <c r="J2816" s="3">
        <v>2.79</v>
      </c>
      <c r="K2816" s="3" t="s">
        <v>21</v>
      </c>
      <c r="L2816" s="3" t="s">
        <v>11069</v>
      </c>
      <c r="M2816" s="3" t="s">
        <v>10977</v>
      </c>
      <c r="N2816" s="6" t="str">
        <f>HYPERLINK("C:\Users\alexa\YandexDisk\Книги\Программирование\Общие вопросы\OpenXML на русском.pdf","OpenXML на русском.pdf")</f>
        <v>OpenXML на русском.pdf</v>
      </c>
      <c r="O2816" s="3" t="s">
        <v>11070</v>
      </c>
    </row>
    <row r="2817" spans="1:15" ht="193.2" x14ac:dyDescent="0.3">
      <c r="A2817" s="4">
        <v>2816</v>
      </c>
      <c r="B2817" s="5" t="s">
        <v>11071</v>
      </c>
      <c r="C2817" s="5" t="s">
        <v>11072</v>
      </c>
      <c r="D2817" s="5"/>
      <c r="E2817" s="5" t="s">
        <v>269</v>
      </c>
      <c r="F2817" s="5" t="s">
        <v>10975</v>
      </c>
      <c r="G2817" s="5" t="s">
        <v>8458</v>
      </c>
      <c r="H2817" s="5" t="s">
        <v>199</v>
      </c>
      <c r="I2817" s="5" t="s">
        <v>20</v>
      </c>
      <c r="J2817" s="5">
        <v>3.58</v>
      </c>
      <c r="K2817" s="5" t="s">
        <v>21</v>
      </c>
      <c r="L2817" s="5" t="s">
        <v>11073</v>
      </c>
      <c r="M2817" s="5" t="s">
        <v>10977</v>
      </c>
      <c r="N2817" s="7" t="str">
        <f>HYPERLINK("C:\Users\alexa\YandexDisk\Книги\Программирование\Общие вопросы\Picheta_Nim-in-Action.pdf","Picheta_Nim-in-Action.pdf")</f>
        <v>Picheta_Nim-in-Action.pdf</v>
      </c>
      <c r="O2817" s="5" t="s">
        <v>11074</v>
      </c>
    </row>
    <row r="2818" spans="1:15" ht="124.2" x14ac:dyDescent="0.3">
      <c r="A2818" s="2">
        <v>2817</v>
      </c>
      <c r="B2818" s="3" t="s">
        <v>11075</v>
      </c>
      <c r="C2818" s="3" t="s">
        <v>11076</v>
      </c>
      <c r="D2818" s="3" t="s">
        <v>71</v>
      </c>
      <c r="E2818" s="3"/>
      <c r="F2818" s="3" t="s">
        <v>10975</v>
      </c>
      <c r="G2818" s="3" t="s">
        <v>8458</v>
      </c>
      <c r="H2818" s="3" t="s">
        <v>199</v>
      </c>
      <c r="I2818" s="3" t="s">
        <v>20</v>
      </c>
      <c r="J2818" s="3">
        <v>202.32</v>
      </c>
      <c r="K2818" s="3" t="s">
        <v>21</v>
      </c>
      <c r="L2818" s="3" t="s">
        <v>11077</v>
      </c>
      <c r="M2818" s="3" t="s">
        <v>10977</v>
      </c>
      <c r="N2818" s="6" t="str">
        <f>HYPERLINK("C:\Users\alexa\YandexDisk\Книги\Программирование\Общие вопросы\Practical_Guide_To_Computer_Algorithms_Using_Python_And_C#_2022.pdf","Practical_Guide_To_Computer_Algorithms_Using_Python_And_C#_2022.pdf")</f>
        <v>Practical_Guide_To_Computer_Algorithms_Using_Python_And_C#_2022.pdf</v>
      </c>
      <c r="O2818" s="3" t="s">
        <v>11078</v>
      </c>
    </row>
    <row r="2819" spans="1:15" ht="165.6" x14ac:dyDescent="0.3">
      <c r="A2819" s="4">
        <v>2818</v>
      </c>
      <c r="B2819" s="5" t="s">
        <v>11079</v>
      </c>
      <c r="C2819" s="5" t="s">
        <v>11080</v>
      </c>
      <c r="D2819" s="5" t="s">
        <v>109</v>
      </c>
      <c r="E2819" s="5" t="s">
        <v>308</v>
      </c>
      <c r="F2819" s="5" t="s">
        <v>10975</v>
      </c>
      <c r="G2819" s="5" t="s">
        <v>8458</v>
      </c>
      <c r="H2819" s="5" t="s">
        <v>199</v>
      </c>
      <c r="I2819" s="5" t="s">
        <v>20</v>
      </c>
      <c r="J2819" s="5">
        <v>22.71</v>
      </c>
      <c r="K2819" s="5" t="s">
        <v>21</v>
      </c>
      <c r="L2819" s="5" t="s">
        <v>11081</v>
      </c>
      <c r="M2819" s="5" t="s">
        <v>10977</v>
      </c>
      <c r="N2819" s="7" t="str">
        <f>HYPERLINK("C:\Users\alexa\YandexDisk\Книги\Программирование\Общие вопросы\Programming with GitHub Copilot_True.pdf","Programming with GitHub Copilot_True.pdf")</f>
        <v>Programming with GitHub Copilot_True.pdf</v>
      </c>
      <c r="O2819" s="5" t="s">
        <v>11082</v>
      </c>
    </row>
    <row r="2820" spans="1:15" ht="165.6" x14ac:dyDescent="0.3">
      <c r="A2820" s="2">
        <v>2819</v>
      </c>
      <c r="B2820" s="3" t="s">
        <v>11083</v>
      </c>
      <c r="C2820" s="3" t="s">
        <v>11084</v>
      </c>
      <c r="D2820" s="3"/>
      <c r="E2820" s="3" t="s">
        <v>587</v>
      </c>
      <c r="F2820" s="3" t="s">
        <v>10975</v>
      </c>
      <c r="G2820" s="3" t="s">
        <v>8458</v>
      </c>
      <c r="H2820" s="3" t="s">
        <v>199</v>
      </c>
      <c r="I2820" s="3" t="s">
        <v>20</v>
      </c>
      <c r="J2820" s="3">
        <v>10.92</v>
      </c>
      <c r="K2820" s="3" t="s">
        <v>21</v>
      </c>
      <c r="L2820" s="3" t="s">
        <v>11085</v>
      </c>
      <c r="M2820" s="3" t="s">
        <v>10977</v>
      </c>
      <c r="N2820" s="6" t="str">
        <f>HYPERLINK("C:\Users\alexa\YandexDisk\Книги\Программирование\Общие вопросы\Programming_with_OpenSCAD_A_Beginner's.pdf","Programming_with_OpenSCAD_A_Beginner's.pdf")</f>
        <v>Programming_with_OpenSCAD_A_Beginner's.pdf</v>
      </c>
      <c r="O2820" s="3" t="s">
        <v>11086</v>
      </c>
    </row>
    <row r="2821" spans="1:15" ht="165.6" x14ac:dyDescent="0.3">
      <c r="A2821" s="4">
        <v>2820</v>
      </c>
      <c r="B2821" s="5" t="s">
        <v>11087</v>
      </c>
      <c r="C2821" s="5" t="s">
        <v>11088</v>
      </c>
      <c r="D2821" s="5"/>
      <c r="E2821" s="5"/>
      <c r="F2821" s="5" t="s">
        <v>10975</v>
      </c>
      <c r="G2821" s="5" t="s">
        <v>8458</v>
      </c>
      <c r="H2821" s="5" t="s">
        <v>199</v>
      </c>
      <c r="I2821" s="5" t="s">
        <v>20</v>
      </c>
      <c r="J2821" s="5">
        <v>32.58</v>
      </c>
      <c r="K2821" s="5" t="s">
        <v>21</v>
      </c>
      <c r="L2821" s="5" t="s">
        <v>11089</v>
      </c>
      <c r="M2821" s="5" t="s">
        <v>10977</v>
      </c>
      <c r="N2821" s="7" t="str">
        <f>HYPERLINK("C:\Users\alexa\YandexDisk\Книги\Программирование\Общие вопросы\Robert_Martin_-_Chisty_kod.pdf","Robert_Martin_-_Chisty_kod.pdf")</f>
        <v>Robert_Martin_-_Chisty_kod.pdf</v>
      </c>
      <c r="O2821" s="5" t="s">
        <v>11090</v>
      </c>
    </row>
    <row r="2822" spans="1:15" ht="165.6" x14ac:dyDescent="0.3">
      <c r="A2822" s="2">
        <v>2821</v>
      </c>
      <c r="B2822" s="3" t="s">
        <v>11091</v>
      </c>
      <c r="C2822" s="3" t="s">
        <v>11092</v>
      </c>
      <c r="D2822" s="3" t="s">
        <v>65</v>
      </c>
      <c r="E2822" s="3" t="s">
        <v>11093</v>
      </c>
      <c r="F2822" s="3" t="s">
        <v>10975</v>
      </c>
      <c r="G2822" s="3" t="s">
        <v>8458</v>
      </c>
      <c r="H2822" s="3" t="s">
        <v>199</v>
      </c>
      <c r="I2822" s="3" t="s">
        <v>20</v>
      </c>
      <c r="J2822" s="3">
        <v>2.91</v>
      </c>
      <c r="K2822" s="3" t="s">
        <v>21</v>
      </c>
      <c r="L2822" s="3" t="s">
        <v>11094</v>
      </c>
      <c r="M2822" s="3" t="s">
        <v>10977</v>
      </c>
      <c r="N2822" s="6" t="str">
        <f>HYPERLINK("C:\Users\alexa\YandexDisk\Книги\Программирование\Общие вопросы\Robert_Martin_-_Idealny_programmist.pdf","Robert_Martin_-_Idealny_programmist.pdf")</f>
        <v>Robert_Martin_-_Idealny_programmist.pdf</v>
      </c>
      <c r="O2822" s="3" t="s">
        <v>11095</v>
      </c>
    </row>
    <row r="2823" spans="1:15" ht="179.4" x14ac:dyDescent="0.3">
      <c r="A2823" s="4">
        <v>2822</v>
      </c>
      <c r="B2823" s="5" t="s">
        <v>11096</v>
      </c>
      <c r="C2823" s="5" t="s">
        <v>11097</v>
      </c>
      <c r="D2823" s="5"/>
      <c r="E2823" s="5"/>
      <c r="F2823" s="5" t="s">
        <v>10975</v>
      </c>
      <c r="G2823" s="5" t="s">
        <v>8458</v>
      </c>
      <c r="H2823" s="5" t="s">
        <v>199</v>
      </c>
      <c r="I2823" s="5" t="s">
        <v>20</v>
      </c>
      <c r="J2823" s="5">
        <v>3.98</v>
      </c>
      <c r="K2823" s="5" t="s">
        <v>21</v>
      </c>
      <c r="L2823" s="5" t="s">
        <v>11098</v>
      </c>
      <c r="M2823" s="5" t="s">
        <v>10977</v>
      </c>
      <c r="N2823" s="7" t="str">
        <f>HYPERLINK("C:\Users\alexa\YandexDisk\Книги\Программирование\Общие вопросы\Software Durability_Concepts and Practices(долговечность).pdf","Software Durability_Concepts and Practices(долговечность).pdf")</f>
        <v>Software Durability_Concepts and Practices(долговечность).pdf</v>
      </c>
      <c r="O2823" s="5" t="s">
        <v>11099</v>
      </c>
    </row>
    <row r="2824" spans="1:15" ht="220.8" x14ac:dyDescent="0.3">
      <c r="A2824" s="2">
        <v>2823</v>
      </c>
      <c r="B2824" s="3" t="s">
        <v>11100</v>
      </c>
      <c r="C2824" s="3" t="s">
        <v>11101</v>
      </c>
      <c r="D2824" s="3" t="s">
        <v>109</v>
      </c>
      <c r="E2824" s="3" t="s">
        <v>6707</v>
      </c>
      <c r="F2824" s="3" t="s">
        <v>10975</v>
      </c>
      <c r="G2824" s="3" t="s">
        <v>8458</v>
      </c>
      <c r="H2824" s="3" t="s">
        <v>199</v>
      </c>
      <c r="I2824" s="3" t="s">
        <v>20</v>
      </c>
      <c r="J2824" s="3">
        <v>24.47</v>
      </c>
      <c r="K2824" s="3" t="s">
        <v>21</v>
      </c>
      <c r="L2824" s="3" t="s">
        <v>11102</v>
      </c>
      <c r="M2824" s="3" t="s">
        <v>10977</v>
      </c>
      <c r="N2824" s="6" t="str">
        <f>HYPERLINK("C:\Users\alexa\YandexDisk\Книги\Программирование\Общие вопросы\Software Engineering_2Ed_True.pdf","Software Engineering_2Ed_True.pdf")</f>
        <v>Software Engineering_2Ed_True.pdf</v>
      </c>
      <c r="O2824" s="3" t="s">
        <v>11103</v>
      </c>
    </row>
    <row r="2825" spans="1:15" ht="207" x14ac:dyDescent="0.3">
      <c r="A2825" s="4">
        <v>2824</v>
      </c>
      <c r="B2825" s="5" t="s">
        <v>11104</v>
      </c>
      <c r="C2825" s="5" t="s">
        <v>11105</v>
      </c>
      <c r="D2825" s="5"/>
      <c r="E2825" s="5" t="s">
        <v>557</v>
      </c>
      <c r="F2825" s="5" t="s">
        <v>10975</v>
      </c>
      <c r="G2825" s="5" t="s">
        <v>8458</v>
      </c>
      <c r="H2825" s="5" t="s">
        <v>199</v>
      </c>
      <c r="I2825" s="5" t="s">
        <v>20</v>
      </c>
      <c r="J2825" s="5">
        <v>4.45</v>
      </c>
      <c r="K2825" s="5" t="s">
        <v>21</v>
      </c>
      <c r="L2825" s="5" t="s">
        <v>11106</v>
      </c>
      <c r="M2825" s="5" t="s">
        <v>10977</v>
      </c>
      <c r="N2825" s="7" t="str">
        <f>HYPERLINK("C:\Users\alexa\YandexDisk\Книги\Программирование\Общие вопросы\Software Mistakes an... by Tomasz Lelek.pdf","Software Mistakes an... by Tomasz Lelek.pdf")</f>
        <v>Software Mistakes an... by Tomasz Lelek.pdf</v>
      </c>
      <c r="O2825" s="5" t="s">
        <v>11107</v>
      </c>
    </row>
    <row r="2826" spans="1:15" ht="207" x14ac:dyDescent="0.3">
      <c r="A2826" s="2">
        <v>2825</v>
      </c>
      <c r="B2826" s="3" t="s">
        <v>11108</v>
      </c>
      <c r="C2826" s="3" t="s">
        <v>11109</v>
      </c>
      <c r="D2826" s="3" t="s">
        <v>27</v>
      </c>
      <c r="E2826" s="3" t="s">
        <v>18</v>
      </c>
      <c r="F2826" s="3" t="s">
        <v>10975</v>
      </c>
      <c r="G2826" s="3" t="s">
        <v>8458</v>
      </c>
      <c r="H2826" s="3" t="s">
        <v>199</v>
      </c>
      <c r="I2826" s="3" t="s">
        <v>20</v>
      </c>
      <c r="J2826" s="3">
        <v>5.55</v>
      </c>
      <c r="K2826" s="3" t="s">
        <v>21</v>
      </c>
      <c r="L2826" s="3" t="s">
        <v>11110</v>
      </c>
      <c r="M2826" s="3" t="s">
        <v>10977</v>
      </c>
      <c r="N2826" s="6" t="str">
        <f>HYPERLINK("C:\Users\alexa\YandexDisk\Книги\Программирование\Общие вопросы\Software_Ошибки_и_компромиссы_при_разработке_ПО.pdf","Software_Ошибки_и_компромиссы_при_разработке_ПО.pdf")</f>
        <v>Software_Ошибки_и_компромиссы_при_разработке_ПО.pdf</v>
      </c>
      <c r="O2826" s="3" t="s">
        <v>11111</v>
      </c>
    </row>
    <row r="2827" spans="1:15" ht="165.6" x14ac:dyDescent="0.3">
      <c r="A2827" s="4">
        <v>2826</v>
      </c>
      <c r="B2827" s="5" t="s">
        <v>11112</v>
      </c>
      <c r="C2827" s="5"/>
      <c r="D2827" s="5" t="s">
        <v>77</v>
      </c>
      <c r="E2827" s="5"/>
      <c r="F2827" s="5" t="s">
        <v>10975</v>
      </c>
      <c r="G2827" s="5" t="s">
        <v>8458</v>
      </c>
      <c r="H2827" s="5" t="s">
        <v>199</v>
      </c>
      <c r="I2827" s="5" t="s">
        <v>20</v>
      </c>
      <c r="J2827" s="5">
        <v>61.81</v>
      </c>
      <c r="K2827" s="5" t="s">
        <v>21</v>
      </c>
      <c r="L2827" s="5" t="s">
        <v>11112</v>
      </c>
      <c r="M2827" s="5" t="s">
        <v>10977</v>
      </c>
      <c r="N2827" s="7" t="str">
        <f>HYPERLINK("C:\Users\alexa\YandexDisk\Книги\Программирование\Общие вопросы\Tekhnologia_razrabotki_programmnogo_obespechenia_2019_Gnidenko.pdf","Tekhnologia_razrabotki_programmnogo_obespechenia_2019_Gnidenko.pdf")</f>
        <v>Tekhnologia_razrabotki_programmnogo_obespechenia_2019_Gnidenko.pdf</v>
      </c>
      <c r="O2827" s="5" t="s">
        <v>11113</v>
      </c>
    </row>
    <row r="2828" spans="1:15" ht="207" x14ac:dyDescent="0.3">
      <c r="A2828" s="2">
        <v>2827</v>
      </c>
      <c r="B2828" s="3" t="s">
        <v>11114</v>
      </c>
      <c r="C2828" s="3" t="s">
        <v>11115</v>
      </c>
      <c r="D2828" s="3"/>
      <c r="E2828" s="3"/>
      <c r="F2828" s="3" t="s">
        <v>10975</v>
      </c>
      <c r="G2828" s="3" t="s">
        <v>8458</v>
      </c>
      <c r="H2828" s="3" t="s">
        <v>199</v>
      </c>
      <c r="I2828" s="3" t="s">
        <v>20</v>
      </c>
      <c r="J2828" s="3">
        <v>3.27</v>
      </c>
      <c r="K2828" s="3" t="s">
        <v>21</v>
      </c>
      <c r="L2828" s="3" t="s">
        <v>11116</v>
      </c>
      <c r="M2828" s="3" t="s">
        <v>10977</v>
      </c>
      <c r="N2828" s="6" t="str">
        <f>HYPERLINK("C:\Users\alexa\YandexDisk\Книги\Программирование\Общие вопросы\The Book of Batch Scripting.pdf","The Book of Batch Scripting.pdf")</f>
        <v>The Book of Batch Scripting.pdf</v>
      </c>
      <c r="O2828" s="3" t="s">
        <v>11117</v>
      </c>
    </row>
    <row r="2829" spans="1:15" ht="151.80000000000001" x14ac:dyDescent="0.3">
      <c r="A2829" s="4">
        <v>2828</v>
      </c>
      <c r="B2829" s="5" t="s">
        <v>11118</v>
      </c>
      <c r="C2829" s="5" t="s">
        <v>11119</v>
      </c>
      <c r="D2829" s="5"/>
      <c r="E2829" s="5"/>
      <c r="F2829" s="5" t="s">
        <v>10975</v>
      </c>
      <c r="G2829" s="5" t="s">
        <v>8458</v>
      </c>
      <c r="H2829" s="5" t="s">
        <v>199</v>
      </c>
      <c r="I2829" s="5" t="s">
        <v>20</v>
      </c>
      <c r="J2829" s="5">
        <v>6.97</v>
      </c>
      <c r="K2829" s="5" t="s">
        <v>21</v>
      </c>
      <c r="L2829" s="5" t="s">
        <v>11120</v>
      </c>
      <c r="M2829" s="5" t="s">
        <v>10977</v>
      </c>
      <c r="N2829" s="7" t="str">
        <f>HYPERLINK("C:\Users\alexa\YandexDisk\Книги\Программирование\Общие вопросы\The Rules of Programming_True.pdf","The Rules of Programming_True.pdf")</f>
        <v>The Rules of Programming_True.pdf</v>
      </c>
      <c r="O2829" s="5" t="s">
        <v>11121</v>
      </c>
    </row>
    <row r="2830" spans="1:15" ht="193.2" x14ac:dyDescent="0.3">
      <c r="A2830" s="2">
        <v>2829</v>
      </c>
      <c r="B2830" s="3" t="s">
        <v>11122</v>
      </c>
      <c r="C2830" s="3"/>
      <c r="D2830" s="3"/>
      <c r="E2830" s="3"/>
      <c r="F2830" s="3" t="s">
        <v>10975</v>
      </c>
      <c r="G2830" s="3" t="s">
        <v>8458</v>
      </c>
      <c r="H2830" s="3" t="s">
        <v>199</v>
      </c>
      <c r="I2830" s="3" t="s">
        <v>20</v>
      </c>
      <c r="J2830" s="3">
        <v>2.13</v>
      </c>
      <c r="K2830" s="3" t="s">
        <v>21</v>
      </c>
      <c r="L2830" s="3" t="s">
        <v>11123</v>
      </c>
      <c r="M2830" s="3" t="s">
        <v>10977</v>
      </c>
      <c r="N2830" s="6" t="str">
        <f>HYPERLINK("C:\Users\alexa\YandexDisk\Книги\Программирование\Общие вопросы\The Super Programmer_A colorful introduction.pdf","The Super Programmer_A colorful introduction.pdf")</f>
        <v>The Super Programmer_A colorful introduction.pdf</v>
      </c>
      <c r="O2830" s="3" t="s">
        <v>11124</v>
      </c>
    </row>
    <row r="2831" spans="1:15" ht="165.6" x14ac:dyDescent="0.3">
      <c r="A2831" s="4">
        <v>2830</v>
      </c>
      <c r="B2831" s="5" t="s">
        <v>11125</v>
      </c>
      <c r="C2831" s="5" t="s">
        <v>8247</v>
      </c>
      <c r="D2831" s="5"/>
      <c r="E2831" s="5"/>
      <c r="F2831" s="5" t="s">
        <v>10975</v>
      </c>
      <c r="G2831" s="5" t="s">
        <v>8458</v>
      </c>
      <c r="H2831" s="5" t="s">
        <v>199</v>
      </c>
      <c r="I2831" s="5" t="s">
        <v>20</v>
      </c>
      <c r="J2831" s="5">
        <v>2.0699999999999998</v>
      </c>
      <c r="K2831" s="5" t="s">
        <v>21</v>
      </c>
      <c r="L2831" s="5" t="s">
        <v>11126</v>
      </c>
      <c r="M2831" s="5" t="s">
        <v>10977</v>
      </c>
      <c r="N2831" s="7" t="str">
        <f>HYPERLINK("C:\Users\alexa\YandexDisk\Книги\Программирование\Общие вопросы\Tidy First_Final.pdf","Tidy First_Final.pdf")</f>
        <v>Tidy First_Final.pdf</v>
      </c>
      <c r="O2831" s="5" t="s">
        <v>11127</v>
      </c>
    </row>
    <row r="2832" spans="1:15" ht="179.4" x14ac:dyDescent="0.3">
      <c r="A2832" s="2">
        <v>2831</v>
      </c>
      <c r="B2832" s="3" t="s">
        <v>11063</v>
      </c>
      <c r="C2832" s="3" t="s">
        <v>11064</v>
      </c>
      <c r="D2832" s="3" t="s">
        <v>186</v>
      </c>
      <c r="E2832" s="3" t="s">
        <v>18</v>
      </c>
      <c r="F2832" s="3" t="s">
        <v>10975</v>
      </c>
      <c r="G2832" s="3" t="s">
        <v>8458</v>
      </c>
      <c r="H2832" s="3" t="s">
        <v>199</v>
      </c>
      <c r="I2832" s="3" t="s">
        <v>20</v>
      </c>
      <c r="J2832" s="3">
        <v>8.4600000000000009</v>
      </c>
      <c r="K2832" s="3" t="s">
        <v>21</v>
      </c>
      <c r="L2832" s="3" t="s">
        <v>11128</v>
      </c>
      <c r="M2832" s="3" t="s">
        <v>10977</v>
      </c>
      <c r="N2832" s="6" t="str">
        <f>HYPERLINK("C:\Users\alexa\YandexDisk\Книги\Программирование\Общие вопросы\Vaysfeld_Объектно-ориентированное мышление.pdf","Vaysfeld_Объектно-ориентированное мышление.pdf")</f>
        <v>Vaysfeld_Объектно-ориентированное мышление.pdf</v>
      </c>
      <c r="O2832" s="3" t="s">
        <v>11129</v>
      </c>
    </row>
    <row r="2833" spans="1:15" ht="193.2" x14ac:dyDescent="0.3">
      <c r="A2833" s="4">
        <v>2832</v>
      </c>
      <c r="B2833" s="5" t="s">
        <v>11130</v>
      </c>
      <c r="C2833" s="5" t="s">
        <v>11131</v>
      </c>
      <c r="D2833" s="5"/>
      <c r="E2833" s="5"/>
      <c r="F2833" s="5" t="s">
        <v>10975</v>
      </c>
      <c r="G2833" s="5" t="s">
        <v>8458</v>
      </c>
      <c r="H2833" s="5" t="s">
        <v>199</v>
      </c>
      <c r="I2833" s="5" t="s">
        <v>20</v>
      </c>
      <c r="J2833" s="5">
        <v>43.98</v>
      </c>
      <c r="K2833" s="5" t="s">
        <v>21</v>
      </c>
      <c r="L2833" s="5" t="s">
        <v>11132</v>
      </c>
      <c r="M2833" s="5" t="s">
        <v>10977</v>
      </c>
      <c r="N2833" s="7" t="str">
        <f>HYPERLINK("C:\Users\alexa\YandexDisk\Книги\Программирование\Общие вопросы\What_Every_Engineer_Should_Know_about_Software_Eng.pdf","What_Every_Engineer_Should_Know_about_Software_Eng.pdf")</f>
        <v>What_Every_Engineer_Should_Know_about_Software_Eng.pdf</v>
      </c>
      <c r="O2833" s="5" t="s">
        <v>11133</v>
      </c>
    </row>
    <row r="2834" spans="1:15" ht="165.6" x14ac:dyDescent="0.3">
      <c r="A2834" s="2">
        <v>2833</v>
      </c>
      <c r="B2834" s="3" t="s">
        <v>11134</v>
      </c>
      <c r="C2834" s="3" t="s">
        <v>11135</v>
      </c>
      <c r="D2834" s="3"/>
      <c r="E2834" s="3"/>
      <c r="F2834" s="3" t="s">
        <v>10975</v>
      </c>
      <c r="G2834" s="3" t="s">
        <v>8458</v>
      </c>
      <c r="H2834" s="3" t="s">
        <v>199</v>
      </c>
      <c r="I2834" s="3" t="s">
        <v>280</v>
      </c>
      <c r="J2834" s="3">
        <v>6.49</v>
      </c>
      <c r="K2834" s="3" t="s">
        <v>21</v>
      </c>
      <c r="L2834" s="3" t="s">
        <v>11136</v>
      </c>
      <c r="M2834" s="3" t="s">
        <v>10977</v>
      </c>
      <c r="N2834" s="6" t="str">
        <f>HYPERLINK("C:\Users\alexa\YandexDisk\Книги\Программирование\Общие вопросы\Write_Great_Code_Volume_3_Engineering_software.epub","Write_Great_Code_Volume_3_Engineering_software.epub")</f>
        <v>Write_Great_Code_Volume_3_Engineering_software.epub</v>
      </c>
      <c r="O2834" s="3" t="s">
        <v>11137</v>
      </c>
    </row>
    <row r="2835" spans="1:15" ht="179.4" x14ac:dyDescent="0.3">
      <c r="A2835" s="4">
        <v>2834</v>
      </c>
      <c r="B2835" s="5" t="s">
        <v>11138</v>
      </c>
      <c r="C2835" s="5" t="s">
        <v>11139</v>
      </c>
      <c r="D2835" s="5" t="s">
        <v>71</v>
      </c>
      <c r="E2835" s="5" t="s">
        <v>102</v>
      </c>
      <c r="F2835" s="5" t="s">
        <v>10975</v>
      </c>
      <c r="G2835" s="5" t="s">
        <v>8458</v>
      </c>
      <c r="H2835" s="5" t="s">
        <v>199</v>
      </c>
      <c r="I2835" s="5" t="s">
        <v>519</v>
      </c>
      <c r="J2835" s="5">
        <v>9.5399999999999991</v>
      </c>
      <c r="K2835" s="5" t="s">
        <v>21</v>
      </c>
      <c r="L2835" s="5" t="s">
        <v>11140</v>
      </c>
      <c r="M2835" s="5" t="s">
        <v>10977</v>
      </c>
      <c r="N2835" s="7" t="str">
        <f>HYPERLINK("C:\Users\alexa\YandexDisk\Книги\Программирование\Общие вопросы\Введение в логическое программирование.zip","Введение в логическое программирование.zip")</f>
        <v>Введение в логическое программирование.zip</v>
      </c>
      <c r="O2835" s="5" t="s">
        <v>11141</v>
      </c>
    </row>
    <row r="2836" spans="1:15" ht="41.4" x14ac:dyDescent="0.3">
      <c r="A2836" s="2">
        <v>2835</v>
      </c>
      <c r="B2836" s="3" t="s">
        <v>11142</v>
      </c>
      <c r="C2836" s="3"/>
      <c r="D2836" s="3"/>
      <c r="E2836" s="3"/>
      <c r="F2836" s="3" t="s">
        <v>10975</v>
      </c>
      <c r="G2836" s="3" t="s">
        <v>8458</v>
      </c>
      <c r="H2836" s="3" t="s">
        <v>199</v>
      </c>
      <c r="I2836" s="3" t="s">
        <v>20</v>
      </c>
      <c r="J2836" s="3">
        <v>3.81</v>
      </c>
      <c r="K2836" s="3" t="s">
        <v>21</v>
      </c>
      <c r="L2836" s="3" t="s">
        <v>11143</v>
      </c>
      <c r="M2836" s="3" t="s">
        <v>10977</v>
      </c>
      <c r="N2836" s="6" t="str">
        <f>HYPERLINK("C:\Users\alexa\YandexDisk\Книги\Программирование\Общие вопросы\Введение в профессию Том 4 Парадигмы.pdf","Введение в профессию Том 4 Парадигмы.pdf")</f>
        <v>Введение в профессию Том 4 Парадигмы.pdf</v>
      </c>
      <c r="O2836" s="3" t="s">
        <v>930</v>
      </c>
    </row>
    <row r="2837" spans="1:15" ht="165.6" x14ac:dyDescent="0.3">
      <c r="A2837" s="4">
        <v>2836</v>
      </c>
      <c r="B2837" s="5" t="s">
        <v>11144</v>
      </c>
      <c r="C2837" s="5" t="s">
        <v>11145</v>
      </c>
      <c r="D2837" s="5" t="s">
        <v>71</v>
      </c>
      <c r="E2837" s="5" t="s">
        <v>102</v>
      </c>
      <c r="F2837" s="5" t="s">
        <v>10975</v>
      </c>
      <c r="G2837" s="5" t="s">
        <v>8458</v>
      </c>
      <c r="H2837" s="5" t="s">
        <v>199</v>
      </c>
      <c r="I2837" s="5" t="s">
        <v>20</v>
      </c>
      <c r="J2837" s="5">
        <v>8.8000000000000007</v>
      </c>
      <c r="K2837" s="5" t="s">
        <v>21</v>
      </c>
      <c r="L2837" s="5" t="s">
        <v>11146</v>
      </c>
      <c r="M2837" s="5" t="s">
        <v>10977</v>
      </c>
      <c r="N2837" s="7" t="str">
        <f>HYPERLINK("C:\Users\alexa\YandexDisk\Книги\Программирование\Общие вопросы\Введение_в_программирование_и_структуры_данных.pdf","Введение_в_программирование_и_структуры_данных.pdf")</f>
        <v>Введение_в_программирование_и_структуры_данных.pdf</v>
      </c>
      <c r="O2837" s="5" t="s">
        <v>11147</v>
      </c>
    </row>
    <row r="2838" spans="1:15" ht="179.4" x14ac:dyDescent="0.3">
      <c r="A2838" s="2">
        <v>2837</v>
      </c>
      <c r="B2838" s="3" t="s">
        <v>11148</v>
      </c>
      <c r="C2838" s="3"/>
      <c r="D2838" s="3"/>
      <c r="E2838" s="3" t="s">
        <v>102</v>
      </c>
      <c r="F2838" s="3" t="s">
        <v>10975</v>
      </c>
      <c r="G2838" s="3" t="s">
        <v>8458</v>
      </c>
      <c r="H2838" s="3" t="s">
        <v>199</v>
      </c>
      <c r="I2838" s="3" t="s">
        <v>20</v>
      </c>
      <c r="J2838" s="3">
        <v>9.52</v>
      </c>
      <c r="K2838" s="3" t="s">
        <v>21</v>
      </c>
      <c r="L2838" s="3" t="s">
        <v>11149</v>
      </c>
      <c r="M2838" s="3" t="s">
        <v>10977</v>
      </c>
      <c r="N2838" s="6" t="str">
        <f>HYPERLINK("C:\Users\alexa\YandexDisk\Книги\Программирование\Общие вопросы\Введение_в_рекурсивное_программирование.pdf","Введение_в_рекурсивное_программирование.pdf")</f>
        <v>Введение_в_рекурсивное_программирование.pdf</v>
      </c>
      <c r="O2838" s="3" t="s">
        <v>11150</v>
      </c>
    </row>
    <row r="2839" spans="1:15" ht="220.8" x14ac:dyDescent="0.3">
      <c r="A2839" s="4">
        <v>2838</v>
      </c>
      <c r="B2839" s="5" t="s">
        <v>11151</v>
      </c>
      <c r="C2839" s="5" t="s">
        <v>11152</v>
      </c>
      <c r="D2839" s="5" t="s">
        <v>186</v>
      </c>
      <c r="E2839" s="5" t="s">
        <v>11153</v>
      </c>
      <c r="F2839" s="5" t="s">
        <v>10975</v>
      </c>
      <c r="G2839" s="5" t="s">
        <v>8458</v>
      </c>
      <c r="H2839" s="5" t="s">
        <v>199</v>
      </c>
      <c r="I2839" s="5" t="s">
        <v>20</v>
      </c>
      <c r="J2839" s="5">
        <v>3.28</v>
      </c>
      <c r="K2839" s="5" t="s">
        <v>21</v>
      </c>
      <c r="L2839" s="5" t="s">
        <v>11154</v>
      </c>
      <c r="M2839" s="5" t="s">
        <v>10977</v>
      </c>
      <c r="N2839" s="7" t="str">
        <f>HYPERLINK("C:\Users\alexa\YandexDisk\Книги\Программирование\Общие вопросы\Виггерс битти Разработа требований к ПО.pdf","Виггерс битти Разработа требований к ПО.pdf")</f>
        <v>Виггерс битти Разработа требований к ПО.pdf</v>
      </c>
      <c r="O2839" s="5" t="s">
        <v>11155</v>
      </c>
    </row>
    <row r="2840" spans="1:15" ht="193.2" x14ac:dyDescent="0.3">
      <c r="A2840" s="2">
        <v>2839</v>
      </c>
      <c r="B2840" s="3" t="s">
        <v>11156</v>
      </c>
      <c r="C2840" s="3" t="s">
        <v>11157</v>
      </c>
      <c r="D2840" s="3" t="s">
        <v>27</v>
      </c>
      <c r="E2840" s="3" t="s">
        <v>18</v>
      </c>
      <c r="F2840" s="3" t="s">
        <v>10975</v>
      </c>
      <c r="G2840" s="3" t="s">
        <v>8458</v>
      </c>
      <c r="H2840" s="3" t="s">
        <v>199</v>
      </c>
      <c r="I2840" s="3" t="s">
        <v>20</v>
      </c>
      <c r="J2840" s="3">
        <v>10.82</v>
      </c>
      <c r="K2840" s="3" t="s">
        <v>21</v>
      </c>
      <c r="L2840" s="3" t="s">
        <v>11158</v>
      </c>
      <c r="M2840" s="3" t="s">
        <v>10977</v>
      </c>
      <c r="N2840" s="6" t="str">
        <f>HYPERLINK("C:\Users\alexa\YandexDisk\Книги\Программирование\Общие вопросы\Грокаем функциональное мышление.pdf","Грокаем функциональное мышление.pdf")</f>
        <v>Грокаем функциональное мышление.pdf</v>
      </c>
      <c r="O2840" s="3" t="s">
        <v>11159</v>
      </c>
    </row>
    <row r="2841" spans="1:15" ht="151.80000000000001" x14ac:dyDescent="0.3">
      <c r="A2841" s="4">
        <v>2840</v>
      </c>
      <c r="B2841" s="5" t="s">
        <v>11160</v>
      </c>
      <c r="C2841" s="5" t="s">
        <v>11161</v>
      </c>
      <c r="D2841" s="5" t="s">
        <v>109</v>
      </c>
      <c r="E2841" s="5" t="s">
        <v>18</v>
      </c>
      <c r="F2841" s="5" t="s">
        <v>10975</v>
      </c>
      <c r="G2841" s="5" t="s">
        <v>8458</v>
      </c>
      <c r="H2841" s="5" t="s">
        <v>199</v>
      </c>
      <c r="I2841" s="5" t="s">
        <v>519</v>
      </c>
      <c r="J2841" s="5">
        <v>13.76</v>
      </c>
      <c r="K2841" s="5" t="s">
        <v>21</v>
      </c>
      <c r="L2841" s="5" t="s">
        <v>11162</v>
      </c>
      <c r="M2841" s="5" t="s">
        <v>10977</v>
      </c>
      <c r="N2841" s="7" t="str">
        <f>HYPERLINK("C:\Users\alexa\YandexDisk\Книги\Программирование\Общие вопросы\Грокаем_функциональное_программирование.zip","Грокаем_функциональное_программирование.zip")</f>
        <v>Грокаем_функциональное_программирование.zip</v>
      </c>
      <c r="O2841" s="5" t="s">
        <v>11163</v>
      </c>
    </row>
    <row r="2842" spans="1:15" ht="220.8" x14ac:dyDescent="0.3">
      <c r="A2842" s="2">
        <v>2841</v>
      </c>
      <c r="B2842" s="3" t="s">
        <v>11164</v>
      </c>
      <c r="C2842" s="3" t="s">
        <v>11165</v>
      </c>
      <c r="D2842" s="3" t="s">
        <v>17</v>
      </c>
      <c r="E2842" s="3" t="s">
        <v>18</v>
      </c>
      <c r="F2842" s="3" t="s">
        <v>10975</v>
      </c>
      <c r="G2842" s="3" t="s">
        <v>8458</v>
      </c>
      <c r="H2842" s="3" t="s">
        <v>199</v>
      </c>
      <c r="I2842" s="3" t="s">
        <v>20</v>
      </c>
      <c r="J2842" s="3">
        <v>6.29</v>
      </c>
      <c r="K2842" s="3" t="s">
        <v>21</v>
      </c>
      <c r="L2842" s="3" t="s">
        <v>11166</v>
      </c>
      <c r="M2842" s="3" t="s">
        <v>10977</v>
      </c>
      <c r="N2842" s="6" t="str">
        <f>HYPERLINK("C:\Users\alexa\YandexDisk\Книги\Программирование\Общие вопросы\Делай_как_в_Google_Разработка_программного_обеспечения_2021_Том.pdf","Делай_как_в_Google_Разработка_программного_обеспечения_2021_Том.pdf")</f>
        <v>Делай_как_в_Google_Разработка_программного_обеспечения_2021_Том.pdf</v>
      </c>
      <c r="O2842" s="3" t="s">
        <v>11167</v>
      </c>
    </row>
    <row r="2843" spans="1:15" ht="138" x14ac:dyDescent="0.3">
      <c r="A2843" s="4">
        <v>2842</v>
      </c>
      <c r="B2843" s="5" t="s">
        <v>11168</v>
      </c>
      <c r="C2843" s="5"/>
      <c r="D2843" s="5"/>
      <c r="E2843" s="5"/>
      <c r="F2843" s="5" t="s">
        <v>10975</v>
      </c>
      <c r="G2843" s="5" t="s">
        <v>8458</v>
      </c>
      <c r="H2843" s="5" t="s">
        <v>199</v>
      </c>
      <c r="I2843" s="5" t="s">
        <v>721</v>
      </c>
      <c r="J2843" s="5">
        <v>9.0399999999999991</v>
      </c>
      <c r="K2843" s="5" t="s">
        <v>21</v>
      </c>
      <c r="L2843" s="5" t="s">
        <v>11169</v>
      </c>
      <c r="M2843" s="5" t="s">
        <v>10977</v>
      </c>
      <c r="N2843" s="7" t="str">
        <f>HYPERLINK("C:\Users\alexa\YandexDisk\Книги\Программирование\Общие вопросы\Думай как программист.djvu","Думай как программист.djvu")</f>
        <v>Думай как программист.djvu</v>
      </c>
      <c r="O2843" s="5" t="s">
        <v>11170</v>
      </c>
    </row>
    <row r="2844" spans="1:15" ht="262.2" x14ac:dyDescent="0.3">
      <c r="A2844" s="2">
        <v>2843</v>
      </c>
      <c r="B2844" s="3" t="s">
        <v>11171</v>
      </c>
      <c r="C2844" s="3" t="s">
        <v>11172</v>
      </c>
      <c r="D2844" s="3" t="s">
        <v>476</v>
      </c>
      <c r="E2844" s="3" t="s">
        <v>102</v>
      </c>
      <c r="F2844" s="3" t="s">
        <v>10975</v>
      </c>
      <c r="G2844" s="3" t="s">
        <v>8458</v>
      </c>
      <c r="H2844" s="3" t="s">
        <v>199</v>
      </c>
      <c r="I2844" s="3" t="s">
        <v>20</v>
      </c>
      <c r="J2844" s="3">
        <v>75.12</v>
      </c>
      <c r="K2844" s="3" t="s">
        <v>21</v>
      </c>
      <c r="L2844" s="3" t="s">
        <v>11173</v>
      </c>
      <c r="M2844" s="3" t="s">
        <v>10977</v>
      </c>
      <c r="N2844" s="6" t="str">
        <f>HYPERLINK("C:\Users\alexa\YandexDisk\Книги\Программирование\Общие вопросы\Жемчужины_проектирования_алгоритмов 2013.pdf","Жемчужины_проектирования_алгоритмов 2013.pdf")</f>
        <v>Жемчужины_проектирования_алгоритмов 2013.pdf</v>
      </c>
      <c r="O2844" s="3" t="s">
        <v>11174</v>
      </c>
    </row>
    <row r="2845" spans="1:15" ht="179.4" x14ac:dyDescent="0.3">
      <c r="A2845" s="4">
        <v>2844</v>
      </c>
      <c r="B2845" s="5" t="s">
        <v>11175</v>
      </c>
      <c r="C2845" s="5" t="s">
        <v>11176</v>
      </c>
      <c r="D2845" s="5" t="s">
        <v>1022</v>
      </c>
      <c r="E2845" s="5" t="s">
        <v>5370</v>
      </c>
      <c r="F2845" s="5" t="s">
        <v>10975</v>
      </c>
      <c r="G2845" s="5" t="s">
        <v>8458</v>
      </c>
      <c r="H2845" s="5" t="s">
        <v>199</v>
      </c>
      <c r="I2845" s="5" t="s">
        <v>20</v>
      </c>
      <c r="J2845" s="5">
        <v>10.32</v>
      </c>
      <c r="K2845" s="5" t="s">
        <v>21</v>
      </c>
      <c r="L2845" s="5" t="s">
        <v>11177</v>
      </c>
      <c r="M2845" s="5" t="s">
        <v>10977</v>
      </c>
      <c r="N2845" s="7" t="str">
        <f>HYPERLINK("C:\Users\alexa\YandexDisk\Книги\Программирование\Общие вопросы\Златопольский Programmirovanie_Tipovye_zadachi_algoritmy_metody_2015.pdf","Златопольский Programmirovanie_Tipovye_zadachi_algoritmy_metody_2015.pdf")</f>
        <v>Златопольский Programmirovanie_Tipovye_zadachi_algoritmy_metody_2015.pdf</v>
      </c>
      <c r="O2845" s="5" t="s">
        <v>11178</v>
      </c>
    </row>
    <row r="2846" spans="1:15" ht="165.6" x14ac:dyDescent="0.3">
      <c r="A2846" s="2">
        <v>2845</v>
      </c>
      <c r="B2846" s="3" t="s">
        <v>11179</v>
      </c>
      <c r="C2846" s="3" t="s">
        <v>11180</v>
      </c>
      <c r="D2846" s="3" t="s">
        <v>837</v>
      </c>
      <c r="E2846" s="3" t="s">
        <v>402</v>
      </c>
      <c r="F2846" s="3" t="s">
        <v>10975</v>
      </c>
      <c r="G2846" s="3" t="s">
        <v>8458</v>
      </c>
      <c r="H2846" s="3" t="s">
        <v>199</v>
      </c>
      <c r="I2846" s="3" t="s">
        <v>20</v>
      </c>
      <c r="J2846" s="3">
        <v>7.99</v>
      </c>
      <c r="K2846" s="3" t="s">
        <v>21</v>
      </c>
      <c r="L2846" s="3" t="s">
        <v>11181</v>
      </c>
      <c r="M2846" s="3" t="s">
        <v>10977</v>
      </c>
      <c r="N2846" s="6" t="str">
        <f>HYPERLINK("C:\Users\alexa\YandexDisk\Книги\Программирование\Общие вопросы\Златопольский Sbornik_zadach_po_programmirovaniyu.pdf","Златопольский Sbornik_zadach_po_programmirovaniyu.pdf")</f>
        <v>Златопольский Sbornik_zadach_po_programmirovaniyu.pdf</v>
      </c>
      <c r="O2846" s="3" t="s">
        <v>11182</v>
      </c>
    </row>
    <row r="2847" spans="1:15" ht="151.80000000000001" x14ac:dyDescent="0.3">
      <c r="A2847" s="4">
        <v>2846</v>
      </c>
      <c r="B2847" s="5" t="s">
        <v>11183</v>
      </c>
      <c r="C2847" s="5" t="s">
        <v>10445</v>
      </c>
      <c r="D2847" s="5" t="s">
        <v>59</v>
      </c>
      <c r="E2847" s="5" t="s">
        <v>102</v>
      </c>
      <c r="F2847" s="5" t="s">
        <v>10975</v>
      </c>
      <c r="G2847" s="5" t="s">
        <v>8458</v>
      </c>
      <c r="H2847" s="5" t="s">
        <v>199</v>
      </c>
      <c r="I2847" s="5" t="s">
        <v>20</v>
      </c>
      <c r="J2847" s="5">
        <v>3.34</v>
      </c>
      <c r="K2847" s="5" t="s">
        <v>21</v>
      </c>
      <c r="L2847" s="5" t="s">
        <v>11184</v>
      </c>
      <c r="M2847" s="5" t="s">
        <v>10977</v>
      </c>
      <c r="N2847" s="7" t="str">
        <f>HYPERLINK("C:\Users\alexa\YandexDisk\Книги\Программирование\Общие вопросы\Златопольский_Д_М_1400_задач_по_программированию_2020.pdf","Златопольский_Д_М_1400_задач_по_программированию_2020.pdf")</f>
        <v>Златопольский_Д_М_1400_задач_по_программированию_2020.pdf</v>
      </c>
      <c r="O2847" s="5" t="s">
        <v>11185</v>
      </c>
    </row>
    <row r="2848" spans="1:15" ht="165.6" x14ac:dyDescent="0.3">
      <c r="A2848" s="2">
        <v>2847</v>
      </c>
      <c r="B2848" s="3" t="s">
        <v>11186</v>
      </c>
      <c r="C2848" s="3" t="s">
        <v>11187</v>
      </c>
      <c r="D2848" s="3" t="s">
        <v>17</v>
      </c>
      <c r="E2848" s="3" t="s">
        <v>102</v>
      </c>
      <c r="F2848" s="3" t="s">
        <v>10975</v>
      </c>
      <c r="G2848" s="3" t="s">
        <v>8458</v>
      </c>
      <c r="H2848" s="3" t="s">
        <v>199</v>
      </c>
      <c r="I2848" s="3" t="s">
        <v>20</v>
      </c>
      <c r="J2848" s="3">
        <v>15.13</v>
      </c>
      <c r="K2848" s="3" t="s">
        <v>21</v>
      </c>
      <c r="L2848" s="3" t="s">
        <v>11188</v>
      </c>
      <c r="M2848" s="3" t="s">
        <v>10977</v>
      </c>
      <c r="N2848" s="6" t="str">
        <f>HYPERLINK("C:\Users\alexa\YandexDisk\Книги\Программирование\Общие вопросы\Знакомство с программированием.pdf","Знакомство с программированием.pdf")</f>
        <v>Знакомство с программированием.pdf</v>
      </c>
      <c r="O2848" s="3" t="s">
        <v>11189</v>
      </c>
    </row>
    <row r="2849" spans="1:15" ht="220.8" x14ac:dyDescent="0.3">
      <c r="A2849" s="4">
        <v>2848</v>
      </c>
      <c r="B2849" s="5" t="s">
        <v>11190</v>
      </c>
      <c r="C2849" s="5" t="s">
        <v>11191</v>
      </c>
      <c r="D2849" s="5" t="s">
        <v>114</v>
      </c>
      <c r="E2849" s="5" t="s">
        <v>18</v>
      </c>
      <c r="F2849" s="5" t="s">
        <v>10975</v>
      </c>
      <c r="G2849" s="5" t="s">
        <v>8458</v>
      </c>
      <c r="H2849" s="5" t="s">
        <v>199</v>
      </c>
      <c r="I2849" s="5" t="s">
        <v>20</v>
      </c>
      <c r="J2849" s="5">
        <v>6.07</v>
      </c>
      <c r="K2849" s="5" t="s">
        <v>21</v>
      </c>
      <c r="L2849" s="5" t="s">
        <v>11192</v>
      </c>
      <c r="M2849" s="5" t="s">
        <v>10977</v>
      </c>
      <c r="N2849" s="7" t="str">
        <f>HYPERLINK("C:\Users\alexa\YandexDisk\Книги\Программирование\Общие вопросы\Игорь_Савчук_Отъявленный_программист_лайфхакинг_из_первых_рук_2016.pdf","Игорь_Савчук_Отъявленный_программист_лайфхакинг_из_первых_рук_2016.pdf")</f>
        <v>Игорь_Савчук_Отъявленный_программист_лайфхакинг_из_первых_рук_2016.pdf</v>
      </c>
      <c r="O2849" s="5" t="s">
        <v>11193</v>
      </c>
    </row>
    <row r="2850" spans="1:15" ht="234.6" x14ac:dyDescent="0.3">
      <c r="A2850" s="2">
        <v>2849</v>
      </c>
      <c r="B2850" s="3" t="s">
        <v>11194</v>
      </c>
      <c r="C2850" s="3" t="s">
        <v>11195</v>
      </c>
      <c r="D2850" s="3" t="s">
        <v>17</v>
      </c>
      <c r="E2850" s="3" t="s">
        <v>18</v>
      </c>
      <c r="F2850" s="3" t="s">
        <v>10975</v>
      </c>
      <c r="G2850" s="3" t="s">
        <v>8458</v>
      </c>
      <c r="H2850" s="3" t="s">
        <v>199</v>
      </c>
      <c r="I2850" s="3" t="s">
        <v>20</v>
      </c>
      <c r="J2850" s="3">
        <v>106.71</v>
      </c>
      <c r="K2850" s="3" t="s">
        <v>21</v>
      </c>
      <c r="L2850" s="3" t="s">
        <v>11196</v>
      </c>
      <c r="M2850" s="3" t="s">
        <v>10977</v>
      </c>
      <c r="N2850" s="6" t="str">
        <f>HYPERLINK("C:\Users\alexa\YandexDisk\Книги\Программирование\Общие вопросы\Интерфейс.pdf","Интерфейс.pdf")</f>
        <v>Интерфейс.pdf</v>
      </c>
      <c r="O2850" s="3" t="s">
        <v>11197</v>
      </c>
    </row>
    <row r="2851" spans="1:15" ht="193.2" x14ac:dyDescent="0.3">
      <c r="A2851" s="4">
        <v>2850</v>
      </c>
      <c r="B2851" s="5" t="s">
        <v>11198</v>
      </c>
      <c r="C2851" s="5" t="s">
        <v>11199</v>
      </c>
      <c r="D2851" s="5" t="s">
        <v>71</v>
      </c>
      <c r="E2851" s="5" t="s">
        <v>102</v>
      </c>
      <c r="F2851" s="5" t="s">
        <v>10975</v>
      </c>
      <c r="G2851" s="5" t="s">
        <v>8458</v>
      </c>
      <c r="H2851" s="5" t="s">
        <v>199</v>
      </c>
      <c r="I2851" s="5" t="s">
        <v>20</v>
      </c>
      <c r="J2851" s="5">
        <v>12.96</v>
      </c>
      <c r="K2851" s="5" t="s">
        <v>21</v>
      </c>
      <c r="L2851" s="5" t="s">
        <v>11200</v>
      </c>
      <c r="M2851" s="5" t="s">
        <v>10977</v>
      </c>
      <c r="N2851" s="7" t="str">
        <f>HYPERLINK("C:\Users\alexa\YandexDisk\Книги\Программирование\Общие вопросы\Искусство WebAssembly -2022.pdf","Искусство WebAssembly -2022.pdf")</f>
        <v>Искусство WebAssembly -2022.pdf</v>
      </c>
      <c r="O2851" s="5" t="s">
        <v>11201</v>
      </c>
    </row>
    <row r="2852" spans="1:15" ht="138" x14ac:dyDescent="0.3">
      <c r="A2852" s="2">
        <v>2851</v>
      </c>
      <c r="B2852" s="3" t="s">
        <v>11202</v>
      </c>
      <c r="C2852" s="3"/>
      <c r="D2852" s="3"/>
      <c r="E2852" s="3"/>
      <c r="F2852" s="3" t="s">
        <v>10975</v>
      </c>
      <c r="G2852" s="3" t="s">
        <v>8458</v>
      </c>
      <c r="H2852" s="3" t="s">
        <v>199</v>
      </c>
      <c r="I2852" s="3" t="s">
        <v>721</v>
      </c>
      <c r="J2852" s="3">
        <v>26.08</v>
      </c>
      <c r="K2852" s="3" t="s">
        <v>21</v>
      </c>
      <c r="L2852" s="3" t="s">
        <v>11203</v>
      </c>
      <c r="M2852" s="3" t="s">
        <v>10977</v>
      </c>
      <c r="N2852" s="6" t="str">
        <f>HYPERLINK("C:\Users\alexa\YandexDisk\Книги\Программирование\Общие вопросы\Искусство дизассемблирования.djvu","Искусство дизассемблирования.djvu")</f>
        <v>Искусство дизассемблирования.djvu</v>
      </c>
      <c r="O2852" s="3" t="s">
        <v>11204</v>
      </c>
    </row>
    <row r="2853" spans="1:15" ht="41.4" x14ac:dyDescent="0.3">
      <c r="A2853" s="4">
        <v>2852</v>
      </c>
      <c r="B2853" s="5" t="s">
        <v>11205</v>
      </c>
      <c r="C2853" s="5" t="s">
        <v>11206</v>
      </c>
      <c r="D2853" s="5"/>
      <c r="E2853" s="5"/>
      <c r="F2853" s="5" t="s">
        <v>10975</v>
      </c>
      <c r="G2853" s="5" t="s">
        <v>8458</v>
      </c>
      <c r="H2853" s="5" t="s">
        <v>199</v>
      </c>
      <c r="I2853" s="5" t="s">
        <v>519</v>
      </c>
      <c r="J2853" s="5">
        <v>107.48</v>
      </c>
      <c r="K2853" s="5" t="s">
        <v>21</v>
      </c>
      <c r="L2853" s="5" t="s">
        <v>11207</v>
      </c>
      <c r="M2853" s="5" t="s">
        <v>10977</v>
      </c>
      <c r="N2853" s="7" t="str">
        <f>HYPERLINK("C:\Users\alexa\YandexDisk\Книги\Программирование\Общие вопросы\Искусство программирования - Кнут.zip","Искусство программирования - Кнут.zip")</f>
        <v>Искусство программирования - Кнут.zip</v>
      </c>
      <c r="O2853" s="5" t="s">
        <v>11208</v>
      </c>
    </row>
    <row r="2854" spans="1:15" ht="179.4" x14ac:dyDescent="0.3">
      <c r="A2854" s="2">
        <v>2853</v>
      </c>
      <c r="B2854" s="3" t="s">
        <v>11041</v>
      </c>
      <c r="C2854" s="3" t="s">
        <v>10504</v>
      </c>
      <c r="D2854" s="3" t="s">
        <v>27</v>
      </c>
      <c r="E2854" s="3" t="s">
        <v>18</v>
      </c>
      <c r="F2854" s="3" t="s">
        <v>10975</v>
      </c>
      <c r="G2854" s="3" t="s">
        <v>8458</v>
      </c>
      <c r="H2854" s="3" t="s">
        <v>199</v>
      </c>
      <c r="I2854" s="3" t="s">
        <v>20</v>
      </c>
      <c r="J2854" s="3">
        <v>13.28</v>
      </c>
      <c r="K2854" s="3" t="s">
        <v>21</v>
      </c>
      <c r="L2854" s="3" t="s">
        <v>11209</v>
      </c>
      <c r="M2854" s="3" t="s">
        <v>10977</v>
      </c>
      <c r="N2854" s="6" t="str">
        <f>HYPERLINK("C:\Users\alexa\YandexDisk\Книги\Программирование\Общие вопросы\Искусство чистого кода.pdf","Искусство чистого кода.pdf")</f>
        <v>Искусство чистого кода.pdf</v>
      </c>
      <c r="O2854" s="3" t="s">
        <v>11210</v>
      </c>
    </row>
    <row r="2855" spans="1:15" ht="179.4" x14ac:dyDescent="0.3">
      <c r="A2855" s="4">
        <v>2854</v>
      </c>
      <c r="B2855" s="5" t="s">
        <v>11211</v>
      </c>
      <c r="C2855" s="5" t="s">
        <v>11212</v>
      </c>
      <c r="D2855" s="5" t="s">
        <v>71</v>
      </c>
      <c r="E2855" s="5"/>
      <c r="F2855" s="5" t="s">
        <v>10975</v>
      </c>
      <c r="G2855" s="5" t="s">
        <v>8458</v>
      </c>
      <c r="H2855" s="5" t="s">
        <v>199</v>
      </c>
      <c r="I2855" s="5" t="s">
        <v>20</v>
      </c>
      <c r="J2855" s="5">
        <v>2.39</v>
      </c>
      <c r="K2855" s="5" t="s">
        <v>21</v>
      </c>
      <c r="L2855" s="5" t="s">
        <v>11213</v>
      </c>
      <c r="M2855" s="5" t="s">
        <v>10977</v>
      </c>
      <c r="N2855" s="7" t="str">
        <f>HYPERLINK("C:\Users\alexa\YandexDisk\Книги\Программирование\Общие вопросы\Как стать программистом с нуля.pdf","Как стать программистом с нуля.pdf")</f>
        <v>Как стать программистом с нуля.pdf</v>
      </c>
      <c r="O2855" s="5" t="s">
        <v>11214</v>
      </c>
    </row>
    <row r="2856" spans="1:15" ht="151.80000000000001" x14ac:dyDescent="0.3">
      <c r="A2856" s="2">
        <v>2855</v>
      </c>
      <c r="B2856" s="3" t="s">
        <v>11215</v>
      </c>
      <c r="C2856" s="3" t="s">
        <v>11216</v>
      </c>
      <c r="D2856" s="3" t="s">
        <v>71</v>
      </c>
      <c r="E2856" s="3" t="s">
        <v>86</v>
      </c>
      <c r="F2856" s="3" t="s">
        <v>10975</v>
      </c>
      <c r="G2856" s="3" t="s">
        <v>8458</v>
      </c>
      <c r="H2856" s="3" t="s">
        <v>199</v>
      </c>
      <c r="I2856" s="3" t="s">
        <v>20</v>
      </c>
      <c r="J2856" s="3">
        <v>11.44</v>
      </c>
      <c r="K2856" s="3" t="s">
        <v>21</v>
      </c>
      <c r="L2856" s="3" t="s">
        <v>11217</v>
      </c>
      <c r="M2856" s="3" t="s">
        <v>10977</v>
      </c>
      <c r="N2856" s="6" t="str">
        <f>HYPERLINK("C:\Users\alexa\YandexDisk\Книги\Программирование\Общие вопросы\Как_проектировать_программы_2022_Фелляйзен,_Финдлер,_Кришнамурт.pdf","Как_проектировать_программы_2022_Фелляйзен,_Финдлер,_Кришнамурт.pdf")</f>
        <v>Как_проектировать_программы_2022_Фелляйзен,_Финдлер,_Кришнамурт.pdf</v>
      </c>
      <c r="O2856" s="3" t="s">
        <v>11218</v>
      </c>
    </row>
    <row r="2857" spans="1:15" ht="165.6" x14ac:dyDescent="0.3">
      <c r="A2857" s="4">
        <v>2856</v>
      </c>
      <c r="B2857" s="5" t="s">
        <v>11219</v>
      </c>
      <c r="C2857" s="5" t="s">
        <v>11220</v>
      </c>
      <c r="D2857" s="5" t="s">
        <v>59</v>
      </c>
      <c r="E2857" s="5" t="s">
        <v>18</v>
      </c>
      <c r="F2857" s="5" t="s">
        <v>10975</v>
      </c>
      <c r="G2857" s="5" t="s">
        <v>8458</v>
      </c>
      <c r="H2857" s="5" t="s">
        <v>199</v>
      </c>
      <c r="I2857" s="5" t="s">
        <v>20</v>
      </c>
      <c r="J2857" s="5">
        <v>85.1</v>
      </c>
      <c r="K2857" s="5" t="s">
        <v>21</v>
      </c>
      <c r="L2857" s="5" t="s">
        <v>11221</v>
      </c>
      <c r="M2857" s="5" t="s">
        <v>10977</v>
      </c>
      <c r="N2857" s="7" t="str">
        <f>HYPERLINK("C:\Users\alexa\YandexDisk\Книги\Программирование\Общие вопросы\Карьера программиста.pdf","Карьера программиста.pdf")</f>
        <v>Карьера программиста.pdf</v>
      </c>
      <c r="O2857" s="5" t="s">
        <v>11222</v>
      </c>
    </row>
    <row r="2858" spans="1:15" ht="193.2" x14ac:dyDescent="0.3">
      <c r="A2858" s="2">
        <v>2857</v>
      </c>
      <c r="B2858" s="3" t="s">
        <v>8610</v>
      </c>
      <c r="C2858" s="3" t="s">
        <v>8611</v>
      </c>
      <c r="D2858" s="3" t="s">
        <v>27</v>
      </c>
      <c r="E2858" s="3" t="s">
        <v>18</v>
      </c>
      <c r="F2858" s="3" t="s">
        <v>10975</v>
      </c>
      <c r="G2858" s="3" t="s">
        <v>8458</v>
      </c>
      <c r="H2858" s="3" t="s">
        <v>199</v>
      </c>
      <c r="I2858" s="3" t="s">
        <v>20</v>
      </c>
      <c r="J2858" s="3">
        <v>9.5399999999999991</v>
      </c>
      <c r="K2858" s="3" t="s">
        <v>21</v>
      </c>
      <c r="L2858" s="3" t="s">
        <v>11223</v>
      </c>
      <c r="M2858" s="3" t="s">
        <v>10977</v>
      </c>
      <c r="N2858" s="6" t="str">
        <f>HYPERLINK("C:\Users\alexa\YandexDisk\Книги\Программирование\Общие вопросы\Код,_который_умещается_в_голове_Эвристики_для_разработчиков_2023.pdf","Код,_который_умещается_в_голове_Эвристики_для_разработчиков_2023.pdf")</f>
        <v>Код,_который_умещается_в_голове_Эвристики_для_разработчиков_2023.pdf</v>
      </c>
      <c r="O2858" s="3" t="s">
        <v>11224</v>
      </c>
    </row>
    <row r="2859" spans="1:15" ht="179.4" x14ac:dyDescent="0.3">
      <c r="A2859" s="4">
        <v>2858</v>
      </c>
      <c r="B2859" s="5" t="s">
        <v>11225</v>
      </c>
      <c r="C2859" s="5" t="s">
        <v>11226</v>
      </c>
      <c r="D2859" s="5" t="s">
        <v>71</v>
      </c>
      <c r="E2859" s="5" t="s">
        <v>18</v>
      </c>
      <c r="F2859" s="5" t="s">
        <v>10975</v>
      </c>
      <c r="G2859" s="5" t="s">
        <v>8458</v>
      </c>
      <c r="H2859" s="5" t="s">
        <v>199</v>
      </c>
      <c r="I2859" s="5" t="s">
        <v>20</v>
      </c>
      <c r="J2859" s="5">
        <v>5.93</v>
      </c>
      <c r="K2859" s="5" t="s">
        <v>21</v>
      </c>
      <c r="L2859" s="5" t="s">
        <v>11227</v>
      </c>
      <c r="M2859" s="5" t="s">
        <v>10977</v>
      </c>
      <c r="N2859" s="7" t="str">
        <f>HYPERLINK("C:\Users\alexa\YandexDisk\Книги\Программирование\Общие вопросы\Масштабируемый рефакторинг кода.pdf","Масштабируемый рефакторинг кода.pdf")</f>
        <v>Масштабируемый рефакторинг кода.pdf</v>
      </c>
      <c r="O2859" s="5" t="s">
        <v>11228</v>
      </c>
    </row>
    <row r="2860" spans="1:15" ht="151.80000000000001" x14ac:dyDescent="0.3">
      <c r="A2860" s="2">
        <v>2859</v>
      </c>
      <c r="B2860" s="3" t="s">
        <v>11229</v>
      </c>
      <c r="C2860" s="3" t="s">
        <v>8776</v>
      </c>
      <c r="D2860" s="3" t="s">
        <v>65</v>
      </c>
      <c r="E2860" s="3" t="s">
        <v>72</v>
      </c>
      <c r="F2860" s="3" t="s">
        <v>10975</v>
      </c>
      <c r="G2860" s="3" t="s">
        <v>8458</v>
      </c>
      <c r="H2860" s="3" t="s">
        <v>199</v>
      </c>
      <c r="I2860" s="3" t="s">
        <v>20</v>
      </c>
      <c r="J2860" s="3">
        <v>2.2000000000000002</v>
      </c>
      <c r="K2860" s="3" t="s">
        <v>21</v>
      </c>
      <c r="L2860" s="3" t="s">
        <v>11230</v>
      </c>
      <c r="M2860" s="3" t="s">
        <v>10977</v>
      </c>
      <c r="N2860" s="6" t="str">
        <f>HYPERLINK("C:\Users\alexa\YandexDisk\Книги\Программирование\Общие вопросы\Мировой_компьютерный_бестселлер_Спрол_Антон_Думай_как_программист.pdf","Мировой_компьютерный_бестселлер_Спрол_Антон_Думай_как_программист.pdf")</f>
        <v>Мировой_компьютерный_бестселлер_Спрол_Антон_Думай_как_программист.pdf</v>
      </c>
      <c r="O2860" s="3" t="s">
        <v>11231</v>
      </c>
    </row>
    <row r="2861" spans="1:15" ht="165.6" x14ac:dyDescent="0.3">
      <c r="A2861" s="4">
        <v>2860</v>
      </c>
      <c r="B2861" s="5" t="s">
        <v>11232</v>
      </c>
      <c r="C2861" s="5" t="s">
        <v>9906</v>
      </c>
      <c r="D2861" s="5" t="s">
        <v>27</v>
      </c>
      <c r="E2861" s="5" t="s">
        <v>18</v>
      </c>
      <c r="F2861" s="5" t="s">
        <v>10975</v>
      </c>
      <c r="G2861" s="5" t="s">
        <v>8458</v>
      </c>
      <c r="H2861" s="5" t="s">
        <v>199</v>
      </c>
      <c r="I2861" s="5" t="s">
        <v>20</v>
      </c>
      <c r="J2861" s="5">
        <v>5.33</v>
      </c>
      <c r="K2861" s="5" t="s">
        <v>21</v>
      </c>
      <c r="L2861" s="5" t="s">
        <v>11233</v>
      </c>
      <c r="M2861" s="5" t="s">
        <v>10977</v>
      </c>
      <c r="N2861" s="7" t="str">
        <f>HYPERLINK("C:\Users\alexa\YandexDisk\Книги\Программирование\Общие вопросы\Объекты Стильное ООП.pdf","Объекты Стильное ООП.pdf")</f>
        <v>Объекты Стильное ООП.pdf</v>
      </c>
      <c r="O2861" s="5" t="s">
        <v>11234</v>
      </c>
    </row>
    <row r="2862" spans="1:15" ht="165.6" x14ac:dyDescent="0.3">
      <c r="A2862" s="2">
        <v>2861</v>
      </c>
      <c r="B2862" s="3" t="s">
        <v>11235</v>
      </c>
      <c r="C2862" s="3" t="s">
        <v>11236</v>
      </c>
      <c r="D2862" s="3" t="s">
        <v>1022</v>
      </c>
      <c r="E2862" s="3" t="s">
        <v>92</v>
      </c>
      <c r="F2862" s="3" t="s">
        <v>10975</v>
      </c>
      <c r="G2862" s="3" t="s">
        <v>8458</v>
      </c>
      <c r="H2862" s="3" t="s">
        <v>199</v>
      </c>
      <c r="I2862" s="3" t="s">
        <v>20</v>
      </c>
      <c r="J2862" s="3">
        <v>18.07</v>
      </c>
      <c r="K2862" s="3" t="s">
        <v>21</v>
      </c>
      <c r="L2862" s="3" t="s">
        <v>11237</v>
      </c>
      <c r="M2862" s="3" t="s">
        <v>10977</v>
      </c>
      <c r="N2862" s="6" t="str">
        <f>HYPERLINK("C:\Users\alexa\YandexDisk\Книги\Программирование\Общие вопросы\Практика програмирования_2015.pdf","Практика програмирования_2015.pdf")</f>
        <v>Практика програмирования_2015.pdf</v>
      </c>
      <c r="O2862" s="3" t="s">
        <v>11238</v>
      </c>
    </row>
    <row r="2863" spans="1:15" ht="151.80000000000001" x14ac:dyDescent="0.3">
      <c r="A2863" s="4">
        <v>2862</v>
      </c>
      <c r="B2863" s="5" t="s">
        <v>11239</v>
      </c>
      <c r="C2863" s="5"/>
      <c r="D2863" s="5"/>
      <c r="E2863" s="5"/>
      <c r="F2863" s="5" t="s">
        <v>10975</v>
      </c>
      <c r="G2863" s="5" t="s">
        <v>8458</v>
      </c>
      <c r="H2863" s="5" t="s">
        <v>199</v>
      </c>
      <c r="I2863" s="5" t="s">
        <v>20</v>
      </c>
      <c r="J2863" s="5">
        <v>106.8</v>
      </c>
      <c r="K2863" s="5" t="s">
        <v>21</v>
      </c>
      <c r="L2863" s="5" t="s">
        <v>11240</v>
      </c>
      <c r="M2863" s="5" t="s">
        <v>10977</v>
      </c>
      <c r="N2863" s="7" t="str">
        <f>HYPERLINK("C:\Users\alexa\YandexDisk\Книги\Программирование\Общие вопросы\Практическое_использование_Common_Lisp.pdf","Практическое_использование_Common_Lisp.pdf")</f>
        <v>Практическое_использование_Common_Lisp.pdf</v>
      </c>
      <c r="O2863" s="5" t="s">
        <v>11241</v>
      </c>
    </row>
    <row r="2864" spans="1:15" ht="179.4" x14ac:dyDescent="0.3">
      <c r="A2864" s="2">
        <v>2863</v>
      </c>
      <c r="B2864" s="3" t="s">
        <v>11242</v>
      </c>
      <c r="C2864" s="3"/>
      <c r="D2864" s="3"/>
      <c r="E2864" s="3"/>
      <c r="F2864" s="3" t="s">
        <v>10975</v>
      </c>
      <c r="G2864" s="3" t="s">
        <v>8458</v>
      </c>
      <c r="H2864" s="3" t="s">
        <v>199</v>
      </c>
      <c r="I2864" s="3" t="s">
        <v>20</v>
      </c>
      <c r="J2864" s="3">
        <v>82.46</v>
      </c>
      <c r="K2864" s="3" t="s">
        <v>21</v>
      </c>
      <c r="L2864" s="3" t="s">
        <v>11243</v>
      </c>
      <c r="M2864" s="3" t="s">
        <v>10977</v>
      </c>
      <c r="N2864" s="6" t="str">
        <f>HYPERLINK("C:\Users\alexa\YandexDisk\Книги\Программирование\Общие вопросы\Предметно_ориентированное_проектирование_DDD_Структуризация_сложных.pdf","Предметно_ориентированное_проектирование_DDD_Структуризация_сложных.pdf")</f>
        <v>Предметно_ориентированное_проектирование_DDD_Структуризация_сложных.pdf</v>
      </c>
      <c r="O2864" s="3" t="s">
        <v>11244</v>
      </c>
    </row>
    <row r="2865" spans="1:15" ht="165.6" x14ac:dyDescent="0.3">
      <c r="A2865" s="4">
        <v>2864</v>
      </c>
      <c r="B2865" s="5" t="s">
        <v>11245</v>
      </c>
      <c r="C2865" s="5" t="s">
        <v>11246</v>
      </c>
      <c r="D2865" s="5" t="s">
        <v>50</v>
      </c>
      <c r="E2865" s="5" t="s">
        <v>766</v>
      </c>
      <c r="F2865" s="5" t="s">
        <v>10975</v>
      </c>
      <c r="G2865" s="5" t="s">
        <v>8458</v>
      </c>
      <c r="H2865" s="5" t="s">
        <v>199</v>
      </c>
      <c r="I2865" s="5" t="s">
        <v>20</v>
      </c>
      <c r="J2865" s="5">
        <v>1.66</v>
      </c>
      <c r="K2865" s="5" t="s">
        <v>21</v>
      </c>
      <c r="L2865" s="5" t="s">
        <v>11247</v>
      </c>
      <c r="M2865" s="5" t="s">
        <v>10977</v>
      </c>
      <c r="N2865" s="7" t="str">
        <f>HYPERLINK("C:\Users\alexa\YandexDisk\Книги\Программирование\Общие вопросы\Программироание - задачи.pdf","Программироание - задачи.pdf")</f>
        <v>Программироание - задачи.pdf</v>
      </c>
      <c r="O2865" s="5" t="s">
        <v>11248</v>
      </c>
    </row>
    <row r="2866" spans="1:15" ht="151.80000000000001" x14ac:dyDescent="0.3">
      <c r="A2866" s="2">
        <v>2865</v>
      </c>
      <c r="B2866" s="3" t="s">
        <v>11249</v>
      </c>
      <c r="C2866" s="3" t="s">
        <v>11250</v>
      </c>
      <c r="D2866" s="3" t="s">
        <v>50</v>
      </c>
      <c r="E2866" s="3" t="s">
        <v>18</v>
      </c>
      <c r="F2866" s="3" t="s">
        <v>10975</v>
      </c>
      <c r="G2866" s="3" t="s">
        <v>8458</v>
      </c>
      <c r="H2866" s="3" t="s">
        <v>199</v>
      </c>
      <c r="I2866" s="3" t="s">
        <v>20</v>
      </c>
      <c r="J2866" s="3">
        <v>5.0999999999999996</v>
      </c>
      <c r="K2866" s="3" t="s">
        <v>21</v>
      </c>
      <c r="L2866" s="3" t="s">
        <v>11251</v>
      </c>
      <c r="M2866" s="3" t="s">
        <v>10977</v>
      </c>
      <c r="N2866" s="6" t="str">
        <f>HYPERLINK("C:\Users\alexa\YandexDisk\Книги\Программирование\Общие вопросы\Программирование без дураков.pdf","Программирование без дураков.pdf")</f>
        <v>Программирование без дураков.pdf</v>
      </c>
      <c r="O2866" s="3" t="s">
        <v>11252</v>
      </c>
    </row>
    <row r="2867" spans="1:15" ht="220.8" x14ac:dyDescent="0.3">
      <c r="A2867" s="4">
        <v>2866</v>
      </c>
      <c r="B2867" s="5" t="s">
        <v>5209</v>
      </c>
      <c r="C2867" s="5" t="s">
        <v>5210</v>
      </c>
      <c r="D2867" s="5" t="s">
        <v>335</v>
      </c>
      <c r="E2867" s="5" t="s">
        <v>515</v>
      </c>
      <c r="F2867" s="5" t="s">
        <v>10975</v>
      </c>
      <c r="G2867" s="5" t="s">
        <v>8458</v>
      </c>
      <c r="H2867" s="5" t="s">
        <v>199</v>
      </c>
      <c r="I2867" s="5" t="s">
        <v>20</v>
      </c>
      <c r="J2867" s="5">
        <v>33.29</v>
      </c>
      <c r="K2867" s="5" t="s">
        <v>21</v>
      </c>
      <c r="L2867" s="5" t="s">
        <v>11253</v>
      </c>
      <c r="M2867" s="5" t="s">
        <v>10977</v>
      </c>
      <c r="N2867" s="7" t="str">
        <f>HYPERLINK("C:\Users\alexa\YandexDisk\Книги\Программирование\Общие вопросы\Программирование с помощью искусственного интеллекта.pdf","Программирование с помощью искусственного интеллекта.pdf")</f>
        <v>Программирование с помощью искусственного интеллекта.pdf</v>
      </c>
      <c r="O2867" s="5" t="s">
        <v>11254</v>
      </c>
    </row>
    <row r="2868" spans="1:15" ht="110.4" x14ac:dyDescent="0.3">
      <c r="A2868" s="2">
        <v>2867</v>
      </c>
      <c r="B2868" s="3" t="s">
        <v>11255</v>
      </c>
      <c r="C2868" s="3"/>
      <c r="D2868" s="3"/>
      <c r="E2868" s="3"/>
      <c r="F2868" s="3" t="s">
        <v>10975</v>
      </c>
      <c r="G2868" s="3" t="s">
        <v>8458</v>
      </c>
      <c r="H2868" s="3" t="s">
        <v>199</v>
      </c>
      <c r="I2868" s="3" t="s">
        <v>20</v>
      </c>
      <c r="J2868" s="3">
        <v>170.06</v>
      </c>
      <c r="K2868" s="3" t="s">
        <v>21</v>
      </c>
      <c r="L2868" s="3" t="s">
        <v>11256</v>
      </c>
      <c r="M2868" s="3" t="s">
        <v>10977</v>
      </c>
      <c r="N2868" s="6" t="str">
        <f>HYPERLINK("C:\Users\alexa\YandexDisk\Книги\Программирование\Общие вопросы\Программирование. МатЛог.pdf","Программирование. МатЛог.pdf")</f>
        <v>Программирование. МатЛог.pdf</v>
      </c>
      <c r="O2868" s="3" t="s">
        <v>11257</v>
      </c>
    </row>
    <row r="2869" spans="1:15" ht="138" x14ac:dyDescent="0.3">
      <c r="A2869" s="4">
        <v>2868</v>
      </c>
      <c r="B2869" s="5" t="s">
        <v>11258</v>
      </c>
      <c r="C2869" s="5"/>
      <c r="D2869" s="5"/>
      <c r="E2869" s="5"/>
      <c r="F2869" s="5" t="s">
        <v>10975</v>
      </c>
      <c r="G2869" s="5" t="s">
        <v>8458</v>
      </c>
      <c r="H2869" s="5" t="s">
        <v>199</v>
      </c>
      <c r="I2869" s="5" t="s">
        <v>20</v>
      </c>
      <c r="J2869" s="5">
        <v>159.28</v>
      </c>
      <c r="K2869" s="5" t="s">
        <v>21</v>
      </c>
      <c r="L2869" s="5" t="s">
        <v>11259</v>
      </c>
      <c r="M2869" s="5" t="s">
        <v>10977</v>
      </c>
      <c r="N2869" s="7" t="str">
        <f>HYPERLINK("C:\Users\alexa\YandexDisk\Книги\Программирование\Общие вопросы\Программирование. Теория типов.pdf","Программирование. Теория типов.pdf")</f>
        <v>Программирование. Теория типов.pdf</v>
      </c>
      <c r="O2869" s="5" t="s">
        <v>11260</v>
      </c>
    </row>
    <row r="2870" spans="1:15" ht="165.6" x14ac:dyDescent="0.3">
      <c r="A2870" s="2">
        <v>2869</v>
      </c>
      <c r="B2870" s="3" t="s">
        <v>11249</v>
      </c>
      <c r="C2870" s="3" t="s">
        <v>11250</v>
      </c>
      <c r="D2870" s="3" t="s">
        <v>50</v>
      </c>
      <c r="E2870" s="3" t="s">
        <v>18</v>
      </c>
      <c r="F2870" s="3" t="s">
        <v>10975</v>
      </c>
      <c r="G2870" s="3" t="s">
        <v>8458</v>
      </c>
      <c r="H2870" s="3" t="s">
        <v>199</v>
      </c>
      <c r="I2870" s="3" t="s">
        <v>20</v>
      </c>
      <c r="J2870" s="3">
        <v>5.01</v>
      </c>
      <c r="K2870" s="3" t="s">
        <v>21</v>
      </c>
      <c r="L2870" s="3" t="s">
        <v>11261</v>
      </c>
      <c r="M2870" s="3" t="s">
        <v>10977</v>
      </c>
      <c r="N2870" s="6" t="str">
        <f>HYPERLINK("C:\Users\alexa\YandexDisk\Книги\Программирование\Общие вопросы\Программирование_без_дураков_Питер.pdf","Программирование_без_дураков_Питер.pdf")</f>
        <v>Программирование_без_дураков_Питер.pdf</v>
      </c>
      <c r="O2870" s="3" t="s">
        <v>11262</v>
      </c>
    </row>
    <row r="2871" spans="1:15" ht="179.4" x14ac:dyDescent="0.3">
      <c r="A2871" s="4">
        <v>2870</v>
      </c>
      <c r="B2871" s="5" t="s">
        <v>11263</v>
      </c>
      <c r="C2871" s="5" t="s">
        <v>10974</v>
      </c>
      <c r="D2871" s="5" t="s">
        <v>59</v>
      </c>
      <c r="E2871" s="5" t="s">
        <v>92</v>
      </c>
      <c r="F2871" s="5" t="s">
        <v>10975</v>
      </c>
      <c r="G2871" s="5" t="s">
        <v>8458</v>
      </c>
      <c r="H2871" s="5" t="s">
        <v>199</v>
      </c>
      <c r="I2871" s="5" t="s">
        <v>20</v>
      </c>
      <c r="J2871" s="5">
        <v>53.19</v>
      </c>
      <c r="K2871" s="5" t="s">
        <v>21</v>
      </c>
      <c r="L2871" s="5" t="s">
        <v>11264</v>
      </c>
      <c r="M2871" s="5" t="s">
        <v>10977</v>
      </c>
      <c r="N2871" s="7" t="str">
        <f>HYPERLINK("C:\Users\alexa\YandexDisk\Книги\Программирование\Общие вопросы\Программист-прогматик 2020.pdf","Программист-прогматик 2020.pdf")</f>
        <v>Программист-прогматик 2020.pdf</v>
      </c>
      <c r="O2871" s="5" t="s">
        <v>11265</v>
      </c>
    </row>
    <row r="2872" spans="1:15" ht="179.4" x14ac:dyDescent="0.3">
      <c r="A2872" s="2">
        <v>2871</v>
      </c>
      <c r="B2872" s="3" t="s">
        <v>11008</v>
      </c>
      <c r="C2872" s="3" t="s">
        <v>11266</v>
      </c>
      <c r="D2872" s="3" t="s">
        <v>77</v>
      </c>
      <c r="E2872" s="3" t="s">
        <v>18</v>
      </c>
      <c r="F2872" s="3" t="s">
        <v>10975</v>
      </c>
      <c r="G2872" s="3" t="s">
        <v>8458</v>
      </c>
      <c r="H2872" s="3" t="s">
        <v>199</v>
      </c>
      <c r="I2872" s="3" t="s">
        <v>20</v>
      </c>
      <c r="J2872" s="3">
        <v>4.71</v>
      </c>
      <c r="K2872" s="3" t="s">
        <v>21</v>
      </c>
      <c r="L2872" s="3" t="s">
        <v>11267</v>
      </c>
      <c r="M2872" s="3" t="s">
        <v>10977</v>
      </c>
      <c r="N2872" s="6" t="str">
        <f>HYPERLINK("C:\Users\alexa\YandexDisk\Книги\Программирование\Общие вопросы\Программист-фанатик.pdf","Программист-фанатик.pdf")</f>
        <v>Программист-фанатик.pdf</v>
      </c>
      <c r="O2872" s="3" t="s">
        <v>11268</v>
      </c>
    </row>
    <row r="2873" spans="1:15" ht="41.4" x14ac:dyDescent="0.3">
      <c r="A2873" s="4">
        <v>2872</v>
      </c>
      <c r="B2873" s="5" t="s">
        <v>11269</v>
      </c>
      <c r="C2873" s="5"/>
      <c r="D2873" s="5"/>
      <c r="E2873" s="5"/>
      <c r="F2873" s="5" t="s">
        <v>10975</v>
      </c>
      <c r="G2873" s="5" t="s">
        <v>8458</v>
      </c>
      <c r="H2873" s="5" t="s">
        <v>199</v>
      </c>
      <c r="I2873" s="5" t="s">
        <v>20</v>
      </c>
      <c r="J2873" s="5">
        <v>172.43</v>
      </c>
      <c r="K2873" s="5" t="s">
        <v>21</v>
      </c>
      <c r="L2873" s="5" t="s">
        <v>11270</v>
      </c>
      <c r="M2873" s="5" t="s">
        <v>10977</v>
      </c>
      <c r="N2873" s="7" t="str">
        <f>HYPERLINK("C:\Users\alexa\YandexDisk\Книги\Программирование\Общие вопросы\Программная инженерия.pdf","Программная инженерия.pdf")</f>
        <v>Программная инженерия.pdf</v>
      </c>
      <c r="O2873" s="5" t="s">
        <v>930</v>
      </c>
    </row>
    <row r="2874" spans="1:15" ht="207" x14ac:dyDescent="0.3">
      <c r="A2874" s="2">
        <v>2873</v>
      </c>
      <c r="B2874" s="3" t="s">
        <v>11171</v>
      </c>
      <c r="C2874" s="3" t="s">
        <v>11172</v>
      </c>
      <c r="D2874" s="3" t="s">
        <v>476</v>
      </c>
      <c r="E2874" s="3" t="s">
        <v>102</v>
      </c>
      <c r="F2874" s="3" t="s">
        <v>10975</v>
      </c>
      <c r="G2874" s="3" t="s">
        <v>8458</v>
      </c>
      <c r="H2874" s="3" t="s">
        <v>199</v>
      </c>
      <c r="I2874" s="3" t="s">
        <v>20</v>
      </c>
      <c r="J2874" s="3">
        <v>75.040000000000006</v>
      </c>
      <c r="K2874" s="3" t="s">
        <v>21</v>
      </c>
      <c r="L2874" s="3" t="s">
        <v>11271</v>
      </c>
      <c r="M2874" s="3" t="s">
        <v>10977</v>
      </c>
      <c r="N2874" s="6" t="str">
        <f>HYPERLINK("C:\Users\alexa\YandexDisk\Книги\Программирование\Общие вопросы\Проектирование ПО Функциональный подход  2013.pdf","Проектирование ПО Функциональный подход  2013.pdf")</f>
        <v>Проектирование ПО Функциональный подход  2013.pdf</v>
      </c>
      <c r="O2874" s="3" t="s">
        <v>11272</v>
      </c>
    </row>
    <row r="2875" spans="1:15" ht="165.6" x14ac:dyDescent="0.3">
      <c r="A2875" s="4">
        <v>2874</v>
      </c>
      <c r="B2875" s="5" t="s">
        <v>10983</v>
      </c>
      <c r="C2875" s="5" t="s">
        <v>10984</v>
      </c>
      <c r="D2875" s="5" t="s">
        <v>114</v>
      </c>
      <c r="E2875" s="5" t="s">
        <v>18</v>
      </c>
      <c r="F2875" s="5" t="s">
        <v>10975</v>
      </c>
      <c r="G2875" s="5" t="s">
        <v>8458</v>
      </c>
      <c r="H2875" s="5" t="s">
        <v>199</v>
      </c>
      <c r="I2875" s="5" t="s">
        <v>20</v>
      </c>
      <c r="J2875" s="5">
        <v>16.64</v>
      </c>
      <c r="K2875" s="5" t="s">
        <v>21</v>
      </c>
      <c r="L2875" s="5" t="s">
        <v>11273</v>
      </c>
      <c r="M2875" s="5" t="s">
        <v>10977</v>
      </c>
      <c r="N2875" s="7" t="str">
        <f>HYPERLINK("C:\Users\alexa\YandexDisk\Книги\Программирование\Общие вопросы\Путь программиста.pdf","Путь программиста.pdf")</f>
        <v>Путь программиста.pdf</v>
      </c>
      <c r="O2875" s="5" t="s">
        <v>11274</v>
      </c>
    </row>
    <row r="2876" spans="1:15" ht="151.80000000000001" x14ac:dyDescent="0.3">
      <c r="A2876" s="2">
        <v>2875</v>
      </c>
      <c r="B2876" s="3" t="s">
        <v>11275</v>
      </c>
      <c r="C2876" s="3" t="s">
        <v>11276</v>
      </c>
      <c r="D2876" s="3" t="s">
        <v>32</v>
      </c>
      <c r="E2876" s="3" t="s">
        <v>18</v>
      </c>
      <c r="F2876" s="3" t="s">
        <v>10975</v>
      </c>
      <c r="G2876" s="3" t="s">
        <v>8458</v>
      </c>
      <c r="H2876" s="3" t="s">
        <v>199</v>
      </c>
      <c r="I2876" s="3" t="s">
        <v>20</v>
      </c>
      <c r="J2876" s="3">
        <v>9.2899999999999991</v>
      </c>
      <c r="K2876" s="3" t="s">
        <v>21</v>
      </c>
      <c r="L2876" s="3" t="s">
        <v>11277</v>
      </c>
      <c r="M2876" s="3" t="s">
        <v>10977</v>
      </c>
      <c r="N2876" s="6" t="str">
        <f>HYPERLINK("C:\Users\alexa\YandexDisk\Книги\Программирование\Общие вопросы\Регулярные выражения 2018.pdf","Регулярные выражения 2018.pdf")</f>
        <v>Регулярные выражения 2018.pdf</v>
      </c>
      <c r="O2876" s="3" t="s">
        <v>11278</v>
      </c>
    </row>
    <row r="2877" spans="1:15" ht="151.80000000000001" x14ac:dyDescent="0.3">
      <c r="A2877" s="4">
        <v>2876</v>
      </c>
      <c r="B2877" s="5" t="s">
        <v>11279</v>
      </c>
      <c r="C2877" s="5" t="s">
        <v>10236</v>
      </c>
      <c r="D2877" s="5" t="s">
        <v>27</v>
      </c>
      <c r="E2877" s="5" t="s">
        <v>18</v>
      </c>
      <c r="F2877" s="5" t="s">
        <v>10975</v>
      </c>
      <c r="G2877" s="5" t="s">
        <v>8458</v>
      </c>
      <c r="H2877" s="5" t="s">
        <v>199</v>
      </c>
      <c r="I2877" s="5" t="s">
        <v>20</v>
      </c>
      <c r="J2877" s="5">
        <v>9.17</v>
      </c>
      <c r="K2877" s="5" t="s">
        <v>21</v>
      </c>
      <c r="L2877" s="5" t="s">
        <v>11280</v>
      </c>
      <c r="M2877" s="5" t="s">
        <v>10977</v>
      </c>
      <c r="N2877" s="7" t="str">
        <f>HYPERLINK("C:\Users\alexa\YandexDisk\Книги\Программирование\Общие вопросы\Рекурсивная книга.pdf","Рекурсивная книга.pdf")</f>
        <v>Рекурсивная книга.pdf</v>
      </c>
      <c r="O2877" s="5" t="s">
        <v>11281</v>
      </c>
    </row>
    <row r="2878" spans="1:15" ht="151.80000000000001" x14ac:dyDescent="0.3">
      <c r="A2878" s="2">
        <v>2877</v>
      </c>
      <c r="B2878" s="3" t="s">
        <v>11282</v>
      </c>
      <c r="C2878" s="3" t="s">
        <v>11283</v>
      </c>
      <c r="D2878" s="3" t="s">
        <v>2624</v>
      </c>
      <c r="E2878" s="3" t="s">
        <v>1566</v>
      </c>
      <c r="F2878" s="3" t="s">
        <v>10975</v>
      </c>
      <c r="G2878" s="3" t="s">
        <v>8458</v>
      </c>
      <c r="H2878" s="3" t="s">
        <v>199</v>
      </c>
      <c r="I2878" s="3" t="s">
        <v>20</v>
      </c>
      <c r="J2878" s="3">
        <v>8.66</v>
      </c>
      <c r="K2878" s="3" t="s">
        <v>21</v>
      </c>
      <c r="L2878" s="3" t="s">
        <v>11284</v>
      </c>
      <c r="M2878" s="3" t="s">
        <v>10977</v>
      </c>
      <c r="N2878" s="6" t="str">
        <f>HYPERLINK("C:\Users\alexa\YandexDisk\Книги\Программирование\Общие вопросы\Ремесло_программиста_Практика_написания_хорошего_кода.pdf","Ремесло_программиста_Практика_написания_хорошего_кода.pdf")</f>
        <v>Ремесло_программиста_Практика_написания_хорошего_кода.pdf</v>
      </c>
      <c r="O2878" s="3" t="s">
        <v>11285</v>
      </c>
    </row>
    <row r="2879" spans="1:15" ht="179.4" x14ac:dyDescent="0.3">
      <c r="A2879" s="4">
        <v>2878</v>
      </c>
      <c r="B2879" s="5" t="s">
        <v>11059</v>
      </c>
      <c r="C2879" s="5" t="s">
        <v>11286</v>
      </c>
      <c r="D2879" s="5" t="s">
        <v>77</v>
      </c>
      <c r="E2879" s="5" t="s">
        <v>1431</v>
      </c>
      <c r="F2879" s="5" t="s">
        <v>10975</v>
      </c>
      <c r="G2879" s="5" t="s">
        <v>8458</v>
      </c>
      <c r="H2879" s="5" t="s">
        <v>199</v>
      </c>
      <c r="I2879" s="5" t="s">
        <v>20</v>
      </c>
      <c r="J2879" s="5">
        <v>7.51</v>
      </c>
      <c r="K2879" s="5" t="s">
        <v>21</v>
      </c>
      <c r="L2879" s="5" t="s">
        <v>11287</v>
      </c>
      <c r="M2879" s="5" t="s">
        <v>10977</v>
      </c>
      <c r="N2879" s="7" t="str">
        <f>HYPERLINK("C:\Users\alexa\YandexDisk\Книги\Программирование\Общие вопросы\Рефакторинг улучшение проекта.pdf","Рефакторинг улучшение проекта.pdf")</f>
        <v>Рефакторинг улучшение проекта.pdf</v>
      </c>
      <c r="O2879" s="5" t="s">
        <v>11288</v>
      </c>
    </row>
    <row r="2880" spans="1:15" ht="193.2" x14ac:dyDescent="0.3">
      <c r="A2880" s="2">
        <v>2879</v>
      </c>
      <c r="B2880" s="3" t="s">
        <v>11171</v>
      </c>
      <c r="C2880" s="3" t="s">
        <v>11172</v>
      </c>
      <c r="D2880" s="3" t="s">
        <v>476</v>
      </c>
      <c r="E2880" s="3" t="s">
        <v>97</v>
      </c>
      <c r="F2880" s="3" t="s">
        <v>10975</v>
      </c>
      <c r="G2880" s="3" t="s">
        <v>8458</v>
      </c>
      <c r="H2880" s="3" t="s">
        <v>199</v>
      </c>
      <c r="I2880" s="3" t="s">
        <v>20</v>
      </c>
      <c r="J2880" s="3">
        <v>75.12</v>
      </c>
      <c r="K2880" s="3" t="s">
        <v>21</v>
      </c>
      <c r="L2880" s="3" t="s">
        <v>11289</v>
      </c>
      <c r="M2880" s="3" t="s">
        <v>10977</v>
      </c>
      <c r="N2880" s="6" t="str">
        <f>HYPERLINK("C:\Users\alexa\YandexDisk\Книги\Программирование\Общие вопросы\Ричард_Берд_Жемчужины_проектирования_алгоритмов_функциональный_подход.pdf","Ричард_Берд_Жемчужины_проектирования_алгоритмов_функциональный_подход.pdf")</f>
        <v>Ричард_Берд_Жемчужины_проектирования_алгоритмов_функциональный_подход.pdf</v>
      </c>
      <c r="O2880" s="3" t="s">
        <v>11290</v>
      </c>
    </row>
    <row r="2881" spans="1:15" ht="207" x14ac:dyDescent="0.3">
      <c r="A2881" s="4">
        <v>2880</v>
      </c>
      <c r="B2881" s="5" t="s">
        <v>11291</v>
      </c>
      <c r="C2881" s="5" t="s">
        <v>8611</v>
      </c>
      <c r="D2881" s="5" t="s">
        <v>27</v>
      </c>
      <c r="E2881" s="5" t="s">
        <v>18</v>
      </c>
      <c r="F2881" s="5" t="s">
        <v>10975</v>
      </c>
      <c r="G2881" s="5" t="s">
        <v>8458</v>
      </c>
      <c r="H2881" s="5" t="s">
        <v>199</v>
      </c>
      <c r="I2881" s="5" t="s">
        <v>20</v>
      </c>
      <c r="J2881" s="5">
        <v>4.12</v>
      </c>
      <c r="K2881" s="5" t="s">
        <v>21</v>
      </c>
      <c r="L2881" s="5" t="s">
        <v>11292</v>
      </c>
      <c r="M2881" s="5" t="s">
        <v>10977</v>
      </c>
      <c r="N2881" s="7" t="str">
        <f>HYPERLINK("C:\Users\alexa\YandexDisk\Книги\Программирование\Общие вопросы\Роберт Мартин рекомендует.pdf","Роберт Мартин рекомендует.pdf")</f>
        <v>Роберт Мартин рекомендует.pdf</v>
      </c>
      <c r="O2881" s="5" t="s">
        <v>11293</v>
      </c>
    </row>
    <row r="2882" spans="1:15" ht="165.6" x14ac:dyDescent="0.3">
      <c r="A2882" s="2">
        <v>2881</v>
      </c>
      <c r="B2882" s="3" t="s">
        <v>11294</v>
      </c>
      <c r="C2882" s="3" t="s">
        <v>11295</v>
      </c>
      <c r="D2882" s="3" t="s">
        <v>17</v>
      </c>
      <c r="E2882" s="3" t="s">
        <v>18</v>
      </c>
      <c r="F2882" s="3" t="s">
        <v>10975</v>
      </c>
      <c r="G2882" s="3" t="s">
        <v>8458</v>
      </c>
      <c r="H2882" s="3" t="s">
        <v>199</v>
      </c>
      <c r="I2882" s="3" t="s">
        <v>20</v>
      </c>
      <c r="J2882" s="3">
        <v>3.42</v>
      </c>
      <c r="K2882" s="3" t="s">
        <v>21</v>
      </c>
      <c r="L2882" s="3" t="s">
        <v>11296</v>
      </c>
      <c r="M2882" s="3" t="s">
        <v>10977</v>
      </c>
      <c r="N2882" s="6" t="str">
        <f>HYPERLINK("C:\Users\alexa\YandexDisk\Книги\Программирование\Общие вопросы\Совершенный софт.pdf","Совершенный софт.pdf")</f>
        <v>Совершенный софт.pdf</v>
      </c>
      <c r="O2882" s="3" t="s">
        <v>11297</v>
      </c>
    </row>
    <row r="2883" spans="1:15" ht="151.80000000000001" x14ac:dyDescent="0.3">
      <c r="A2883" s="4">
        <v>2882</v>
      </c>
      <c r="B2883" s="5" t="s">
        <v>11298</v>
      </c>
      <c r="C2883" s="5" t="s">
        <v>11299</v>
      </c>
      <c r="D2883" s="5"/>
      <c r="E2883" s="5"/>
      <c r="F2883" s="5" t="s">
        <v>10975</v>
      </c>
      <c r="G2883" s="5" t="s">
        <v>8458</v>
      </c>
      <c r="H2883" s="5" t="s">
        <v>199</v>
      </c>
      <c r="I2883" s="5" t="s">
        <v>20</v>
      </c>
      <c r="J2883" s="5">
        <v>0.74</v>
      </c>
      <c r="K2883" s="5" t="s">
        <v>21</v>
      </c>
      <c r="L2883" s="5" t="s">
        <v>11300</v>
      </c>
      <c r="M2883" s="5" t="s">
        <v>10977</v>
      </c>
      <c r="N2883" s="7" t="str">
        <f>HYPERLINK("C:\Users\alexa\YandexDisk\Книги\Программирование\Общие вопросы\СтоляровАВ_Оформление_программного_кода.pdf","СтоляровАВ_Оформление_программного_кода.pdf")</f>
        <v>СтоляровАВ_Оформление_программного_кода.pdf</v>
      </c>
      <c r="O2883" s="5" t="s">
        <v>11301</v>
      </c>
    </row>
    <row r="2884" spans="1:15" ht="179.4" x14ac:dyDescent="0.3">
      <c r="A2884" s="2">
        <v>2883</v>
      </c>
      <c r="B2884" s="3" t="s">
        <v>11302</v>
      </c>
      <c r="C2884" s="3"/>
      <c r="D2884" s="3"/>
      <c r="E2884" s="3"/>
      <c r="F2884" s="3" t="s">
        <v>10975</v>
      </c>
      <c r="G2884" s="3" t="s">
        <v>8458</v>
      </c>
      <c r="H2884" s="3" t="s">
        <v>199</v>
      </c>
      <c r="I2884" s="3" t="s">
        <v>519</v>
      </c>
      <c r="J2884" s="3">
        <v>3.54</v>
      </c>
      <c r="K2884" s="3" t="s">
        <v>21</v>
      </c>
      <c r="L2884" s="3" t="s">
        <v>11303</v>
      </c>
      <c r="M2884" s="3" t="s">
        <v>10977</v>
      </c>
      <c r="N2884" s="6" t="str">
        <f>HYPERLINK("C:\Users\alexa\YandexDisk\Книги\Программирование\Общие вопросы\Страницы истории отечественных ИТ.zip","Страницы истории отечественных ИТ.zip")</f>
        <v>Страницы истории отечественных ИТ.zip</v>
      </c>
      <c r="O2884" s="3" t="s">
        <v>11304</v>
      </c>
    </row>
    <row r="2885" spans="1:15" ht="138" x14ac:dyDescent="0.3">
      <c r="A2885" s="4">
        <v>2884</v>
      </c>
      <c r="B2885" s="5" t="s">
        <v>920</v>
      </c>
      <c r="C2885" s="5" t="s">
        <v>11305</v>
      </c>
      <c r="D2885" s="5" t="s">
        <v>17</v>
      </c>
      <c r="E2885" s="5" t="s">
        <v>11306</v>
      </c>
      <c r="F2885" s="5" t="s">
        <v>10975</v>
      </c>
      <c r="G2885" s="5" t="s">
        <v>8458</v>
      </c>
      <c r="H2885" s="5" t="s">
        <v>199</v>
      </c>
      <c r="I2885" s="5" t="s">
        <v>20</v>
      </c>
      <c r="J2885" s="5">
        <v>22.9</v>
      </c>
      <c r="K2885" s="5" t="s">
        <v>21</v>
      </c>
      <c r="L2885" s="5" t="s">
        <v>921</v>
      </c>
      <c r="M2885" s="5" t="s">
        <v>10977</v>
      </c>
      <c r="N2885" s="7" t="str">
        <f>HYPERLINK("C:\Users\alexa\YandexDisk\Книги\Программирование\Общие вопросы\Структуры данных и алгоритмы.pdf","Структуры данных и алгоритмы.pdf")</f>
        <v>Структуры данных и алгоритмы.pdf</v>
      </c>
      <c r="O2885" s="5" t="s">
        <v>11307</v>
      </c>
    </row>
    <row r="2886" spans="1:15" ht="165.6" x14ac:dyDescent="0.3">
      <c r="A2886" s="2">
        <v>2885</v>
      </c>
      <c r="B2886" s="3" t="s">
        <v>11308</v>
      </c>
      <c r="C2886" s="3" t="s">
        <v>11309</v>
      </c>
      <c r="D2886" s="3" t="s">
        <v>27</v>
      </c>
      <c r="E2886" s="3" t="s">
        <v>18</v>
      </c>
      <c r="F2886" s="3" t="s">
        <v>10975</v>
      </c>
      <c r="G2886" s="3" t="s">
        <v>8458</v>
      </c>
      <c r="H2886" s="3" t="s">
        <v>199</v>
      </c>
      <c r="I2886" s="3" t="s">
        <v>20</v>
      </c>
      <c r="J2886" s="3">
        <v>13.08</v>
      </c>
      <c r="K2886" s="3" t="s">
        <v>21</v>
      </c>
      <c r="L2886" s="3" t="s">
        <v>11310</v>
      </c>
      <c r="M2886" s="3" t="s">
        <v>10977</v>
      </c>
      <c r="N2886" s="6" t="str">
        <f>HYPERLINK("C:\Users\alexa\YandexDisk\Книги\Программирование\Общие вопросы\Тайная_жизнь_программ_Как_создать_код,_который_понравится_вашему.pdf","Тайная_жизнь_программ_Как_создать_код,_который_понравится_вашему.pdf")</f>
        <v>Тайная_жизнь_программ_Как_создать_код,_который_понравится_вашему.pdf</v>
      </c>
      <c r="O2886" s="3" t="s">
        <v>11311</v>
      </c>
    </row>
    <row r="2887" spans="1:15" ht="151.80000000000001" x14ac:dyDescent="0.3">
      <c r="A2887" s="4">
        <v>2886</v>
      </c>
      <c r="B2887" s="5" t="s">
        <v>11312</v>
      </c>
      <c r="C2887" s="5" t="s">
        <v>11313</v>
      </c>
      <c r="D2887" s="5"/>
      <c r="E2887" s="5"/>
      <c r="F2887" s="5" t="s">
        <v>10975</v>
      </c>
      <c r="G2887" s="5" t="s">
        <v>8458</v>
      </c>
      <c r="H2887" s="5" t="s">
        <v>199</v>
      </c>
      <c r="I2887" s="5" t="s">
        <v>20</v>
      </c>
      <c r="J2887" s="5">
        <v>4.05</v>
      </c>
      <c r="K2887" s="5" t="s">
        <v>21</v>
      </c>
      <c r="L2887" s="5" t="s">
        <v>11314</v>
      </c>
      <c r="M2887" s="5" t="s">
        <v>10977</v>
      </c>
      <c r="N2887" s="7" t="str">
        <f>HYPERLINK("C:\Users\alexa\YandexDisk\Книги\Программирование\Общие вопросы\Теория_Программирования_Станислав_Лезвиев_2.pdf","Теория_Программирования_Станислав_Лезвиев_2.pdf")</f>
        <v>Теория_Программирования_Станислав_Лезвиев_2.pdf</v>
      </c>
      <c r="O2887" s="5" t="s">
        <v>11315</v>
      </c>
    </row>
    <row r="2888" spans="1:15" ht="165.6" x14ac:dyDescent="0.3">
      <c r="A2888" s="2">
        <v>2887</v>
      </c>
      <c r="B2888" s="3" t="s">
        <v>11316</v>
      </c>
      <c r="C2888" s="3"/>
      <c r="D2888" s="3"/>
      <c r="E2888" s="3"/>
      <c r="F2888" s="3" t="s">
        <v>10975</v>
      </c>
      <c r="G2888" s="3" t="s">
        <v>8458</v>
      </c>
      <c r="H2888" s="3" t="s">
        <v>199</v>
      </c>
      <c r="I2888" s="3" t="s">
        <v>20</v>
      </c>
      <c r="J2888" s="3">
        <v>13.57</v>
      </c>
      <c r="K2888" s="3" t="s">
        <v>21</v>
      </c>
      <c r="L2888" s="3" t="s">
        <v>11317</v>
      </c>
      <c r="M2888" s="3" t="s">
        <v>10977</v>
      </c>
      <c r="N2888" s="6" t="str">
        <f>HYPERLINK("C:\Users\alexa\YandexDisk\Книги\Программирование\Общие вопросы\Технология CUDA.pdf","Технология CUDA.pdf")</f>
        <v>Технология CUDA.pdf</v>
      </c>
      <c r="O2888" s="3" t="s">
        <v>11318</v>
      </c>
    </row>
    <row r="2889" spans="1:15" ht="124.2" x14ac:dyDescent="0.3">
      <c r="A2889" s="4">
        <v>2888</v>
      </c>
      <c r="B2889" s="5" t="s">
        <v>11319</v>
      </c>
      <c r="C2889" s="5"/>
      <c r="D2889" s="5"/>
      <c r="E2889" s="5"/>
      <c r="F2889" s="5" t="s">
        <v>10975</v>
      </c>
      <c r="G2889" s="5" t="s">
        <v>8458</v>
      </c>
      <c r="H2889" s="5" t="s">
        <v>199</v>
      </c>
      <c r="I2889" s="5" t="s">
        <v>20</v>
      </c>
      <c r="J2889" s="5">
        <v>28.44</v>
      </c>
      <c r="K2889" s="5" t="s">
        <v>21</v>
      </c>
      <c r="L2889" s="5" t="s">
        <v>11320</v>
      </c>
      <c r="M2889" s="5" t="s">
        <v>10977</v>
      </c>
      <c r="N2889" s="7" t="str">
        <f>HYPERLINK("C:\Users\alexa\YandexDisk\Книги\Программирование\Общие вопросы\Технология_программирования.pdf","Технология_программирования.pdf")</f>
        <v>Технология_программирования.pdf</v>
      </c>
      <c r="O2889" s="5" t="s">
        <v>11321</v>
      </c>
    </row>
    <row r="2890" spans="1:15" ht="41.4" x14ac:dyDescent="0.3">
      <c r="A2890" s="2">
        <v>2889</v>
      </c>
      <c r="B2890" s="3" t="s">
        <v>11322</v>
      </c>
      <c r="C2890" s="3"/>
      <c r="D2890" s="3"/>
      <c r="E2890" s="3"/>
      <c r="F2890" s="3" t="s">
        <v>10975</v>
      </c>
      <c r="G2890" s="3" t="s">
        <v>8458</v>
      </c>
      <c r="H2890" s="3" t="s">
        <v>199</v>
      </c>
      <c r="I2890" s="3" t="s">
        <v>20</v>
      </c>
      <c r="J2890" s="3">
        <v>2.94</v>
      </c>
      <c r="K2890" s="3" t="s">
        <v>21</v>
      </c>
      <c r="L2890" s="3" t="s">
        <v>11323</v>
      </c>
      <c r="M2890" s="3" t="s">
        <v>10977</v>
      </c>
      <c r="N2890" s="6" t="str">
        <f>HYPERLINK("C:\Users\alexa\YandexDisk\Книги\Программирование\Общие вопросы\Том_2_Низкоуровневое_программирование.pdf","Том_2_Низкоуровневое_программирование.pdf")</f>
        <v>Том_2_Низкоуровневое_программирование.pdf</v>
      </c>
      <c r="O2890" s="3" t="s">
        <v>930</v>
      </c>
    </row>
    <row r="2891" spans="1:15" ht="207" x14ac:dyDescent="0.3">
      <c r="A2891" s="4">
        <v>2890</v>
      </c>
      <c r="B2891" s="5" t="s">
        <v>11324</v>
      </c>
      <c r="C2891" s="5" t="s">
        <v>11325</v>
      </c>
      <c r="D2891" s="5" t="s">
        <v>27</v>
      </c>
      <c r="E2891" s="5" t="s">
        <v>402</v>
      </c>
      <c r="F2891" s="5" t="s">
        <v>10975</v>
      </c>
      <c r="G2891" s="5" t="s">
        <v>8458</v>
      </c>
      <c r="H2891" s="5" t="s">
        <v>199</v>
      </c>
      <c r="I2891" s="5" t="s">
        <v>20</v>
      </c>
      <c r="J2891" s="5">
        <v>20.149999999999999</v>
      </c>
      <c r="K2891" s="5" t="s">
        <v>21</v>
      </c>
      <c r="L2891" s="5" t="s">
        <v>11326</v>
      </c>
      <c r="M2891" s="5" t="s">
        <v>10977</v>
      </c>
      <c r="N2891" s="7" t="str">
        <f>HYPERLINK("C:\Users\alexa\YandexDisk\Книги\Программирование\Общие вопросы\Ум программиста.pdf","Ум программиста.pdf")</f>
        <v>Ум программиста.pdf</v>
      </c>
      <c r="O2891" s="5" t="s">
        <v>11327</v>
      </c>
    </row>
    <row r="2892" spans="1:15" ht="207" x14ac:dyDescent="0.3">
      <c r="A2892" s="2">
        <v>2891</v>
      </c>
      <c r="B2892" s="3" t="s">
        <v>11328</v>
      </c>
      <c r="C2892" s="3" t="s">
        <v>11329</v>
      </c>
      <c r="D2892" s="3" t="s">
        <v>77</v>
      </c>
      <c r="E2892" s="3" t="s">
        <v>1431</v>
      </c>
      <c r="F2892" s="3" t="s">
        <v>10975</v>
      </c>
      <c r="G2892" s="3" t="s">
        <v>8458</v>
      </c>
      <c r="H2892" s="3" t="s">
        <v>199</v>
      </c>
      <c r="I2892" s="3" t="s">
        <v>20</v>
      </c>
      <c r="J2892" s="3">
        <v>36.93</v>
      </c>
      <c r="K2892" s="3" t="s">
        <v>21</v>
      </c>
      <c r="L2892" s="3" t="s">
        <v>11330</v>
      </c>
      <c r="M2892" s="3" t="s">
        <v>10977</v>
      </c>
      <c r="N2892" s="6" t="str">
        <f>HYPERLINK("C:\Users\alexa\YandexDisk\Книги\Программирование\Общие вопросы\Фаулер_М_Рефакторинг_Улучшение_проекта_2019.pdf","Фаулер_М_Рефакторинг_Улучшение_проекта_2019.pdf")</f>
        <v>Фаулер_М_Рефакторинг_Улучшение_проекта_2019.pdf</v>
      </c>
      <c r="O2892" s="3" t="s">
        <v>11331</v>
      </c>
    </row>
    <row r="2893" spans="1:15" ht="179.4" x14ac:dyDescent="0.3">
      <c r="A2893" s="4">
        <v>2892</v>
      </c>
      <c r="B2893" s="5" t="s">
        <v>11332</v>
      </c>
      <c r="C2893" s="5" t="s">
        <v>11333</v>
      </c>
      <c r="D2893" s="5" t="s">
        <v>1022</v>
      </c>
      <c r="E2893" s="5"/>
      <c r="F2893" s="5" t="s">
        <v>10975</v>
      </c>
      <c r="G2893" s="5" t="s">
        <v>8458</v>
      </c>
      <c r="H2893" s="5" t="s">
        <v>199</v>
      </c>
      <c r="I2893" s="5" t="s">
        <v>721</v>
      </c>
      <c r="J2893" s="5">
        <v>4.58</v>
      </c>
      <c r="K2893" s="5" t="s">
        <v>21</v>
      </c>
      <c r="L2893" s="5" t="s">
        <v>11334</v>
      </c>
      <c r="M2893" s="5" t="s">
        <v>10977</v>
      </c>
      <c r="N2893" s="7" t="str">
        <f>HYPERLINK("C:\Users\alexa\YandexDisk\Книги\Программирование\Общие вопросы\Фицджеральд М. - Регулярные выражения. Основы - 2015.djvu","Фицджеральд М. - Регулярные выражения. Основы - 2015.djvu")</f>
        <v>Фицджеральд М. - Регулярные выражения. Основы - 2015.djvu</v>
      </c>
      <c r="O2893" s="5" t="s">
        <v>11335</v>
      </c>
    </row>
    <row r="2894" spans="1:15" ht="179.4" x14ac:dyDescent="0.3">
      <c r="A2894" s="2">
        <v>2893</v>
      </c>
      <c r="B2894" s="3" t="s">
        <v>11336</v>
      </c>
      <c r="C2894" s="3" t="s">
        <v>11337</v>
      </c>
      <c r="D2894" s="3"/>
      <c r="E2894" s="3"/>
      <c r="F2894" s="3" t="s">
        <v>10975</v>
      </c>
      <c r="G2894" s="3" t="s">
        <v>8458</v>
      </c>
      <c r="H2894" s="3" t="s">
        <v>199</v>
      </c>
      <c r="I2894" s="3" t="s">
        <v>20</v>
      </c>
      <c r="J2894" s="3">
        <v>39.270000000000003</v>
      </c>
      <c r="K2894" s="3" t="s">
        <v>21</v>
      </c>
      <c r="L2894" s="3" t="s">
        <v>11338</v>
      </c>
      <c r="M2894" s="3" t="s">
        <v>10977</v>
      </c>
      <c r="N2894" s="6" t="str">
        <f>HYPERLINK("C:\Users\alexa\YandexDisk\Книги\Программирование\Общие вопросы\Читаемый_код,_или_Программирование_как_искусство.pdf","Читаемый_код,_или_Программирование_как_искусство.pdf")</f>
        <v>Читаемый_код,_или_Программирование_как_искусство.pdf</v>
      </c>
      <c r="O2894" s="3" t="s">
        <v>11339</v>
      </c>
    </row>
    <row r="2895" spans="1:15" ht="151.80000000000001" x14ac:dyDescent="0.3">
      <c r="A2895" s="4">
        <v>2894</v>
      </c>
      <c r="B2895" s="5" t="s">
        <v>11245</v>
      </c>
      <c r="C2895" s="5" t="s">
        <v>11340</v>
      </c>
      <c r="D2895" s="5" t="s">
        <v>50</v>
      </c>
      <c r="E2895" s="5" t="s">
        <v>766</v>
      </c>
      <c r="F2895" s="5" t="s">
        <v>10975</v>
      </c>
      <c r="G2895" s="5" t="s">
        <v>8458</v>
      </c>
      <c r="H2895" s="5" t="s">
        <v>199</v>
      </c>
      <c r="I2895" s="5" t="s">
        <v>20</v>
      </c>
      <c r="J2895" s="5">
        <v>1.25</v>
      </c>
      <c r="K2895" s="5" t="s">
        <v>21</v>
      </c>
      <c r="L2895" s="5" t="s">
        <v>11341</v>
      </c>
      <c r="M2895" s="5" t="s">
        <v>10977</v>
      </c>
      <c r="N2895" s="7" t="str">
        <f>HYPERLINK("C:\Users\alexa\YandexDisk\Книги\Программирование\Общие вопросы\Шень - программирование и задачи.pdf","Шень - программирование и задачи.pdf")</f>
        <v>Шень - программирование и задачи.pdf</v>
      </c>
      <c r="O2895" s="5" t="s">
        <v>11342</v>
      </c>
    </row>
    <row r="2896" spans="1:15" ht="193.2" x14ac:dyDescent="0.3">
      <c r="A2896" s="2">
        <v>2895</v>
      </c>
      <c r="B2896" s="3" t="s">
        <v>11343</v>
      </c>
      <c r="C2896" s="3" t="s">
        <v>9811</v>
      </c>
      <c r="D2896" s="3"/>
      <c r="E2896" s="3"/>
      <c r="F2896" s="3" t="s">
        <v>11344</v>
      </c>
      <c r="G2896" s="3" t="s">
        <v>8458</v>
      </c>
      <c r="H2896" s="3" t="s">
        <v>11345</v>
      </c>
      <c r="I2896" s="3" t="s">
        <v>20</v>
      </c>
      <c r="J2896" s="3">
        <v>16.579999999999998</v>
      </c>
      <c r="K2896" s="3" t="s">
        <v>21</v>
      </c>
      <c r="L2896" s="3" t="s">
        <v>11346</v>
      </c>
      <c r="M2896" s="3" t="s">
        <v>11347</v>
      </c>
      <c r="N2896" s="6" t="str">
        <f>HYPERLINK("C:\Users\alexa\YandexDisk\Книги\Программирование\Паттерны проектирования\Brett_Maklaflin_-_Obektno-orientirovanny_anal.pdf","Brett_Maklaflin_-_Obektno-orientirovanny_anal.pdf")</f>
        <v>Brett_Maklaflin_-_Obektno-orientirovanny_anal.pdf</v>
      </c>
      <c r="O2896" s="3" t="s">
        <v>11348</v>
      </c>
    </row>
    <row r="2897" spans="1:15" ht="248.4" x14ac:dyDescent="0.3">
      <c r="A2897" s="4">
        <v>2896</v>
      </c>
      <c r="B2897" s="5" t="s">
        <v>11349</v>
      </c>
      <c r="C2897" s="5" t="s">
        <v>11350</v>
      </c>
      <c r="D2897" s="5" t="s">
        <v>7081</v>
      </c>
      <c r="E2897" s="5"/>
      <c r="F2897" s="5" t="s">
        <v>11344</v>
      </c>
      <c r="G2897" s="5" t="s">
        <v>8458</v>
      </c>
      <c r="H2897" s="5" t="s">
        <v>11345</v>
      </c>
      <c r="I2897" s="5" t="s">
        <v>20</v>
      </c>
      <c r="J2897" s="5">
        <v>26.85</v>
      </c>
      <c r="K2897" s="5" t="s">
        <v>21</v>
      </c>
      <c r="L2897" s="5" t="s">
        <v>11351</v>
      </c>
      <c r="M2897" s="5" t="s">
        <v>11347</v>
      </c>
      <c r="N2897" s="7" t="str">
        <f>HYPERLINK("C:\Users\alexa\YandexDisk\Книги\Программирование\Паттерны проектирования\Buch_G_-_Obektno-orientirovannoe_programmirovanie_s_primerami_primenenia_-_1992.pdf","Buch_G_-_Obektno-orientirovannoe_programmirovanie_s_primerami_primenenia_-_1992.pdf")</f>
        <v>Buch_G_-_Obektno-orientirovannoe_programmirovanie_s_primerami_primenenia_-_1992.pdf</v>
      </c>
      <c r="O2897" s="5" t="s">
        <v>11352</v>
      </c>
    </row>
    <row r="2898" spans="1:15" ht="151.80000000000001" x14ac:dyDescent="0.3">
      <c r="A2898" s="2">
        <v>2897</v>
      </c>
      <c r="B2898" s="3" t="s">
        <v>11353</v>
      </c>
      <c r="C2898" s="3" t="s">
        <v>11354</v>
      </c>
      <c r="D2898" s="3" t="s">
        <v>71</v>
      </c>
      <c r="E2898" s="3"/>
      <c r="F2898" s="3" t="s">
        <v>11344</v>
      </c>
      <c r="G2898" s="3" t="s">
        <v>8458</v>
      </c>
      <c r="H2898" s="3" t="s">
        <v>11345</v>
      </c>
      <c r="I2898" s="3" t="s">
        <v>20</v>
      </c>
      <c r="J2898" s="3">
        <v>16.7</v>
      </c>
      <c r="K2898" s="3" t="s">
        <v>21</v>
      </c>
      <c r="L2898" s="3" t="s">
        <v>11355</v>
      </c>
      <c r="M2898" s="3" t="s">
        <v>11347</v>
      </c>
      <c r="N2898" s="6" t="str">
        <f>HYPERLINK("C:\Users\alexa\YandexDisk\Книги\Программирование\Паттерны проектирования\HeadFirst Патерны проектирования -2022.pdf","HeadFirst Патерны проектирования -2022.pdf")</f>
        <v>HeadFirst Патерны проектирования -2022.pdf</v>
      </c>
      <c r="O2898" s="3" t="s">
        <v>11356</v>
      </c>
    </row>
    <row r="2899" spans="1:15" ht="179.4" x14ac:dyDescent="0.3">
      <c r="A2899" s="4">
        <v>2898</v>
      </c>
      <c r="B2899" s="5" t="s">
        <v>11357</v>
      </c>
      <c r="C2899" s="5" t="s">
        <v>11358</v>
      </c>
      <c r="D2899" s="5" t="s">
        <v>114</v>
      </c>
      <c r="E2899" s="5" t="s">
        <v>18</v>
      </c>
      <c r="F2899" s="5" t="s">
        <v>11344</v>
      </c>
      <c r="G2899" s="5" t="s">
        <v>8458</v>
      </c>
      <c r="H2899" s="5" t="s">
        <v>11345</v>
      </c>
      <c r="I2899" s="5" t="s">
        <v>20</v>
      </c>
      <c r="J2899" s="5">
        <v>14.06</v>
      </c>
      <c r="K2899" s="5" t="s">
        <v>21</v>
      </c>
      <c r="L2899" s="5" t="s">
        <v>11359</v>
      </c>
      <c r="M2899" s="5" t="s">
        <v>11347</v>
      </c>
      <c r="N2899" s="7" t="str">
        <f>HYPERLINK("C:\Users\alexa\YandexDisk\Книги\Программирование\Паттерны проектирования\Java_EE_Патерны проектирования для профессионалов 2016.pdf","Java_EE_Патерны проектирования для профессионалов 2016.pdf")</f>
        <v>Java_EE_Патерны проектирования для профессионалов 2016.pdf</v>
      </c>
      <c r="O2899" s="5" t="s">
        <v>11360</v>
      </c>
    </row>
    <row r="2900" spans="1:15" ht="179.4" x14ac:dyDescent="0.3">
      <c r="A2900" s="2">
        <v>2899</v>
      </c>
      <c r="B2900" s="3" t="s">
        <v>11361</v>
      </c>
      <c r="C2900" s="3"/>
      <c r="D2900" s="3"/>
      <c r="E2900" s="3"/>
      <c r="F2900" s="3" t="s">
        <v>11344</v>
      </c>
      <c r="G2900" s="3" t="s">
        <v>8458</v>
      </c>
      <c r="H2900" s="3" t="s">
        <v>11345</v>
      </c>
      <c r="I2900" s="3" t="s">
        <v>20</v>
      </c>
      <c r="J2900" s="3">
        <v>65.150000000000006</v>
      </c>
      <c r="K2900" s="3" t="s">
        <v>21</v>
      </c>
      <c r="L2900" s="3" t="s">
        <v>11362</v>
      </c>
      <c r="M2900" s="3" t="s">
        <v>11347</v>
      </c>
      <c r="N2900" s="6" t="str">
        <f>HYPERLINK("C:\Users\alexa\YandexDisk\Книги\Программирование\Паттерны проектирования\Patterny_proektirovania_Head_First_O_39_Reilly.pdf","Patterny_proektirovania_Head_First_O_39_Reilly.pdf")</f>
        <v>Patterny_proektirovania_Head_First_O_39_Reilly.pdf</v>
      </c>
      <c r="O2900" s="3" t="s">
        <v>11363</v>
      </c>
    </row>
    <row r="2901" spans="1:15" ht="248.4" x14ac:dyDescent="0.3">
      <c r="A2901" s="4">
        <v>2900</v>
      </c>
      <c r="B2901" s="5" t="s">
        <v>11364</v>
      </c>
      <c r="C2901" s="5" t="s">
        <v>1805</v>
      </c>
      <c r="D2901" s="5"/>
      <c r="E2901" s="5"/>
      <c r="F2901" s="5" t="s">
        <v>11344</v>
      </c>
      <c r="G2901" s="5" t="s">
        <v>8458</v>
      </c>
      <c r="H2901" s="5" t="s">
        <v>11345</v>
      </c>
      <c r="I2901" s="5" t="s">
        <v>20</v>
      </c>
      <c r="J2901" s="5">
        <v>8.3699999999999992</v>
      </c>
      <c r="K2901" s="5" t="s">
        <v>21</v>
      </c>
      <c r="L2901" s="5" t="s">
        <v>11365</v>
      </c>
      <c r="M2901" s="5" t="s">
        <v>11347</v>
      </c>
      <c r="N2901" s="7" t="str">
        <f>HYPERLINK("C:\Users\alexa\YandexDisk\Книги\Программирование\Паттерны проектирования\Software_Design_Patterns.pdf","Software_Design_Patterns.pdf")</f>
        <v>Software_Design_Patterns.pdf</v>
      </c>
      <c r="O2901" s="5" t="s">
        <v>11366</v>
      </c>
    </row>
    <row r="2902" spans="1:15" ht="151.80000000000001" x14ac:dyDescent="0.3">
      <c r="A2902" s="2">
        <v>2901</v>
      </c>
      <c r="B2902" s="3" t="s">
        <v>11367</v>
      </c>
      <c r="C2902" s="3" t="s">
        <v>11368</v>
      </c>
      <c r="D2902" s="3" t="s">
        <v>77</v>
      </c>
      <c r="E2902" s="3" t="s">
        <v>18</v>
      </c>
      <c r="F2902" s="3" t="s">
        <v>11344</v>
      </c>
      <c r="G2902" s="3" t="s">
        <v>8458</v>
      </c>
      <c r="H2902" s="3" t="s">
        <v>11345</v>
      </c>
      <c r="I2902" s="3" t="s">
        <v>20</v>
      </c>
      <c r="J2902" s="3">
        <v>7.35</v>
      </c>
      <c r="K2902" s="3" t="s">
        <v>21</v>
      </c>
      <c r="L2902" s="3" t="s">
        <v>11369</v>
      </c>
      <c r="M2902" s="3" t="s">
        <v>11347</v>
      </c>
      <c r="N2902" s="6" t="str">
        <f>HYPERLINK("C:\Users\alexa\YandexDisk\Книги\Программирование\Паттерны проектирования\Spring. Все паттерны проектирования.pdf","Spring. Все паттерны проектирования.pdf")</f>
        <v>Spring. Все паттерны проектирования.pdf</v>
      </c>
      <c r="O2902" s="3" t="s">
        <v>11370</v>
      </c>
    </row>
    <row r="2903" spans="1:15" ht="151.80000000000001" x14ac:dyDescent="0.3">
      <c r="A2903" s="4">
        <v>2902</v>
      </c>
      <c r="B2903" s="5" t="s">
        <v>11371</v>
      </c>
      <c r="C2903" s="5" t="s">
        <v>11372</v>
      </c>
      <c r="D2903" s="5" t="s">
        <v>71</v>
      </c>
      <c r="E2903" s="5" t="s">
        <v>296</v>
      </c>
      <c r="F2903" s="5" t="s">
        <v>11344</v>
      </c>
      <c r="G2903" s="5" t="s">
        <v>8458</v>
      </c>
      <c r="H2903" s="5" t="s">
        <v>11345</v>
      </c>
      <c r="I2903" s="5" t="s">
        <v>20</v>
      </c>
      <c r="J2903" s="5">
        <v>6.31</v>
      </c>
      <c r="K2903" s="5" t="s">
        <v>21</v>
      </c>
      <c r="L2903" s="5" t="s">
        <v>11373</v>
      </c>
      <c r="M2903" s="5" t="s">
        <v>11347</v>
      </c>
      <c r="N2903" s="7" t="str">
        <f>HYPERLINK("C:\Users\alexa\YandexDisk\Книги\Программирование\Паттерны проектирования\the-easiest-way-to-learn-design-patterns-for-javascript.pdf","the-easiest-way-to-learn-design-patterns-for-javascript.pdf")</f>
        <v>the-easiest-way-to-learn-design-patterns-for-javascript.pdf</v>
      </c>
      <c r="O2903" s="5" t="s">
        <v>11374</v>
      </c>
    </row>
    <row r="2904" spans="1:15" ht="151.80000000000001" x14ac:dyDescent="0.3">
      <c r="A2904" s="2">
        <v>2903</v>
      </c>
      <c r="B2904" s="3" t="s">
        <v>11375</v>
      </c>
      <c r="C2904" s="3" t="s">
        <v>11376</v>
      </c>
      <c r="D2904" s="3" t="s">
        <v>114</v>
      </c>
      <c r="E2904" s="3" t="s">
        <v>92</v>
      </c>
      <c r="F2904" s="3" t="s">
        <v>11344</v>
      </c>
      <c r="G2904" s="3" t="s">
        <v>8458</v>
      </c>
      <c r="H2904" s="3" t="s">
        <v>11345</v>
      </c>
      <c r="I2904" s="3" t="s">
        <v>20</v>
      </c>
      <c r="J2904" s="3">
        <v>31.32</v>
      </c>
      <c r="K2904" s="3" t="s">
        <v>21</v>
      </c>
      <c r="L2904" s="3" t="s">
        <v>11377</v>
      </c>
      <c r="M2904" s="3" t="s">
        <v>11347</v>
      </c>
      <c r="N2904" s="6" t="str">
        <f>HYPERLINK("C:\Users\alexa\YandexDisk\Книги\Программирование\Паттерны проектирования\Вон_Вернон_Реализация_методов_предметно_ориентированного_проектирования 2016.pdf","Вон_Вернон_Реализация_методов_предметно_ориентированного_проектирования 2016.pdf")</f>
        <v>Вон_Вернон_Реализация_методов_предметно_ориентированного_проектирования 2016.pdf</v>
      </c>
      <c r="O2904" s="3" t="s">
        <v>11378</v>
      </c>
    </row>
    <row r="2905" spans="1:15" ht="207" x14ac:dyDescent="0.3">
      <c r="A2905" s="4">
        <v>2904</v>
      </c>
      <c r="B2905" s="5" t="s">
        <v>11379</v>
      </c>
      <c r="C2905" s="5" t="s">
        <v>11380</v>
      </c>
      <c r="D2905" s="5" t="s">
        <v>335</v>
      </c>
      <c r="E2905" s="5" t="s">
        <v>336</v>
      </c>
      <c r="F2905" s="5" t="s">
        <v>11344</v>
      </c>
      <c r="G2905" s="5" t="s">
        <v>8458</v>
      </c>
      <c r="H2905" s="5" t="s">
        <v>11345</v>
      </c>
      <c r="I2905" s="5" t="s">
        <v>20</v>
      </c>
      <c r="J2905" s="5">
        <v>8.7100000000000009</v>
      </c>
      <c r="K2905" s="5" t="s">
        <v>21</v>
      </c>
      <c r="L2905" s="5" t="s">
        <v>11381</v>
      </c>
      <c r="M2905" s="5" t="s">
        <v>11347</v>
      </c>
      <c r="N2905" s="7" t="str">
        <f>HYPERLINK("C:\Users\alexa\YandexDisk\Книги\Программирование\Паттерны проектирования\Паттерны проектирования JavaScript.pdf","Паттерны проектирования JavaScript.pdf")</f>
        <v>Паттерны проектирования JavaScript.pdf</v>
      </c>
      <c r="O2905" s="5" t="s">
        <v>11382</v>
      </c>
    </row>
    <row r="2906" spans="1:15" ht="179.4" x14ac:dyDescent="0.3">
      <c r="A2906" s="2">
        <v>2905</v>
      </c>
      <c r="B2906" s="3" t="s">
        <v>11383</v>
      </c>
      <c r="C2906" s="3" t="s">
        <v>11384</v>
      </c>
      <c r="D2906" s="3" t="s">
        <v>71</v>
      </c>
      <c r="E2906" s="3" t="s">
        <v>18</v>
      </c>
      <c r="F2906" s="3" t="s">
        <v>11344</v>
      </c>
      <c r="G2906" s="3" t="s">
        <v>8458</v>
      </c>
      <c r="H2906" s="3" t="s">
        <v>11345</v>
      </c>
      <c r="I2906" s="3" t="s">
        <v>20</v>
      </c>
      <c r="J2906" s="3">
        <v>5.76</v>
      </c>
      <c r="K2906" s="3" t="s">
        <v>21</v>
      </c>
      <c r="L2906" s="3" t="s">
        <v>11385</v>
      </c>
      <c r="M2906" s="3" t="s">
        <v>11347</v>
      </c>
      <c r="N2906" s="6" t="str">
        <f>HYPERLINK("C:\Users\alexa\YandexDisk\Книги\Программирование\Паттерны проектирования\Паттерны разработки на Python.pdf","Паттерны разработки на Python.pdf")</f>
        <v>Паттерны разработки на Python.pdf</v>
      </c>
      <c r="O2906" s="3" t="s">
        <v>11386</v>
      </c>
    </row>
    <row r="2907" spans="1:15" ht="151.80000000000001" x14ac:dyDescent="0.3">
      <c r="A2907" s="4">
        <v>2906</v>
      </c>
      <c r="B2907" s="5" t="s">
        <v>11387</v>
      </c>
      <c r="C2907" s="5" t="s">
        <v>11388</v>
      </c>
      <c r="D2907" s="5" t="s">
        <v>59</v>
      </c>
      <c r="E2907" s="5" t="s">
        <v>18</v>
      </c>
      <c r="F2907" s="5" t="s">
        <v>11344</v>
      </c>
      <c r="G2907" s="5" t="s">
        <v>8458</v>
      </c>
      <c r="H2907" s="5" t="s">
        <v>11345</v>
      </c>
      <c r="I2907" s="5" t="s">
        <v>20</v>
      </c>
      <c r="J2907" s="5">
        <v>6.38</v>
      </c>
      <c r="K2907" s="5" t="s">
        <v>21</v>
      </c>
      <c r="L2907" s="5" t="s">
        <v>11389</v>
      </c>
      <c r="M2907" s="5" t="s">
        <v>11347</v>
      </c>
      <c r="N2907" s="7" t="str">
        <f>HYPERLINK("C:\Users\alexa\YandexDisk\Книги\Программирование\Паттерны проектирования\Паттерны_ООП.pdf","Паттерны_ООП.pdf")</f>
        <v>Паттерны_ООП.pdf</v>
      </c>
      <c r="O2907" s="5" t="s">
        <v>11390</v>
      </c>
    </row>
    <row r="2908" spans="1:15" ht="165.6" x14ac:dyDescent="0.3">
      <c r="A2908" s="2">
        <v>2907</v>
      </c>
      <c r="B2908" s="3" t="s">
        <v>11391</v>
      </c>
      <c r="C2908" s="3" t="s">
        <v>9914</v>
      </c>
      <c r="D2908" s="3" t="s">
        <v>17</v>
      </c>
      <c r="E2908" s="3"/>
      <c r="F2908" s="3" t="s">
        <v>11344</v>
      </c>
      <c r="G2908" s="3" t="s">
        <v>8458</v>
      </c>
      <c r="H2908" s="3" t="s">
        <v>11345</v>
      </c>
      <c r="I2908" s="3" t="s">
        <v>20</v>
      </c>
      <c r="J2908" s="3">
        <v>28.36</v>
      </c>
      <c r="K2908" s="3" t="s">
        <v>21</v>
      </c>
      <c r="L2908" s="3" t="s">
        <v>11392</v>
      </c>
      <c r="M2908" s="3" t="s">
        <v>11347</v>
      </c>
      <c r="N2908" s="6" t="str">
        <f>HYPERLINK("C:\Users\alexa\YandexDisk\Книги\Программирование\Паттерны проектирования\Погружение_в_паттерны_проектирования_2021.pdf","Погружение_в_паттерны_проектирования_2021.pdf")</f>
        <v>Погружение_в_паттерны_проектирования_2021.pdf</v>
      </c>
      <c r="O2908" s="3" t="s">
        <v>11393</v>
      </c>
    </row>
    <row r="2909" spans="1:15" ht="179.4" x14ac:dyDescent="0.3">
      <c r="A2909" s="4">
        <v>2908</v>
      </c>
      <c r="B2909" s="5" t="s">
        <v>11394</v>
      </c>
      <c r="C2909" s="5" t="s">
        <v>11395</v>
      </c>
      <c r="D2909" s="5" t="s">
        <v>71</v>
      </c>
      <c r="E2909" s="5" t="s">
        <v>18</v>
      </c>
      <c r="F2909" s="5" t="s">
        <v>11344</v>
      </c>
      <c r="G2909" s="5" t="s">
        <v>8458</v>
      </c>
      <c r="H2909" s="5" t="s">
        <v>11345</v>
      </c>
      <c r="I2909" s="5" t="s">
        <v>20</v>
      </c>
      <c r="J2909" s="5">
        <v>25.18</v>
      </c>
      <c r="K2909" s="5" t="s">
        <v>21</v>
      </c>
      <c r="L2909" s="5" t="s">
        <v>11396</v>
      </c>
      <c r="M2909" s="5" t="s">
        <v>11347</v>
      </c>
      <c r="N2909" s="7" t="str">
        <f>HYPERLINK("C:\Users\alexa\YandexDisk\Книги\Программирование\Паттерны проектирования\Разработка интерфейсов.pdf","Разработка интерфейсов.pdf")</f>
        <v>Разработка интерфейсов.pdf</v>
      </c>
      <c r="O2909" s="5" t="s">
        <v>11397</v>
      </c>
    </row>
    <row r="2910" spans="1:15" ht="165.6" x14ac:dyDescent="0.3">
      <c r="A2910" s="2">
        <v>2909</v>
      </c>
      <c r="B2910" s="3" t="s">
        <v>11398</v>
      </c>
      <c r="C2910" s="3"/>
      <c r="D2910" s="3" t="s">
        <v>11399</v>
      </c>
      <c r="E2910" s="3"/>
      <c r="F2910" s="3" t="s">
        <v>11344</v>
      </c>
      <c r="G2910" s="3" t="s">
        <v>8458</v>
      </c>
      <c r="H2910" s="3" t="s">
        <v>11345</v>
      </c>
      <c r="I2910" s="3" t="s">
        <v>20</v>
      </c>
      <c r="J2910" s="3">
        <v>54.11</v>
      </c>
      <c r="K2910" s="3" t="s">
        <v>21</v>
      </c>
      <c r="L2910" s="3" t="s">
        <v>11400</v>
      </c>
      <c r="M2910" s="3" t="s">
        <v>11347</v>
      </c>
      <c r="N2910" s="6" t="str">
        <f>HYPERLINK("C:\Users\alexa\YandexDisk\Книги\Программирование\Паттерны проектирования\Шаблоны_корпоративных_приложений 2002-2016.pdf","Шаблоны_корпоративных_приложений 2002-2016.pdf")</f>
        <v>Шаблоны_корпоративных_приложений 2002-2016.pdf</v>
      </c>
      <c r="O2910" s="3" t="s">
        <v>11401</v>
      </c>
    </row>
    <row r="2911" spans="1:15" ht="179.4" x14ac:dyDescent="0.3">
      <c r="A2911" s="4">
        <v>2910</v>
      </c>
      <c r="B2911" s="5" t="s">
        <v>11402</v>
      </c>
      <c r="C2911" s="5" t="s">
        <v>11403</v>
      </c>
      <c r="D2911" s="5" t="s">
        <v>17</v>
      </c>
      <c r="E2911" s="5" t="s">
        <v>8452</v>
      </c>
      <c r="F2911" s="5" t="s">
        <v>11404</v>
      </c>
      <c r="G2911" s="5" t="s">
        <v>8458</v>
      </c>
      <c r="H2911" s="5" t="s">
        <v>11405</v>
      </c>
      <c r="I2911" s="5" t="s">
        <v>20</v>
      </c>
      <c r="J2911" s="5">
        <v>14.57</v>
      </c>
      <c r="K2911" s="5" t="s">
        <v>21</v>
      </c>
      <c r="L2911" s="5" t="s">
        <v>11406</v>
      </c>
      <c r="M2911" s="5" t="s">
        <v>11407</v>
      </c>
      <c r="N2911" s="7" t="str">
        <f>HYPERLINK("C:\Users\alexa\YandexDisk\Книги\Программирование\Разработка игр\! Разработка_игры_в_Unity_С_нуля_и_до_реализации 2021.pdf","! Разработка_игры_в_Unity_С_нуля_и_до_реализации 2021.pdf")</f>
        <v>! Разработка_игры_в_Unity_С_нуля_и_до_реализации 2021.pdf</v>
      </c>
      <c r="O2911" s="5" t="s">
        <v>11408</v>
      </c>
    </row>
    <row r="2912" spans="1:15" ht="151.80000000000001" x14ac:dyDescent="0.3">
      <c r="A2912" s="2">
        <v>2911</v>
      </c>
      <c r="B2912" s="3" t="s">
        <v>11409</v>
      </c>
      <c r="C2912" s="3" t="s">
        <v>11410</v>
      </c>
      <c r="D2912" s="3"/>
      <c r="E2912" s="3" t="s">
        <v>3945</v>
      </c>
      <c r="F2912" s="3" t="s">
        <v>11404</v>
      </c>
      <c r="G2912" s="3" t="s">
        <v>8458</v>
      </c>
      <c r="H2912" s="3" t="s">
        <v>11405</v>
      </c>
      <c r="I2912" s="3" t="s">
        <v>20</v>
      </c>
      <c r="J2912" s="3">
        <v>9.99</v>
      </c>
      <c r="K2912" s="3" t="s">
        <v>21</v>
      </c>
      <c r="L2912" s="3" t="s">
        <v>11411</v>
      </c>
      <c r="M2912" s="3" t="s">
        <v>11407</v>
      </c>
      <c r="N2912" s="6" t="str">
        <f>HYPERLINK("C:\Users\alexa\YandexDisk\Книги\Программирование\Разработка игр\!Game_Programming_Algorithms_and_Techniques_A_Platform_Agnostic_Approach.pdf","!Game_Programming_Algorithms_and_Techniques_A_Platform_Agnostic_Approach.pdf")</f>
        <v>!Game_Programming_Algorithms_and_Techniques_A_Platform_Agnostic_Approach.pdf</v>
      </c>
      <c r="O2912" s="3" t="s">
        <v>11412</v>
      </c>
    </row>
    <row r="2913" spans="1:15" ht="207" x14ac:dyDescent="0.3">
      <c r="A2913" s="4">
        <v>2912</v>
      </c>
      <c r="B2913" s="5" t="s">
        <v>11413</v>
      </c>
      <c r="C2913" s="5" t="s">
        <v>11414</v>
      </c>
      <c r="D2913" s="5" t="s">
        <v>27</v>
      </c>
      <c r="E2913" s="5" t="s">
        <v>3356</v>
      </c>
      <c r="F2913" s="5" t="s">
        <v>11404</v>
      </c>
      <c r="G2913" s="5" t="s">
        <v>8458</v>
      </c>
      <c r="H2913" s="5" t="s">
        <v>11405</v>
      </c>
      <c r="I2913" s="5" t="s">
        <v>20</v>
      </c>
      <c r="J2913" s="5">
        <v>2.79</v>
      </c>
      <c r="K2913" s="5" t="s">
        <v>21</v>
      </c>
      <c r="L2913" s="5" t="s">
        <v>11415</v>
      </c>
      <c r="M2913" s="5" t="s">
        <v>11407</v>
      </c>
      <c r="N2913" s="7" t="str">
        <f>HYPERLINK("C:\Users\alexa\YandexDisk\Книги\Программирование\Разработка игр\!Сделай_видеоигру_один_и_не_свихнись_2023_Слава_Грис.pdf","!Сделай_видеоигру_один_и_не_свихнись_2023_Слава_Грис.pdf")</f>
        <v>!Сделай_видеоигру_один_и_не_свихнись_2023_Слава_Грис.pdf</v>
      </c>
      <c r="O2913" s="5" t="s">
        <v>11416</v>
      </c>
    </row>
    <row r="2914" spans="1:15" ht="179.4" x14ac:dyDescent="0.3">
      <c r="A2914" s="2">
        <v>2913</v>
      </c>
      <c r="B2914" s="3" t="s">
        <v>11417</v>
      </c>
      <c r="C2914" s="3" t="s">
        <v>11418</v>
      </c>
      <c r="D2914" s="3" t="s">
        <v>77</v>
      </c>
      <c r="E2914" s="3" t="s">
        <v>18</v>
      </c>
      <c r="F2914" s="3" t="s">
        <v>11404</v>
      </c>
      <c r="G2914" s="3" t="s">
        <v>8458</v>
      </c>
      <c r="H2914" s="3" t="s">
        <v>11405</v>
      </c>
      <c r="I2914" s="3" t="s">
        <v>20</v>
      </c>
      <c r="J2914" s="3">
        <v>95.66</v>
      </c>
      <c r="K2914" s="3" t="s">
        <v>21</v>
      </c>
      <c r="L2914" s="3" t="s">
        <v>11419</v>
      </c>
      <c r="M2914" s="3" t="s">
        <v>11407</v>
      </c>
      <c r="N2914" s="6" t="str">
        <f>HYPERLINK("C:\Users\alexa\YandexDisk\Книги\Программирование\Разработка игр\Bond_Unity-i-S-.618498.pdf","Bond_Unity-i-S-.618498.pdf")</f>
        <v>Bond_Unity-i-S-.618498.pdf</v>
      </c>
      <c r="O2914" s="3" t="s">
        <v>11420</v>
      </c>
    </row>
    <row r="2915" spans="1:15" ht="179.4" x14ac:dyDescent="0.3">
      <c r="A2915" s="4">
        <v>2914</v>
      </c>
      <c r="B2915" s="5" t="s">
        <v>11421</v>
      </c>
      <c r="C2915" s="5" t="s">
        <v>11422</v>
      </c>
      <c r="D2915" s="5"/>
      <c r="E2915" s="5"/>
      <c r="F2915" s="5" t="s">
        <v>11404</v>
      </c>
      <c r="G2915" s="5" t="s">
        <v>8458</v>
      </c>
      <c r="H2915" s="5" t="s">
        <v>11405</v>
      </c>
      <c r="I2915" s="5" t="s">
        <v>20</v>
      </c>
      <c r="J2915" s="5">
        <v>45.51</v>
      </c>
      <c r="K2915" s="5" t="s">
        <v>21</v>
      </c>
      <c r="L2915" s="5" t="s">
        <v>11423</v>
      </c>
      <c r="M2915" s="5" t="s">
        <v>11407</v>
      </c>
      <c r="N2915" s="7" t="str">
        <f>HYPERLINK("C:\Users\alexa\YandexDisk\Книги\Программирование\Разработка игр\CRC_Character_Development_and_Storytelling_for_Games_3rd_Edition.pdf","CRC_Character_Development_and_Storytelling_for_Games_3rd_Edition.pdf")</f>
        <v>CRC_Character_Development_and_Storytelling_for_Games_3rd_Edition.pdf</v>
      </c>
      <c r="O2915" s="5" t="s">
        <v>11424</v>
      </c>
    </row>
    <row r="2916" spans="1:15" ht="220.8" x14ac:dyDescent="0.3">
      <c r="A2916" s="2">
        <v>2915</v>
      </c>
      <c r="B2916" s="3" t="s">
        <v>11425</v>
      </c>
      <c r="C2916" s="3" t="s">
        <v>11426</v>
      </c>
      <c r="D2916" s="3"/>
      <c r="E2916" s="3"/>
      <c r="F2916" s="3" t="s">
        <v>11404</v>
      </c>
      <c r="G2916" s="3" t="s">
        <v>8458</v>
      </c>
      <c r="H2916" s="3" t="s">
        <v>11405</v>
      </c>
      <c r="I2916" s="3" t="s">
        <v>20</v>
      </c>
      <c r="J2916" s="3">
        <v>15.56</v>
      </c>
      <c r="K2916" s="3" t="s">
        <v>21</v>
      </c>
      <c r="L2916" s="3" t="s">
        <v>11427</v>
      </c>
      <c r="M2916" s="3" t="s">
        <v>11407</v>
      </c>
      <c r="N2916" s="6" t="str">
        <f>HYPERLINK("C:\Users\alexa\YandexDisk\Книги\Программирование\Разработка игр\Game AI Uncovered_v2.pdf","Game AI Uncovered_v2.pdf")</f>
        <v>Game AI Uncovered_v2.pdf</v>
      </c>
      <c r="O2916" s="3" t="s">
        <v>11428</v>
      </c>
    </row>
    <row r="2917" spans="1:15" ht="179.4" x14ac:dyDescent="0.3">
      <c r="A2917" s="4">
        <v>2916</v>
      </c>
      <c r="B2917" s="5" t="s">
        <v>11429</v>
      </c>
      <c r="C2917" s="5" t="s">
        <v>11430</v>
      </c>
      <c r="D2917" s="5" t="s">
        <v>71</v>
      </c>
      <c r="E2917" s="5" t="s">
        <v>2183</v>
      </c>
      <c r="F2917" s="5" t="s">
        <v>11404</v>
      </c>
      <c r="G2917" s="5" t="s">
        <v>8458</v>
      </c>
      <c r="H2917" s="5" t="s">
        <v>11405</v>
      </c>
      <c r="I2917" s="5" t="s">
        <v>20</v>
      </c>
      <c r="J2917" s="5">
        <v>21.77</v>
      </c>
      <c r="K2917" s="5" t="s">
        <v>21</v>
      </c>
      <c r="L2917" s="5" t="s">
        <v>11431</v>
      </c>
      <c r="M2917" s="5" t="s">
        <v>11407</v>
      </c>
      <c r="N2917" s="7" t="str">
        <f>HYPERLINK("C:\Users\alexa\YandexDisk\Книги\Программирование\Разработка игр\Game Design Deep Div... by Joshua Bycer.pdf","Game Design Deep Div... by Joshua Bycer.pdf")</f>
        <v>Game Design Deep Div... by Joshua Bycer.pdf</v>
      </c>
      <c r="O2917" s="5" t="s">
        <v>11432</v>
      </c>
    </row>
    <row r="2918" spans="1:15" ht="179.4" x14ac:dyDescent="0.3">
      <c r="A2918" s="2">
        <v>2917</v>
      </c>
      <c r="B2918" s="3" t="s">
        <v>11433</v>
      </c>
      <c r="C2918" s="3" t="s">
        <v>11434</v>
      </c>
      <c r="D2918" s="3"/>
      <c r="E2918" s="3"/>
      <c r="F2918" s="3" t="s">
        <v>11404</v>
      </c>
      <c r="G2918" s="3" t="s">
        <v>8458</v>
      </c>
      <c r="H2918" s="3" t="s">
        <v>11405</v>
      </c>
      <c r="I2918" s="3" t="s">
        <v>280</v>
      </c>
      <c r="J2918" s="3">
        <v>0.26</v>
      </c>
      <c r="K2918" s="3" t="s">
        <v>21</v>
      </c>
      <c r="L2918" s="3" t="s">
        <v>11435</v>
      </c>
      <c r="M2918" s="3" t="s">
        <v>11407</v>
      </c>
      <c r="N2918" s="6" t="str">
        <f>HYPERLINK("C:\Users\alexa\YandexDisk\Книги\Программирование\Разработка игр\GAMEDEV 10 Steps to Making Your First.epub","GAMEDEV 10 Steps to Making Your First.epub")</f>
        <v>GAMEDEV 10 Steps to Making Your First.epub</v>
      </c>
      <c r="O2918" s="3" t="s">
        <v>11436</v>
      </c>
    </row>
    <row r="2919" spans="1:15" ht="220.8" x14ac:dyDescent="0.3">
      <c r="A2919" s="4">
        <v>2918</v>
      </c>
      <c r="B2919" s="5" t="s">
        <v>11437</v>
      </c>
      <c r="C2919" s="5" t="s">
        <v>11438</v>
      </c>
      <c r="D2919" s="5"/>
      <c r="E2919" s="5"/>
      <c r="F2919" s="5" t="s">
        <v>11404</v>
      </c>
      <c r="G2919" s="5" t="s">
        <v>8458</v>
      </c>
      <c r="H2919" s="5" t="s">
        <v>11405</v>
      </c>
      <c r="I2919" s="5" t="s">
        <v>20</v>
      </c>
      <c r="J2919" s="5">
        <v>8.85</v>
      </c>
      <c r="K2919" s="5" t="s">
        <v>21</v>
      </c>
      <c r="L2919" s="5" t="s">
        <v>11439</v>
      </c>
      <c r="M2919" s="5" t="s">
        <v>11407</v>
      </c>
      <c r="N2919" s="7" t="str">
        <f>HYPERLINK("C:\Users\alexa\YandexDisk\Книги\Программирование\Разработка игр\gameprogrammingpatterns.pdf","gameprogrammingpatterns.pdf")</f>
        <v>gameprogrammingpatterns.pdf</v>
      </c>
      <c r="O2919" s="5" t="s">
        <v>11440</v>
      </c>
    </row>
    <row r="2920" spans="1:15" ht="207" x14ac:dyDescent="0.3">
      <c r="A2920" s="2">
        <v>2919</v>
      </c>
      <c r="B2920" s="3" t="s">
        <v>11441</v>
      </c>
      <c r="C2920" s="3" t="s">
        <v>11442</v>
      </c>
      <c r="D2920" s="3" t="s">
        <v>71</v>
      </c>
      <c r="E2920" s="3" t="s">
        <v>536</v>
      </c>
      <c r="F2920" s="3" t="s">
        <v>11404</v>
      </c>
      <c r="G2920" s="3" t="s">
        <v>8458</v>
      </c>
      <c r="H2920" s="3" t="s">
        <v>11405</v>
      </c>
      <c r="I2920" s="3" t="s">
        <v>20</v>
      </c>
      <c r="J2920" s="3">
        <v>6.38</v>
      </c>
      <c r="K2920" s="3" t="s">
        <v>21</v>
      </c>
      <c r="L2920" s="3" t="s">
        <v>11443</v>
      </c>
      <c r="M2920" s="3" t="s">
        <v>11407</v>
      </c>
      <c r="N2920" s="6" t="str">
        <f>HYPERLINK("C:\Users\alexa\YandexDisk\Книги\Программирование\Разработка игр\Geometry for Programmers (MEAP) 2022.pdf","Geometry for Programmers (MEAP) 2022.pdf")</f>
        <v>Geometry for Programmers (MEAP) 2022.pdf</v>
      </c>
      <c r="O2920" s="3" t="s">
        <v>11444</v>
      </c>
    </row>
    <row r="2921" spans="1:15" ht="179.4" x14ac:dyDescent="0.3">
      <c r="A2921" s="4">
        <v>2920</v>
      </c>
      <c r="B2921" s="5" t="s">
        <v>11445</v>
      </c>
      <c r="C2921" s="5" t="s">
        <v>11446</v>
      </c>
      <c r="D2921" s="5" t="s">
        <v>17</v>
      </c>
      <c r="E2921" s="5" t="s">
        <v>18</v>
      </c>
      <c r="F2921" s="5" t="s">
        <v>11404</v>
      </c>
      <c r="G2921" s="5" t="s">
        <v>8458</v>
      </c>
      <c r="H2921" s="5" t="s">
        <v>11405</v>
      </c>
      <c r="I2921" s="5" t="s">
        <v>20</v>
      </c>
      <c r="J2921" s="5">
        <v>24.14</v>
      </c>
      <c r="K2921" s="5" t="s">
        <v>21</v>
      </c>
      <c r="L2921" s="5" t="s">
        <v>11447</v>
      </c>
      <c r="M2921" s="5" t="s">
        <v>11407</v>
      </c>
      <c r="N2921" s="7" t="str">
        <f>HYPERLINK("C:\Users\alexa\YandexDisk\Книги\Программирование\Разработка игр\Igrovoy_dvizhok_Programmirovanie_i_vnutrennee_ustroystvo_Tretye.pdf","Igrovoy_dvizhok_Programmirovanie_i_vnutrennee_ustroystvo_Tretye.pdf")</f>
        <v>Igrovoy_dvizhok_Programmirovanie_i_vnutrennee_ustroystvo_Tretye.pdf</v>
      </c>
      <c r="O2921" s="5" t="s">
        <v>11448</v>
      </c>
    </row>
    <row r="2922" spans="1:15" ht="179.4" x14ac:dyDescent="0.3">
      <c r="A2922" s="2">
        <v>2921</v>
      </c>
      <c r="B2922" s="3" t="s">
        <v>11449</v>
      </c>
      <c r="C2922" s="3" t="s">
        <v>11450</v>
      </c>
      <c r="D2922" s="3"/>
      <c r="E2922" s="3" t="s">
        <v>2183</v>
      </c>
      <c r="F2922" s="3" t="s">
        <v>11404</v>
      </c>
      <c r="G2922" s="3" t="s">
        <v>8458</v>
      </c>
      <c r="H2922" s="3" t="s">
        <v>11405</v>
      </c>
      <c r="I2922" s="3" t="s">
        <v>280</v>
      </c>
      <c r="J2922" s="3">
        <v>6.76</v>
      </c>
      <c r="K2922" s="3" t="s">
        <v>21</v>
      </c>
      <c r="L2922" s="3" t="s">
        <v>11451</v>
      </c>
      <c r="M2922" s="3" t="s">
        <v>11407</v>
      </c>
      <c r="N2922" s="6" t="str">
        <f>HYPERLINK("C:\Users\alexa\YandexDisk\Книги\Программирование\Разработка игр\Jeff_W_Murray_C#_Game_Programming_Cookbook_for_Unity_3D_CRC_Press.epub","Jeff_W_Murray_C#_Game_Programming_Cookbook_for_Unity_3D_CRC_Press.epub")</f>
        <v>Jeff_W_Murray_C#_Game_Programming_Cookbook_for_Unity_3D_CRC_Press.epub</v>
      </c>
      <c r="O2922" s="3" t="s">
        <v>11452</v>
      </c>
    </row>
    <row r="2923" spans="1:15" ht="179.4" x14ac:dyDescent="0.3">
      <c r="A2923" s="4">
        <v>2922</v>
      </c>
      <c r="B2923" s="5" t="s">
        <v>11453</v>
      </c>
      <c r="C2923" s="5" t="s">
        <v>11454</v>
      </c>
      <c r="D2923" s="5" t="s">
        <v>1022</v>
      </c>
      <c r="E2923" s="5" t="s">
        <v>678</v>
      </c>
      <c r="F2923" s="5" t="s">
        <v>11404</v>
      </c>
      <c r="G2923" s="5" t="s">
        <v>8458</v>
      </c>
      <c r="H2923" s="5" t="s">
        <v>11405</v>
      </c>
      <c r="I2923" s="5" t="s">
        <v>20</v>
      </c>
      <c r="J2923" s="5">
        <v>4.0999999999999996</v>
      </c>
      <c r="K2923" s="5" t="s">
        <v>21</v>
      </c>
      <c r="L2923" s="5" t="s">
        <v>11455</v>
      </c>
      <c r="M2923" s="5" t="s">
        <v>11407</v>
      </c>
      <c r="N2923" s="7" t="str">
        <f>HYPERLINK("C:\Users\alexa\YandexDisk\Книги\Программирование\Разработка игр\Kinsley_H_McGugan_W_Beginning_Python_Games_Development_With_PyGame.pdf","Kinsley_H_McGugan_W_Beginning_Python_Games_Development_With_PyGame.pdf")</f>
        <v>Kinsley_H_McGugan_W_Beginning_Python_Games_Development_With_PyGame.pdf</v>
      </c>
      <c r="O2923" s="5" t="s">
        <v>11456</v>
      </c>
    </row>
    <row r="2924" spans="1:15" ht="207" x14ac:dyDescent="0.3">
      <c r="A2924" s="2">
        <v>2923</v>
      </c>
      <c r="B2924" s="3" t="s">
        <v>11457</v>
      </c>
      <c r="C2924" s="3" t="s">
        <v>11458</v>
      </c>
      <c r="D2924" s="3" t="s">
        <v>114</v>
      </c>
      <c r="E2924" s="3"/>
      <c r="F2924" s="3" t="s">
        <v>11404</v>
      </c>
      <c r="G2924" s="3" t="s">
        <v>8458</v>
      </c>
      <c r="H2924" s="3" t="s">
        <v>11405</v>
      </c>
      <c r="I2924" s="3" t="s">
        <v>280</v>
      </c>
      <c r="J2924" s="3">
        <v>21.47</v>
      </c>
      <c r="K2924" s="3" t="s">
        <v>21</v>
      </c>
      <c r="L2924" s="3" t="s">
        <v>11459</v>
      </c>
      <c r="M2924" s="3" t="s">
        <v>11407</v>
      </c>
      <c r="N2924" s="6" t="str">
        <f>HYPERLINK("C:\Users\alexa\YandexDisk\Книги\Программирование\Разработка игр\Lee_J_Doran_J_Misra_N_-_Unreal_Engine_Game_Development_from_A_to_Z_-_2016.epub","Lee_J_Doran_J_Misra_N_-_Unreal_Engine_Game_Development_from_A_to_Z_-_2016.epub")</f>
        <v>Lee_J_Doran_J_Misra_N_-_Unreal_Engine_Game_Development_from_A_to_Z_-_2016.epub</v>
      </c>
      <c r="O2924" s="3" t="s">
        <v>11460</v>
      </c>
    </row>
    <row r="2925" spans="1:15" ht="165.6" x14ac:dyDescent="0.3">
      <c r="A2925" s="4">
        <v>2924</v>
      </c>
      <c r="B2925" s="5" t="s">
        <v>6064</v>
      </c>
      <c r="C2925" s="5" t="s">
        <v>6065</v>
      </c>
      <c r="D2925" s="5" t="s">
        <v>65</v>
      </c>
      <c r="E2925" s="5" t="s">
        <v>6066</v>
      </c>
      <c r="F2925" s="5" t="s">
        <v>11404</v>
      </c>
      <c r="G2925" s="5" t="s">
        <v>8458</v>
      </c>
      <c r="H2925" s="5" t="s">
        <v>11405</v>
      </c>
      <c r="I2925" s="5" t="s">
        <v>20</v>
      </c>
      <c r="J2925" s="5">
        <v>5.68</v>
      </c>
      <c r="K2925" s="5" t="s">
        <v>21</v>
      </c>
      <c r="L2925" s="5" t="s">
        <v>11461</v>
      </c>
      <c r="M2925" s="5" t="s">
        <v>11407</v>
      </c>
      <c r="N2925" s="7" t="str">
        <f>HYPERLINK("C:\Users\alexa\YandexDisk\Книги\Программирование\Разработка игр\Lengyel_E_-_Mathematics_for_3D_Game_Programmin.pdf","Lengyel_E_-_Mathematics_for_3D_Game_Programmin.pdf")</f>
        <v>Lengyel_E_-_Mathematics_for_3D_Game_Programmin.pdf</v>
      </c>
      <c r="O2925" s="5" t="s">
        <v>11462</v>
      </c>
    </row>
    <row r="2926" spans="1:15" ht="193.2" x14ac:dyDescent="0.3">
      <c r="A2926" s="2">
        <v>2925</v>
      </c>
      <c r="B2926" s="3" t="s">
        <v>11463</v>
      </c>
      <c r="C2926" s="3" t="s">
        <v>11464</v>
      </c>
      <c r="D2926" s="3" t="s">
        <v>71</v>
      </c>
      <c r="E2926" s="3" t="s">
        <v>205</v>
      </c>
      <c r="F2926" s="3" t="s">
        <v>11404</v>
      </c>
      <c r="G2926" s="3" t="s">
        <v>8458</v>
      </c>
      <c r="H2926" s="3" t="s">
        <v>11405</v>
      </c>
      <c r="I2926" s="3" t="s">
        <v>20</v>
      </c>
      <c r="J2926" s="3">
        <v>34.159999999999997</v>
      </c>
      <c r="K2926" s="3" t="s">
        <v>21</v>
      </c>
      <c r="L2926" s="3" t="s">
        <v>11465</v>
      </c>
      <c r="M2926" s="3" t="s">
        <v>11407</v>
      </c>
      <c r="N2926" s="6" t="str">
        <f>HYPERLINK("C:\Users\alexa\YandexDisk\Книги\Программирование\Разработка игр\Mathematics.for.Game.Programming.and.Computer.Graphics (Python ex).pdf","Mathematics.for.Game.Programming.and.Computer.Graphics (Python ex).pdf")</f>
        <v>Mathematics.for.Game.Programming.and.Computer.Graphics (Python ex).pdf</v>
      </c>
      <c r="O2926" s="3" t="s">
        <v>11466</v>
      </c>
    </row>
    <row r="2927" spans="1:15" ht="165.6" x14ac:dyDescent="0.3">
      <c r="A2927" s="4">
        <v>2926</v>
      </c>
      <c r="B2927" s="5" t="s">
        <v>11467</v>
      </c>
      <c r="C2927" s="5" t="s">
        <v>11468</v>
      </c>
      <c r="D2927" s="5" t="s">
        <v>27</v>
      </c>
      <c r="E2927" s="5" t="s">
        <v>205</v>
      </c>
      <c r="F2927" s="5" t="s">
        <v>11404</v>
      </c>
      <c r="G2927" s="5" t="s">
        <v>8458</v>
      </c>
      <c r="H2927" s="5" t="s">
        <v>11405</v>
      </c>
      <c r="I2927" s="5" t="s">
        <v>20</v>
      </c>
      <c r="J2927" s="5">
        <v>17.989999999999998</v>
      </c>
      <c r="K2927" s="5" t="s">
        <v>21</v>
      </c>
      <c r="L2927" s="5" t="s">
        <v>11469</v>
      </c>
      <c r="M2927" s="5" t="s">
        <v>11407</v>
      </c>
      <c r="N2927" s="7" t="str">
        <f>HYPERLINK("C:\Users\alexa\YandexDisk\Книги\Программирование\Разработка игр\Niagara.pdf","Niagara.pdf")</f>
        <v>Niagara.pdf</v>
      </c>
      <c r="O2927" s="5" t="s">
        <v>11470</v>
      </c>
    </row>
    <row r="2928" spans="1:15" ht="151.80000000000001" x14ac:dyDescent="0.3">
      <c r="A2928" s="2">
        <v>2927</v>
      </c>
      <c r="B2928" s="3" t="s">
        <v>11471</v>
      </c>
      <c r="C2928" s="3" t="s">
        <v>11472</v>
      </c>
      <c r="D2928" s="3" t="s">
        <v>109</v>
      </c>
      <c r="E2928" s="3" t="s">
        <v>5174</v>
      </c>
      <c r="F2928" s="3" t="s">
        <v>11404</v>
      </c>
      <c r="G2928" s="3" t="s">
        <v>8458</v>
      </c>
      <c r="H2928" s="3" t="s">
        <v>11405</v>
      </c>
      <c r="I2928" s="3" t="s">
        <v>20</v>
      </c>
      <c r="J2928" s="3">
        <v>68.510000000000005</v>
      </c>
      <c r="K2928" s="3" t="s">
        <v>21</v>
      </c>
      <c r="L2928" s="3" t="s">
        <v>11473</v>
      </c>
      <c r="M2928" s="3" t="s">
        <v>11407</v>
      </c>
      <c r="N2928" s="6" t="str">
        <f>HYPERLINK("C:\Users\alexa\YandexDisk\Книги\Программирование\Разработка игр\RenPy Создаем игры и приложения.pdf","RenPy Создаем игры и приложения.pdf")</f>
        <v>RenPy Создаем игры и приложения.pdf</v>
      </c>
      <c r="O2928" s="3" t="s">
        <v>11474</v>
      </c>
    </row>
    <row r="2929" spans="1:15" ht="151.80000000000001" x14ac:dyDescent="0.3">
      <c r="A2929" s="4">
        <v>2928</v>
      </c>
      <c r="B2929" s="5" t="s">
        <v>11475</v>
      </c>
      <c r="C2929" s="5" t="s">
        <v>11476</v>
      </c>
      <c r="D2929" s="5" t="s">
        <v>71</v>
      </c>
      <c r="E2929" s="5" t="s">
        <v>269</v>
      </c>
      <c r="F2929" s="5" t="s">
        <v>11404</v>
      </c>
      <c r="G2929" s="5" t="s">
        <v>8458</v>
      </c>
      <c r="H2929" s="5" t="s">
        <v>11405</v>
      </c>
      <c r="I2929" s="5" t="s">
        <v>20</v>
      </c>
      <c r="J2929" s="5">
        <v>29.23</v>
      </c>
      <c r="K2929" s="5" t="s">
        <v>21</v>
      </c>
      <c r="L2929" s="5" t="s">
        <v>11477</v>
      </c>
      <c r="M2929" s="5" t="s">
        <v>11407</v>
      </c>
      <c r="N2929" s="7" t="str">
        <f>HYPERLINK("C:\Users\alexa\YandexDisk\Книги\Программирование\Разработка игр\Unity in Action, Third Edition [2022] Joseph Hocking.pdf","Unity in Action, Third Edition [2022] Joseph Hocking.pdf")</f>
        <v>Unity in Action, Third Edition [2022] Joseph Hocking.pdf</v>
      </c>
      <c r="O2929" s="5" t="s">
        <v>11478</v>
      </c>
    </row>
    <row r="2930" spans="1:15" ht="179.4" x14ac:dyDescent="0.3">
      <c r="A2930" s="2">
        <v>2929</v>
      </c>
      <c r="B2930" s="3" t="s">
        <v>11479</v>
      </c>
      <c r="C2930" s="3" t="s">
        <v>11480</v>
      </c>
      <c r="D2930" s="3" t="s">
        <v>17</v>
      </c>
      <c r="E2930" s="3" t="s">
        <v>485</v>
      </c>
      <c r="F2930" s="3" t="s">
        <v>11404</v>
      </c>
      <c r="G2930" s="3" t="s">
        <v>8458</v>
      </c>
      <c r="H2930" s="3" t="s">
        <v>11405</v>
      </c>
      <c r="I2930" s="3" t="s">
        <v>20</v>
      </c>
      <c r="J2930" s="3">
        <v>30.93</v>
      </c>
      <c r="K2930" s="3" t="s">
        <v>21</v>
      </c>
      <c r="L2930" s="3" t="s">
        <v>11481</v>
      </c>
      <c r="M2930" s="3" t="s">
        <v>11407</v>
      </c>
      <c r="N2930" s="6" t="str">
        <f>HYPERLINK("C:\Users\alexa\YandexDisk\Книги\Программирование\Разработка игр\Unity. Полное руководство.pdf","Unity. Полное руководство.pdf")</f>
        <v>Unity. Полное руководство.pdf</v>
      </c>
      <c r="O2930" s="3" t="s">
        <v>11482</v>
      </c>
    </row>
    <row r="2931" spans="1:15" ht="193.2" x14ac:dyDescent="0.3">
      <c r="A2931" s="4">
        <v>2930</v>
      </c>
      <c r="B2931" s="5" t="s">
        <v>11483</v>
      </c>
      <c r="C2931" s="5" t="s">
        <v>11484</v>
      </c>
      <c r="D2931" s="5" t="s">
        <v>50</v>
      </c>
      <c r="E2931" s="5" t="s">
        <v>205</v>
      </c>
      <c r="F2931" s="5" t="s">
        <v>11404</v>
      </c>
      <c r="G2931" s="5" t="s">
        <v>8458</v>
      </c>
      <c r="H2931" s="5" t="s">
        <v>11405</v>
      </c>
      <c r="I2931" s="5" t="s">
        <v>20</v>
      </c>
      <c r="J2931" s="5">
        <v>13.67</v>
      </c>
      <c r="K2931" s="5" t="s">
        <v>21</v>
      </c>
      <c r="L2931" s="5" t="s">
        <v>11485</v>
      </c>
      <c r="M2931" s="5" t="s">
        <v>11407</v>
      </c>
      <c r="N2931" s="7" t="str">
        <f>HYPERLINK("C:\Users\alexa\YandexDisk\Книги\Программирование\Разработка игр\Unity_5_x_Программирование_искусственного_интеллекта_в_играх.pdf","Unity_5_x_Программирование_искусственного_интеллекта_в_играх.pdf")</f>
        <v>Unity_5_x_Программирование_искусственного_интеллекта_в_играх.pdf</v>
      </c>
      <c r="O2931" s="5" t="s">
        <v>11486</v>
      </c>
    </row>
    <row r="2932" spans="1:15" ht="138" x14ac:dyDescent="0.3">
      <c r="A2932" s="2">
        <v>2931</v>
      </c>
      <c r="B2932" s="3" t="s">
        <v>11487</v>
      </c>
      <c r="C2932" s="3" t="s">
        <v>11488</v>
      </c>
      <c r="D2932" s="3"/>
      <c r="E2932" s="3"/>
      <c r="F2932" s="3" t="s">
        <v>11404</v>
      </c>
      <c r="G2932" s="3" t="s">
        <v>8458</v>
      </c>
      <c r="H2932" s="3" t="s">
        <v>11405</v>
      </c>
      <c r="I2932" s="3" t="s">
        <v>20</v>
      </c>
      <c r="J2932" s="3">
        <v>12.29</v>
      </c>
      <c r="K2932" s="3" t="s">
        <v>21</v>
      </c>
      <c r="L2932" s="3" t="s">
        <v>11489</v>
      </c>
      <c r="M2932" s="3" t="s">
        <v>11407</v>
      </c>
      <c r="N2932" s="6" t="str">
        <f>HYPERLINK("C:\Users\alexa\YandexDisk\Книги\Программирование\Разработка игр\Unreal Engine C++ the Ultimate Dev Handbook.pdf","Unreal Engine C++ the Ultimate Dev Handbook.pdf")</f>
        <v>Unreal Engine C++ the Ultimate Dev Handbook.pdf</v>
      </c>
      <c r="O2932" s="3" t="s">
        <v>11490</v>
      </c>
    </row>
    <row r="2933" spans="1:15" ht="179.4" x14ac:dyDescent="0.3">
      <c r="A2933" s="4">
        <v>2932</v>
      </c>
      <c r="B2933" s="5" t="s">
        <v>11491</v>
      </c>
      <c r="C2933" s="5" t="s">
        <v>11492</v>
      </c>
      <c r="D2933" s="5" t="s">
        <v>50</v>
      </c>
      <c r="E2933" s="5" t="s">
        <v>275</v>
      </c>
      <c r="F2933" s="5" t="s">
        <v>11404</v>
      </c>
      <c r="G2933" s="5" t="s">
        <v>8458</v>
      </c>
      <c r="H2933" s="5" t="s">
        <v>11405</v>
      </c>
      <c r="I2933" s="5" t="s">
        <v>20</v>
      </c>
      <c r="J2933" s="5">
        <v>28.42</v>
      </c>
      <c r="K2933" s="5" t="s">
        <v>21</v>
      </c>
      <c r="L2933" s="5" t="s">
        <v>11493</v>
      </c>
      <c r="M2933" s="5" t="s">
        <v>11407</v>
      </c>
      <c r="N2933" s="7" t="str">
        <f>HYPERLINK("C:\Users\alexa\YandexDisk\Книги\Программирование\Разработка игр\unreal engine для VR разработчиков.pdf","unreal engine для VR разработчиков.pdf")</f>
        <v>unreal engine для VR разработчиков.pdf</v>
      </c>
      <c r="O2933" s="5" t="s">
        <v>11494</v>
      </c>
    </row>
    <row r="2934" spans="1:15" ht="165.6" x14ac:dyDescent="0.3">
      <c r="A2934" s="2">
        <v>2933</v>
      </c>
      <c r="B2934" s="3" t="s">
        <v>11495</v>
      </c>
      <c r="C2934" s="3" t="s">
        <v>11496</v>
      </c>
      <c r="D2934" s="3" t="s">
        <v>17</v>
      </c>
      <c r="E2934" s="3" t="s">
        <v>11497</v>
      </c>
      <c r="F2934" s="3" t="s">
        <v>11404</v>
      </c>
      <c r="G2934" s="3" t="s">
        <v>8458</v>
      </c>
      <c r="H2934" s="3" t="s">
        <v>11405</v>
      </c>
      <c r="I2934" s="3" t="s">
        <v>20</v>
      </c>
      <c r="J2934" s="3">
        <v>26.16</v>
      </c>
      <c r="K2934" s="3" t="s">
        <v>21</v>
      </c>
      <c r="L2934" s="3" t="s">
        <v>11498</v>
      </c>
      <c r="M2934" s="3" t="s">
        <v>11407</v>
      </c>
      <c r="N2934" s="6" t="str">
        <f>HYPERLINK("C:\Users\alexa\YandexDisk\Книги\Программирование\Разработка игр\Unreal_Engine_5_Game_Programming_Design_Patterns_in_C++,_Java,_C.pdf","Unreal_Engine_5_Game_Programming_Design_Patterns_in_C++,_Java,_C.pdf")</f>
        <v>Unreal_Engine_5_Game_Programming_Design_Patterns_in_C++,_Java,_C.pdf</v>
      </c>
      <c r="O2934" s="3" t="s">
        <v>11499</v>
      </c>
    </row>
    <row r="2935" spans="1:15" ht="165.6" x14ac:dyDescent="0.3">
      <c r="A2935" s="4">
        <v>2934</v>
      </c>
      <c r="B2935" s="5" t="s">
        <v>11500</v>
      </c>
      <c r="C2935" s="5" t="s">
        <v>11501</v>
      </c>
      <c r="D2935" s="5"/>
      <c r="E2935" s="5"/>
      <c r="F2935" s="5" t="s">
        <v>11404</v>
      </c>
      <c r="G2935" s="5" t="s">
        <v>8458</v>
      </c>
      <c r="H2935" s="5" t="s">
        <v>11405</v>
      </c>
      <c r="I2935" s="5" t="s">
        <v>20</v>
      </c>
      <c r="J2935" s="5">
        <v>12.63</v>
      </c>
      <c r="K2935" s="5" t="s">
        <v>21</v>
      </c>
      <c r="L2935" s="5" t="s">
        <v>11502</v>
      </c>
      <c r="M2935" s="5" t="s">
        <v>11407</v>
      </c>
      <c r="N2935" s="7" t="str">
        <f>HYPERLINK("C:\Users\alexa\YandexDisk\Книги\Программирование\Разработка игр\Беляев_C_А_Разработка_игр_на_языке_JavaScript.pdf","Беляев_C_А_Разработка_игр_на_языке_JavaScript.pdf")</f>
        <v>Беляев_C_А_Разработка_игр_на_языке_JavaScript.pdf</v>
      </c>
      <c r="O2935" s="5" t="s">
        <v>11503</v>
      </c>
    </row>
    <row r="2936" spans="1:15" ht="165.6" x14ac:dyDescent="0.3">
      <c r="A2936" s="2">
        <v>2935</v>
      </c>
      <c r="B2936" s="3" t="s">
        <v>11504</v>
      </c>
      <c r="C2936" s="3" t="s">
        <v>11505</v>
      </c>
      <c r="D2936" s="3" t="s">
        <v>32</v>
      </c>
      <c r="E2936" s="3" t="s">
        <v>18</v>
      </c>
      <c r="F2936" s="3" t="s">
        <v>11404</v>
      </c>
      <c r="G2936" s="3" t="s">
        <v>8458</v>
      </c>
      <c r="H2936" s="3" t="s">
        <v>11405</v>
      </c>
      <c r="I2936" s="3" t="s">
        <v>20</v>
      </c>
      <c r="J2936" s="3">
        <v>9.6</v>
      </c>
      <c r="K2936" s="3" t="s">
        <v>21</v>
      </c>
      <c r="L2936" s="3" t="s">
        <v>11506</v>
      </c>
      <c r="M2936" s="3" t="s">
        <v>11407</v>
      </c>
      <c r="N2936" s="6" t="str">
        <f>HYPERLINK("C:\Users\alexa\YandexDisk\Книги\Программирование\Разработка игр\Бестселлеры_O’Reilly_Мэннинг_Д_,_Батфилд_Эддисон_П_Unity_для_разработчика.pdf","Бестселлеры_O’Reilly_Мэннинг_Д_,_Батфилд_Эддисон_П_Unity_для_разработчика.pdf")</f>
        <v>Бестселлеры_O’Reilly_Мэннинг_Д_,_Батфилд_Эддисон_П_Unity_для_разработчика.pdf</v>
      </c>
      <c r="O2936" s="3" t="s">
        <v>11507</v>
      </c>
    </row>
    <row r="2937" spans="1:15" ht="151.80000000000001" x14ac:dyDescent="0.3">
      <c r="A2937" s="4">
        <v>2936</v>
      </c>
      <c r="B2937" s="5" t="s">
        <v>11508</v>
      </c>
      <c r="C2937" s="5" t="s">
        <v>11509</v>
      </c>
      <c r="D2937" s="5" t="s">
        <v>59</v>
      </c>
      <c r="E2937" s="5" t="s">
        <v>1023</v>
      </c>
      <c r="F2937" s="5" t="s">
        <v>11404</v>
      </c>
      <c r="G2937" s="5" t="s">
        <v>8458</v>
      </c>
      <c r="H2937" s="5" t="s">
        <v>11405</v>
      </c>
      <c r="I2937" s="5" t="s">
        <v>20</v>
      </c>
      <c r="J2937" s="5">
        <v>11.12</v>
      </c>
      <c r="K2937" s="5" t="s">
        <v>21</v>
      </c>
      <c r="L2937" s="5" t="s">
        <v>11510</v>
      </c>
      <c r="M2937" s="5" t="s">
        <v>11407</v>
      </c>
      <c r="N2937" s="7" t="str">
        <f>HYPERLINK("C:\Users\alexa\YandexDisk\Книги\Программирование\Разработка игр\Большая книга Roblox.pdf","Большая книга Roblox.pdf")</f>
        <v>Большая книга Roblox.pdf</v>
      </c>
      <c r="O2937" s="5" t="s">
        <v>11511</v>
      </c>
    </row>
    <row r="2938" spans="1:15" ht="165.6" x14ac:dyDescent="0.3">
      <c r="A2938" s="2">
        <v>2937</v>
      </c>
      <c r="B2938" s="3" t="s">
        <v>11512</v>
      </c>
      <c r="C2938" s="3" t="s">
        <v>5214</v>
      </c>
      <c r="D2938" s="3" t="s">
        <v>17</v>
      </c>
      <c r="E2938" s="3" t="s">
        <v>296</v>
      </c>
      <c r="F2938" s="3" t="s">
        <v>11404</v>
      </c>
      <c r="G2938" s="3" t="s">
        <v>8458</v>
      </c>
      <c r="H2938" s="3" t="s">
        <v>11405</v>
      </c>
      <c r="I2938" s="3" t="s">
        <v>20</v>
      </c>
      <c r="J2938" s="3">
        <v>8.9</v>
      </c>
      <c r="K2938" s="3" t="s">
        <v>21</v>
      </c>
      <c r="L2938" s="3" t="s">
        <v>11513</v>
      </c>
      <c r="M2938" s="3" t="s">
        <v>11407</v>
      </c>
      <c r="N2938" s="6" t="str">
        <f>HYPERLINK("C:\Users\alexa\YandexDisk\Книги\Программирование\Разработка игр\Боты для компьютерных игр.pdf","Боты для компьютерных игр.pdf")</f>
        <v>Боты для компьютерных игр.pdf</v>
      </c>
      <c r="O2938" s="3" t="s">
        <v>11514</v>
      </c>
    </row>
    <row r="2939" spans="1:15" ht="124.2" x14ac:dyDescent="0.3">
      <c r="A2939" s="4">
        <v>2938</v>
      </c>
      <c r="B2939" s="5" t="s">
        <v>11515</v>
      </c>
      <c r="C2939" s="5"/>
      <c r="D2939" s="5" t="s">
        <v>114</v>
      </c>
      <c r="E2939" s="5" t="s">
        <v>11516</v>
      </c>
      <c r="F2939" s="5" t="s">
        <v>11404</v>
      </c>
      <c r="G2939" s="5" t="s">
        <v>8458</v>
      </c>
      <c r="H2939" s="5" t="s">
        <v>11405</v>
      </c>
      <c r="I2939" s="5" t="s">
        <v>20</v>
      </c>
      <c r="J2939" s="5">
        <v>72.989999999999995</v>
      </c>
      <c r="K2939" s="5" t="s">
        <v>21</v>
      </c>
      <c r="L2939" s="5" t="s">
        <v>11517</v>
      </c>
      <c r="M2939" s="5" t="s">
        <v>11407</v>
      </c>
      <c r="N2939" s="7" t="str">
        <f>HYPERLINK("C:\Users\alexa\YandexDisk\Книги\Программирование\Разработка игр\Виртуальная_реальность_в_Unity_tlgm_it_boooks_2016.pdf","Виртуальная_реальность_в_Unity_tlgm_it_boooks_2016.pdf")</f>
        <v>Виртуальная_реальность_в_Unity_tlgm_it_boooks_2016.pdf</v>
      </c>
      <c r="O2939" s="5" t="s">
        <v>11518</v>
      </c>
    </row>
    <row r="2940" spans="1:15" ht="220.8" x14ac:dyDescent="0.3">
      <c r="A2940" s="2">
        <v>2939</v>
      </c>
      <c r="B2940" s="3" t="s">
        <v>11519</v>
      </c>
      <c r="C2940" s="3" t="s">
        <v>11520</v>
      </c>
      <c r="D2940" s="3" t="s">
        <v>59</v>
      </c>
      <c r="E2940" s="3" t="s">
        <v>1023</v>
      </c>
      <c r="F2940" s="3" t="s">
        <v>11404</v>
      </c>
      <c r="G2940" s="3" t="s">
        <v>8458</v>
      </c>
      <c r="H2940" s="3" t="s">
        <v>11405</v>
      </c>
      <c r="I2940" s="3" t="s">
        <v>20</v>
      </c>
      <c r="J2940" s="3">
        <v>3.24</v>
      </c>
      <c r="K2940" s="3" t="s">
        <v>21</v>
      </c>
      <c r="L2940" s="3" t="s">
        <v>11521</v>
      </c>
      <c r="M2940" s="3" t="s">
        <v>11407</v>
      </c>
      <c r="N2940" s="6" t="str">
        <f>HYPERLINK("C:\Users\alexa\YandexDisk\Книги\Программирование\Разработка игр\Игра как бизнес.pdf","Игра как бизнес.pdf")</f>
        <v>Игра как бизнес.pdf</v>
      </c>
      <c r="O2940" s="3" t="s">
        <v>11522</v>
      </c>
    </row>
    <row r="2941" spans="1:15" ht="124.2" x14ac:dyDescent="0.3">
      <c r="A2941" s="4">
        <v>2940</v>
      </c>
      <c r="B2941" s="5" t="s">
        <v>11523</v>
      </c>
      <c r="C2941" s="5" t="s">
        <v>11524</v>
      </c>
      <c r="D2941" s="5"/>
      <c r="E2941" s="5"/>
      <c r="F2941" s="5" t="s">
        <v>11404</v>
      </c>
      <c r="G2941" s="5" t="s">
        <v>8458</v>
      </c>
      <c r="H2941" s="5" t="s">
        <v>11405</v>
      </c>
      <c r="I2941" s="5" t="s">
        <v>20</v>
      </c>
      <c r="J2941" s="5">
        <v>12.25</v>
      </c>
      <c r="K2941" s="5" t="s">
        <v>21</v>
      </c>
      <c r="L2941" s="5" t="s">
        <v>11525</v>
      </c>
      <c r="M2941" s="5" t="s">
        <v>11407</v>
      </c>
      <c r="N2941" s="7" t="str">
        <f>HYPERLINK("C:\Users\alexa\YandexDisk\Книги\Программирование\Разработка игр\Изучаем С++ через игры UE4.pdf","Изучаем С++ через игры UE4.pdf")</f>
        <v>Изучаем С++ через игры UE4.pdf</v>
      </c>
      <c r="O2941" s="5" t="s">
        <v>11526</v>
      </c>
    </row>
    <row r="2942" spans="1:15" ht="220.8" x14ac:dyDescent="0.3">
      <c r="A2942" s="2">
        <v>2941</v>
      </c>
      <c r="B2942" s="3" t="s">
        <v>11527</v>
      </c>
      <c r="C2942" s="3" t="s">
        <v>11528</v>
      </c>
      <c r="D2942" s="3" t="s">
        <v>77</v>
      </c>
      <c r="E2942" s="3" t="s">
        <v>6828</v>
      </c>
      <c r="F2942" s="3" t="s">
        <v>11404</v>
      </c>
      <c r="G2942" s="3" t="s">
        <v>8458</v>
      </c>
      <c r="H2942" s="3" t="s">
        <v>11405</v>
      </c>
      <c r="I2942" s="3" t="s">
        <v>20</v>
      </c>
      <c r="J2942" s="3">
        <v>17.63</v>
      </c>
      <c r="K2942" s="3" t="s">
        <v>21</v>
      </c>
      <c r="L2942" s="3" t="s">
        <v>11529</v>
      </c>
      <c r="M2942" s="3" t="s">
        <v>11407</v>
      </c>
      <c r="N2942" s="6" t="str">
        <f>HYPERLINK("C:\Users\alexa\YandexDisk\Книги\Программирование\Разработка игр\Кадиков_М_Проектирование_виртуальных_миров_2019.pdf","Кадиков_М_Проектирование_виртуальных_миров_2019.pdf")</f>
        <v>Кадиков_М_Проектирование_виртуальных_миров_2019.pdf</v>
      </c>
      <c r="O2942" s="3" t="s">
        <v>11530</v>
      </c>
    </row>
    <row r="2943" spans="1:15" ht="179.4" x14ac:dyDescent="0.3">
      <c r="A2943" s="4">
        <v>2942</v>
      </c>
      <c r="B2943" s="5" t="s">
        <v>11531</v>
      </c>
      <c r="C2943" s="5" t="s">
        <v>11532</v>
      </c>
      <c r="D2943" s="5" t="s">
        <v>32</v>
      </c>
      <c r="E2943" s="5" t="s">
        <v>1023</v>
      </c>
      <c r="F2943" s="5" t="s">
        <v>11404</v>
      </c>
      <c r="G2943" s="5" t="s">
        <v>8458</v>
      </c>
      <c r="H2943" s="5" t="s">
        <v>11405</v>
      </c>
      <c r="I2943" s="5" t="s">
        <v>20</v>
      </c>
      <c r="J2943" s="5">
        <v>1.57</v>
      </c>
      <c r="K2943" s="5" t="s">
        <v>21</v>
      </c>
      <c r="L2943" s="5" t="s">
        <v>11533</v>
      </c>
      <c r="M2943" s="5" t="s">
        <v>11407</v>
      </c>
      <c r="N2943" s="7" t="str">
        <f>HYPERLINK("C:\Users\alexa\YandexDisk\Книги\Программирование\Разработка игр\Кровь, пот и пиксели.pdf","Кровь, пот и пиксели.pdf")</f>
        <v>Кровь, пот и пиксели.pdf</v>
      </c>
      <c r="O2943" s="5" t="s">
        <v>11534</v>
      </c>
    </row>
    <row r="2944" spans="1:15" ht="179.4" x14ac:dyDescent="0.3">
      <c r="A2944" s="2">
        <v>2943</v>
      </c>
      <c r="B2944" s="3" t="s">
        <v>11535</v>
      </c>
      <c r="C2944" s="3" t="s">
        <v>11536</v>
      </c>
      <c r="D2944" s="3" t="s">
        <v>27</v>
      </c>
      <c r="E2944" s="3" t="s">
        <v>1023</v>
      </c>
      <c r="F2944" s="3" t="s">
        <v>11404</v>
      </c>
      <c r="G2944" s="3" t="s">
        <v>8458</v>
      </c>
      <c r="H2944" s="3" t="s">
        <v>11405</v>
      </c>
      <c r="I2944" s="3" t="s">
        <v>20</v>
      </c>
      <c r="J2944" s="3">
        <v>7.41</v>
      </c>
      <c r="K2944" s="3" t="s">
        <v>21</v>
      </c>
      <c r="L2944" s="3" t="s">
        <v>11537</v>
      </c>
      <c r="M2944" s="3" t="s">
        <v>11407</v>
      </c>
      <c r="N2944" s="6" t="str">
        <f>HYPERLINK("C:\Users\alexa\YandexDisk\Книги\Программирование\Разработка игр\Максименкова_О_,_Веселко_Н_Программирование_в_Unreal_Engine_5_для.pdf","Максименкова_О_,_Веселко_Н_Программирование_в_Unreal_Engine_5_для.pdf")</f>
        <v>Максименкова_О_,_Веселко_Н_Программирование_в_Unreal_Engine_5_для.pdf</v>
      </c>
      <c r="O2944" s="3" t="s">
        <v>11538</v>
      </c>
    </row>
    <row r="2945" spans="1:15" ht="207" x14ac:dyDescent="0.3">
      <c r="A2945" s="4">
        <v>2944</v>
      </c>
      <c r="B2945" s="5" t="s">
        <v>11539</v>
      </c>
      <c r="C2945" s="5" t="s">
        <v>11540</v>
      </c>
      <c r="D2945" s="5"/>
      <c r="E2945" s="5"/>
      <c r="F2945" s="5" t="s">
        <v>11404</v>
      </c>
      <c r="G2945" s="5" t="s">
        <v>8458</v>
      </c>
      <c r="H2945" s="5" t="s">
        <v>11405</v>
      </c>
      <c r="I2945" s="5" t="s">
        <v>20</v>
      </c>
      <c r="J2945" s="5">
        <v>14.09</v>
      </c>
      <c r="K2945" s="5" t="s">
        <v>21</v>
      </c>
      <c r="L2945" s="5" t="s">
        <v>11541</v>
      </c>
      <c r="M2945" s="5" t="s">
        <v>11407</v>
      </c>
      <c r="N2945" s="7" t="str">
        <f>HYPERLINK("C:\Users\alexa\YandexDisk\Книги\Программирование\Разработка игр\Мастера геймдизайна.pdf","Мастера геймдизайна.pdf")</f>
        <v>Мастера геймдизайна.pdf</v>
      </c>
      <c r="O2945" s="5" t="s">
        <v>11542</v>
      </c>
    </row>
    <row r="2946" spans="1:15" ht="207" x14ac:dyDescent="0.3">
      <c r="A2946" s="2">
        <v>2945</v>
      </c>
      <c r="B2946" s="3" t="s">
        <v>11543</v>
      </c>
      <c r="C2946" s="3" t="s">
        <v>11544</v>
      </c>
      <c r="D2946" s="3" t="s">
        <v>17</v>
      </c>
      <c r="E2946" s="3"/>
      <c r="F2946" s="3" t="s">
        <v>11404</v>
      </c>
      <c r="G2946" s="3" t="s">
        <v>8458</v>
      </c>
      <c r="H2946" s="3" t="s">
        <v>11405</v>
      </c>
      <c r="I2946" s="3" t="s">
        <v>20</v>
      </c>
      <c r="J2946" s="3">
        <v>3.44</v>
      </c>
      <c r="K2946" s="3" t="s">
        <v>21</v>
      </c>
      <c r="L2946" s="3" t="s">
        <v>11545</v>
      </c>
      <c r="M2946" s="3" t="s">
        <v>11407</v>
      </c>
      <c r="N2946" s="6" t="str">
        <f>HYPERLINK("C:\Users\alexa\YandexDisk\Книги\Программирование\Разработка игр\Миллионы миллиардов - как стартовать в игровой индустрии 2021.pdf","Миллионы миллиардов - как стартовать в игровой индустрии 2021.pdf")</f>
        <v>Миллионы миллиардов - как стартовать в игровой индустрии 2021.pdf</v>
      </c>
      <c r="O2946" s="3" t="s">
        <v>11546</v>
      </c>
    </row>
    <row r="2947" spans="1:15" ht="151.80000000000001" x14ac:dyDescent="0.3">
      <c r="A2947" s="4">
        <v>2946</v>
      </c>
      <c r="B2947" s="5" t="s">
        <v>11547</v>
      </c>
      <c r="C2947" s="5" t="s">
        <v>11548</v>
      </c>
      <c r="D2947" s="5" t="s">
        <v>27</v>
      </c>
      <c r="E2947" s="5" t="s">
        <v>1023</v>
      </c>
      <c r="F2947" s="5" t="s">
        <v>11404</v>
      </c>
      <c r="G2947" s="5" t="s">
        <v>8458</v>
      </c>
      <c r="H2947" s="5" t="s">
        <v>11405</v>
      </c>
      <c r="I2947" s="5" t="s">
        <v>20</v>
      </c>
      <c r="J2947" s="5">
        <v>7.41</v>
      </c>
      <c r="K2947" s="5" t="s">
        <v>21</v>
      </c>
      <c r="L2947" s="5" t="s">
        <v>11549</v>
      </c>
      <c r="M2947" s="5" t="s">
        <v>11407</v>
      </c>
      <c r="N2947" s="7" t="str">
        <f>HYPERLINK("C:\Users\alexa\YandexDisk\Книги\Программирование\Разработка игр\Программирование_в_UE_5_для_начинающего.pdf","Программирование_в_UE_5_для_начинающего.pdf")</f>
        <v>Программирование_в_UE_5_для_начинающего.pdf</v>
      </c>
      <c r="O2947" s="5" t="s">
        <v>11550</v>
      </c>
    </row>
    <row r="2948" spans="1:15" ht="234.6" x14ac:dyDescent="0.3">
      <c r="A2948" s="2">
        <v>2947</v>
      </c>
      <c r="B2948" s="3" t="s">
        <v>11500</v>
      </c>
      <c r="C2948" s="3" t="s">
        <v>11551</v>
      </c>
      <c r="D2948" s="3" t="s">
        <v>59</v>
      </c>
      <c r="E2948" s="3" t="s">
        <v>148</v>
      </c>
      <c r="F2948" s="3" t="s">
        <v>11404</v>
      </c>
      <c r="G2948" s="3" t="s">
        <v>8458</v>
      </c>
      <c r="H2948" s="3" t="s">
        <v>11405</v>
      </c>
      <c r="I2948" s="3" t="s">
        <v>20</v>
      </c>
      <c r="J2948" s="3">
        <v>2.29</v>
      </c>
      <c r="K2948" s="3" t="s">
        <v>21</v>
      </c>
      <c r="L2948" s="3" t="s">
        <v>11552</v>
      </c>
      <c r="M2948" s="3" t="s">
        <v>11407</v>
      </c>
      <c r="N2948" s="6" t="str">
        <f>HYPERLINK("C:\Users\alexa\YandexDisk\Книги\Программирование\Разработка игр\Разработка игр на JS.pdf","Разработка игр на JS.pdf")</f>
        <v>Разработка игр на JS.pdf</v>
      </c>
      <c r="O2948" s="3" t="s">
        <v>11553</v>
      </c>
    </row>
    <row r="2949" spans="1:15" ht="124.2" x14ac:dyDescent="0.3">
      <c r="A2949" s="4">
        <v>2948</v>
      </c>
      <c r="B2949" s="5" t="s">
        <v>11554</v>
      </c>
      <c r="C2949" s="5" t="s">
        <v>11555</v>
      </c>
      <c r="D2949" s="5" t="s">
        <v>32</v>
      </c>
      <c r="E2949" s="5" t="s">
        <v>3945</v>
      </c>
      <c r="F2949" s="5" t="s">
        <v>11404</v>
      </c>
      <c r="G2949" s="5" t="s">
        <v>8458</v>
      </c>
      <c r="H2949" s="5" t="s">
        <v>11405</v>
      </c>
      <c r="I2949" s="5" t="s">
        <v>20</v>
      </c>
      <c r="J2949" s="5">
        <v>31.76</v>
      </c>
      <c r="K2949" s="5" t="s">
        <v>21</v>
      </c>
      <c r="L2949" s="5" t="s">
        <v>11556</v>
      </c>
      <c r="M2949" s="5" t="s">
        <v>11407</v>
      </c>
      <c r="N2949" s="7" t="str">
        <f>HYPERLINK("C:\Users\alexa\YandexDisk\Книги\Программирование\Разработка игр\Разработка игр на Unity за 24 часа.pdf","Разработка игр на Unity за 24 часа.pdf")</f>
        <v>Разработка игр на Unity за 24 часа.pdf</v>
      </c>
      <c r="O2949" s="5" t="s">
        <v>11557</v>
      </c>
    </row>
    <row r="2950" spans="1:15" ht="124.2" x14ac:dyDescent="0.3">
      <c r="A2950" s="2">
        <v>2949</v>
      </c>
      <c r="B2950" s="3" t="s">
        <v>11558</v>
      </c>
      <c r="C2950" s="3"/>
      <c r="D2950" s="3"/>
      <c r="E2950" s="3"/>
      <c r="F2950" s="3" t="s">
        <v>11404</v>
      </c>
      <c r="G2950" s="3" t="s">
        <v>8458</v>
      </c>
      <c r="H2950" s="3" t="s">
        <v>11405</v>
      </c>
      <c r="I2950" s="3" t="s">
        <v>20</v>
      </c>
      <c r="J2950" s="3">
        <v>43.46</v>
      </c>
      <c r="K2950" s="3" t="s">
        <v>21</v>
      </c>
      <c r="L2950" s="3" t="s">
        <v>11559</v>
      </c>
      <c r="M2950" s="3" t="s">
        <v>11407</v>
      </c>
      <c r="N2950" s="6" t="str">
        <f>HYPERLINK("C:\Users\alexa\YandexDisk\Книги\Программирование\Разработка игр\Разработка_игр_и_теория_развлечений.pdf","Разработка_игр_и_теория_развлечений.pdf")</f>
        <v>Разработка_игр_и_теория_развлечений.pdf</v>
      </c>
      <c r="O2950" s="3" t="s">
        <v>11560</v>
      </c>
    </row>
    <row r="2951" spans="1:15" ht="165.6" x14ac:dyDescent="0.3">
      <c r="A2951" s="4">
        <v>2950</v>
      </c>
      <c r="B2951" s="5" t="s">
        <v>11402</v>
      </c>
      <c r="C2951" s="5" t="s">
        <v>11403</v>
      </c>
      <c r="D2951" s="5" t="s">
        <v>17</v>
      </c>
      <c r="E2951" s="5" t="s">
        <v>8452</v>
      </c>
      <c r="F2951" s="5" t="s">
        <v>11404</v>
      </c>
      <c r="G2951" s="5" t="s">
        <v>8458</v>
      </c>
      <c r="H2951" s="5" t="s">
        <v>11405</v>
      </c>
      <c r="I2951" s="5" t="s">
        <v>20</v>
      </c>
      <c r="J2951" s="5">
        <v>14.35</v>
      </c>
      <c r="K2951" s="5" t="s">
        <v>21</v>
      </c>
      <c r="L2951" s="5" t="s">
        <v>11561</v>
      </c>
      <c r="M2951" s="5" t="s">
        <v>11407</v>
      </c>
      <c r="N2951" s="7" t="str">
        <f>HYPERLINK("C:\Users\alexa\YandexDisk\Книги\Программирование\Разработка игр\Разработка_игры_в_Unity_С_нуля_и_до_реализации_2021_Денисов.pdf","Разработка_игры_в_Unity_С_нуля_и_до_реализации_2021_Денисов.pdf")</f>
        <v>Разработка_игры_в_Unity_С_нуля_и_до_реализации_2021_Денисов.pdf</v>
      </c>
      <c r="O2951" s="5" t="s">
        <v>11562</v>
      </c>
    </row>
    <row r="2952" spans="1:15" ht="220.8" x14ac:dyDescent="0.3">
      <c r="A2952" s="2">
        <v>2951</v>
      </c>
      <c r="B2952" s="3" t="s">
        <v>11413</v>
      </c>
      <c r="C2952" s="3" t="s">
        <v>11414</v>
      </c>
      <c r="D2952" s="3" t="s">
        <v>27</v>
      </c>
      <c r="E2952" s="3" t="s">
        <v>3356</v>
      </c>
      <c r="F2952" s="3" t="s">
        <v>11404</v>
      </c>
      <c r="G2952" s="3" t="s">
        <v>8458</v>
      </c>
      <c r="H2952" s="3" t="s">
        <v>11405</v>
      </c>
      <c r="I2952" s="3" t="s">
        <v>20</v>
      </c>
      <c r="J2952" s="3">
        <v>2.79</v>
      </c>
      <c r="K2952" s="3" t="s">
        <v>21</v>
      </c>
      <c r="L2952" s="3" t="s">
        <v>11563</v>
      </c>
      <c r="M2952" s="3" t="s">
        <v>11407</v>
      </c>
      <c r="N2952" s="6" t="str">
        <f>HYPERLINK("C:\Users\alexa\YandexDisk\Книги\Программирование\Разработка игр\Сделай_видеоигру_один_и_не_свихнись_2023_Слава_Грис.pdf","Сделай_видеоигру_один_и_не_свихнись_2023_Слава_Грис.pdf")</f>
        <v>Сделай_видеоигру_один_и_не_свихнись_2023_Слава_Грис.pdf</v>
      </c>
      <c r="O2952" s="3" t="s">
        <v>11564</v>
      </c>
    </row>
    <row r="2953" spans="1:15" ht="165.6" x14ac:dyDescent="0.3">
      <c r="A2953" s="4">
        <v>2952</v>
      </c>
      <c r="B2953" s="5" t="s">
        <v>11565</v>
      </c>
      <c r="C2953" s="5" t="s">
        <v>11566</v>
      </c>
      <c r="D2953" s="5" t="s">
        <v>114</v>
      </c>
      <c r="E2953" s="5" t="s">
        <v>726</v>
      </c>
      <c r="F2953" s="5" t="s">
        <v>11404</v>
      </c>
      <c r="G2953" s="5" t="s">
        <v>8458</v>
      </c>
      <c r="H2953" s="5" t="s">
        <v>11405</v>
      </c>
      <c r="I2953" s="5" t="s">
        <v>20</v>
      </c>
      <c r="J2953" s="5">
        <v>4.26</v>
      </c>
      <c r="K2953" s="5" t="s">
        <v>21</v>
      </c>
      <c r="L2953" s="5" t="s">
        <v>11567</v>
      </c>
      <c r="M2953" s="5" t="s">
        <v>11407</v>
      </c>
      <c r="N2953" s="7" t="str">
        <f>HYPERLINK("C:\Users\alexa\YandexDisk\Книги\Программирование\Разработка игр\Творческие задания в среде Scratch _ рабочая тетрадь для 5–6 классов ( PDFDrive ).pdf","Творческие задания в среде Scratch _ рабочая тетрадь для 5–6 классов ( PDFDrive ).pdf")</f>
        <v>Творческие задания в среде Scratch _ рабочая тетрадь для 5–6 классов ( PDFDrive ).pdf</v>
      </c>
      <c r="O2953" s="5" t="s">
        <v>11568</v>
      </c>
    </row>
    <row r="2954" spans="1:15" ht="207" x14ac:dyDescent="0.3">
      <c r="A2954" s="2">
        <v>2953</v>
      </c>
      <c r="B2954" s="3" t="s">
        <v>11569</v>
      </c>
      <c r="C2954" s="3" t="s">
        <v>11570</v>
      </c>
      <c r="D2954" s="3" t="s">
        <v>71</v>
      </c>
      <c r="E2954" s="3" t="s">
        <v>1023</v>
      </c>
      <c r="F2954" s="3" t="s">
        <v>11404</v>
      </c>
      <c r="G2954" s="3" t="s">
        <v>8458</v>
      </c>
      <c r="H2954" s="3" t="s">
        <v>11405</v>
      </c>
      <c r="I2954" s="3" t="s">
        <v>20</v>
      </c>
      <c r="J2954" s="3">
        <v>2.96</v>
      </c>
      <c r="K2954" s="3" t="s">
        <v>21</v>
      </c>
      <c r="L2954" s="3" t="s">
        <v>11571</v>
      </c>
      <c r="M2954" s="3" t="s">
        <v>11407</v>
      </c>
      <c r="N2954" s="6" t="str">
        <f>HYPERLINK("C:\Users\alexa\YandexDisk\Книги\Программирование\Разработка игр\Хочу в геймдев!.pdf","Хочу в геймдев!.pdf")</f>
        <v>Хочу в геймдев!.pdf</v>
      </c>
      <c r="O2954" s="3" t="s">
        <v>11572</v>
      </c>
    </row>
    <row r="2955" spans="1:15" ht="234.6" x14ac:dyDescent="0.3">
      <c r="A2955" s="4">
        <v>2954</v>
      </c>
      <c r="B2955" s="5" t="s">
        <v>11569</v>
      </c>
      <c r="C2955" s="5" t="s">
        <v>11573</v>
      </c>
      <c r="D2955" s="5"/>
      <c r="E2955" s="5"/>
      <c r="F2955" s="5" t="s">
        <v>11404</v>
      </c>
      <c r="G2955" s="5" t="s">
        <v>8458</v>
      </c>
      <c r="H2955" s="5" t="s">
        <v>11405</v>
      </c>
      <c r="I2955" s="5" t="s">
        <v>20</v>
      </c>
      <c r="J2955" s="5">
        <v>5.63</v>
      </c>
      <c r="K2955" s="5" t="s">
        <v>21</v>
      </c>
      <c r="L2955" s="5" t="s">
        <v>11574</v>
      </c>
      <c r="M2955" s="5" t="s">
        <v>11407</v>
      </c>
      <c r="N2955" s="7" t="str">
        <f>HYPERLINK("C:\Users\alexa\YandexDisk\Книги\Программирование\Разработка игр\Хочу_в_геймдев!_Основы_игровой_разработки_для_начинающих.pdf","Хочу_в_геймдев!_Основы_игровой_разработки_для_начинающих.pdf")</f>
        <v>Хочу_в_геймдев!_Основы_игровой_разработки_для_начинающих.pdf</v>
      </c>
      <c r="O2955" s="5" t="s">
        <v>11575</v>
      </c>
    </row>
    <row r="2956" spans="1:15" ht="165.6" x14ac:dyDescent="0.3">
      <c r="A2956" s="2">
        <v>2955</v>
      </c>
      <c r="B2956" s="3" t="s">
        <v>11576</v>
      </c>
      <c r="C2956" s="3" t="s">
        <v>11577</v>
      </c>
      <c r="D2956" s="3" t="s">
        <v>71</v>
      </c>
      <c r="E2956" s="3" t="s">
        <v>1023</v>
      </c>
      <c r="F2956" s="3" t="s">
        <v>11404</v>
      </c>
      <c r="G2956" s="3" t="s">
        <v>8458</v>
      </c>
      <c r="H2956" s="3" t="s">
        <v>11405</v>
      </c>
      <c r="I2956" s="3" t="s">
        <v>20</v>
      </c>
      <c r="J2956" s="3">
        <v>2.54</v>
      </c>
      <c r="K2956" s="3" t="s">
        <v>21</v>
      </c>
      <c r="L2956" s="3" t="s">
        <v>11578</v>
      </c>
      <c r="M2956" s="3" t="s">
        <v>11407</v>
      </c>
      <c r="N2956" s="6" t="str">
        <f>HYPERLINK("C:\Users\alexa\YandexDisk\Книги\Программирование\Разработка игр\Элементы гейм-дизайна.pdf","Элементы гейм-дизайна.pdf")</f>
        <v>Элементы гейм-дизайна.pdf</v>
      </c>
      <c r="O2956" s="3" t="s">
        <v>11579</v>
      </c>
    </row>
    <row r="2957" spans="1:15" ht="165.6" x14ac:dyDescent="0.3">
      <c r="A2957" s="4">
        <v>2956</v>
      </c>
      <c r="B2957" s="5" t="s">
        <v>11580</v>
      </c>
      <c r="C2957" s="5" t="s">
        <v>11581</v>
      </c>
      <c r="D2957" s="5"/>
      <c r="E2957" s="5"/>
      <c r="F2957" s="5" t="s">
        <v>11582</v>
      </c>
      <c r="G2957" s="5" t="s">
        <v>11583</v>
      </c>
      <c r="H2957" s="5" t="s">
        <v>11584</v>
      </c>
      <c r="I2957" s="5" t="s">
        <v>20</v>
      </c>
      <c r="J2957" s="5">
        <v>2.82</v>
      </c>
      <c r="K2957" s="5" t="s">
        <v>21</v>
      </c>
      <c r="L2957" s="5" t="s">
        <v>11585</v>
      </c>
      <c r="M2957" s="5" t="s">
        <v>11586</v>
      </c>
      <c r="N2957" s="7" t="str">
        <f>HYPERLINK("C:\Users\alexa\YandexDisk\Книги\Проектирование и моделирование информационных систем\ArchiMate\Archi User Guide.pdf","Archi User Guide.pdf")</f>
        <v>Archi User Guide.pdf</v>
      </c>
      <c r="O2957" s="5" t="s">
        <v>11587</v>
      </c>
    </row>
    <row r="2958" spans="1:15" ht="179.4" x14ac:dyDescent="0.3">
      <c r="A2958" s="2">
        <v>2957</v>
      </c>
      <c r="B2958" s="3" t="s">
        <v>11588</v>
      </c>
      <c r="C2958" s="3" t="s">
        <v>11589</v>
      </c>
      <c r="D2958" s="3"/>
      <c r="E2958" s="3"/>
      <c r="F2958" s="3" t="s">
        <v>11582</v>
      </c>
      <c r="G2958" s="3" t="s">
        <v>11583</v>
      </c>
      <c r="H2958" s="3" t="s">
        <v>11584</v>
      </c>
      <c r="I2958" s="3" t="s">
        <v>20</v>
      </c>
      <c r="J2958" s="3">
        <v>2.08</v>
      </c>
      <c r="K2958" s="3" t="s">
        <v>21</v>
      </c>
      <c r="L2958" s="3" t="s">
        <v>11590</v>
      </c>
      <c r="M2958" s="3" t="s">
        <v>11586</v>
      </c>
      <c r="N2958" s="6" t="str">
        <f>HYPERLINK("C:\Users\alexa\YandexDisk\Книги\Проектирование и моделирование информационных систем\ArchiMate\ArchiMate+Arch-презентацияi.pdf","ArchiMate+Arch-презентацияi.pdf")</f>
        <v>ArchiMate+Arch-презентацияi.pdf</v>
      </c>
      <c r="O2958" s="3" t="s">
        <v>11591</v>
      </c>
    </row>
    <row r="2959" spans="1:15" ht="193.2" x14ac:dyDescent="0.3">
      <c r="A2959" s="4">
        <v>2958</v>
      </c>
      <c r="B2959" s="5" t="s">
        <v>11592</v>
      </c>
      <c r="C2959" s="5" t="s">
        <v>11593</v>
      </c>
      <c r="D2959" s="5" t="s">
        <v>77</v>
      </c>
      <c r="E2959" s="5" t="s">
        <v>11593</v>
      </c>
      <c r="F2959" s="5" t="s">
        <v>11582</v>
      </c>
      <c r="G2959" s="5" t="s">
        <v>11583</v>
      </c>
      <c r="H2959" s="5" t="s">
        <v>11584</v>
      </c>
      <c r="I2959" s="5" t="s">
        <v>20</v>
      </c>
      <c r="J2959" s="5">
        <v>9.44</v>
      </c>
      <c r="K2959" s="5" t="s">
        <v>21</v>
      </c>
      <c r="L2959" s="5" t="s">
        <v>11594</v>
      </c>
      <c r="M2959" s="5" t="s">
        <v>11586</v>
      </c>
      <c r="N2959" s="7" t="str">
        <f>HYPERLINK("C:\Users\alexa\YandexDisk\Книги\Проектирование и моделирование информационных систем\ArchiMate\ARCHIMATE_v3_1_spec.pdf","ARCHIMATE_v3_1_spec.pdf")</f>
        <v>ARCHIMATE_v3_1_spec.pdf</v>
      </c>
      <c r="O2959" s="5" t="s">
        <v>11595</v>
      </c>
    </row>
    <row r="2960" spans="1:15" ht="207" x14ac:dyDescent="0.3">
      <c r="A2960" s="2">
        <v>2959</v>
      </c>
      <c r="B2960" s="3" t="s">
        <v>11596</v>
      </c>
      <c r="C2960" s="3" t="s">
        <v>11597</v>
      </c>
      <c r="D2960" s="3" t="s">
        <v>114</v>
      </c>
      <c r="E2960" s="3"/>
      <c r="F2960" s="3" t="s">
        <v>11582</v>
      </c>
      <c r="G2960" s="3" t="s">
        <v>11583</v>
      </c>
      <c r="H2960" s="3" t="s">
        <v>11584</v>
      </c>
      <c r="I2960" s="3" t="s">
        <v>20</v>
      </c>
      <c r="J2960" s="3">
        <v>0.56999999999999995</v>
      </c>
      <c r="K2960" s="3" t="s">
        <v>21</v>
      </c>
      <c r="L2960" s="3" t="s">
        <v>11598</v>
      </c>
      <c r="M2960" s="3" t="s">
        <v>11586</v>
      </c>
      <c r="N2960" s="6" t="str">
        <f>HYPERLINK("C:\Users\alexa\YandexDisk\Книги\Проектирование и моделирование информационных систем\ArchiMate\EA_ArchiMate-lecture_2.pdf","EA_ArchiMate-lecture_2.pdf")</f>
        <v>EA_ArchiMate-lecture_2.pdf</v>
      </c>
      <c r="O2960" s="3" t="s">
        <v>11599</v>
      </c>
    </row>
    <row r="2961" spans="1:15" ht="207" x14ac:dyDescent="0.3">
      <c r="A2961" s="4">
        <v>2960</v>
      </c>
      <c r="B2961" s="5" t="s">
        <v>3097</v>
      </c>
      <c r="C2961" s="5" t="s">
        <v>11600</v>
      </c>
      <c r="D2961" s="5"/>
      <c r="E2961" s="5"/>
      <c r="F2961" s="5" t="s">
        <v>11601</v>
      </c>
      <c r="G2961" s="5" t="s">
        <v>11583</v>
      </c>
      <c r="H2961" s="5" t="s">
        <v>11602</v>
      </c>
      <c r="I2961" s="5" t="s">
        <v>20</v>
      </c>
      <c r="J2961" s="5">
        <v>11.65</v>
      </c>
      <c r="K2961" s="5" t="s">
        <v>21</v>
      </c>
      <c r="L2961" s="5" t="s">
        <v>11603</v>
      </c>
      <c r="M2961" s="5" t="s">
        <v>11604</v>
      </c>
      <c r="N2961" s="7" t="str">
        <f>HYPERLINK("C:\Users\alexa\YandexDisk\Книги\Проектирование и моделирование информационных систем\BPMN\BPM CBOK 4.0.pdf","BPM CBOK 4.0.pdf")</f>
        <v>BPM CBOK 4.0.pdf</v>
      </c>
      <c r="O2961" s="5" t="s">
        <v>11605</v>
      </c>
    </row>
    <row r="2962" spans="1:15" ht="220.8" x14ac:dyDescent="0.3">
      <c r="A2962" s="2">
        <v>2961</v>
      </c>
      <c r="B2962" s="3" t="s">
        <v>11606</v>
      </c>
      <c r="C2962" s="3" t="s">
        <v>11607</v>
      </c>
      <c r="D2962" s="3" t="s">
        <v>837</v>
      </c>
      <c r="E2962" s="3" t="s">
        <v>11608</v>
      </c>
      <c r="F2962" s="3" t="s">
        <v>11601</v>
      </c>
      <c r="G2962" s="3" t="s">
        <v>11583</v>
      </c>
      <c r="H2962" s="3" t="s">
        <v>11602</v>
      </c>
      <c r="I2962" s="3" t="s">
        <v>20</v>
      </c>
      <c r="J2962" s="3">
        <v>6.78</v>
      </c>
      <c r="K2962" s="3" t="s">
        <v>21</v>
      </c>
      <c r="L2962" s="3" t="s">
        <v>11609</v>
      </c>
      <c r="M2962" s="3" t="s">
        <v>11604</v>
      </c>
      <c r="N2962" s="6" t="str">
        <f>HYPERLINK("C:\Users\alexa\YandexDisk\Книги\Проектирование и моделирование информационных систем\BPMN\BPMN - formal-11-01-03.pdf","BPMN - formal-11-01-03.pdf")</f>
        <v>BPMN - formal-11-01-03.pdf</v>
      </c>
      <c r="O2962" s="3" t="s">
        <v>11610</v>
      </c>
    </row>
    <row r="2963" spans="1:15" ht="207" x14ac:dyDescent="0.3">
      <c r="A2963" s="4">
        <v>2962</v>
      </c>
      <c r="B2963" s="5" t="s">
        <v>11611</v>
      </c>
      <c r="C2963" s="5" t="s">
        <v>11612</v>
      </c>
      <c r="D2963" s="5" t="s">
        <v>274</v>
      </c>
      <c r="E2963" s="5" t="s">
        <v>11613</v>
      </c>
      <c r="F2963" s="5" t="s">
        <v>11601</v>
      </c>
      <c r="G2963" s="5" t="s">
        <v>11583</v>
      </c>
      <c r="H2963" s="5" t="s">
        <v>11602</v>
      </c>
      <c r="I2963" s="5" t="s">
        <v>20</v>
      </c>
      <c r="J2963" s="5">
        <v>2.94</v>
      </c>
      <c r="K2963" s="5" t="s">
        <v>21</v>
      </c>
      <c r="L2963" s="5" t="s">
        <v>11614</v>
      </c>
      <c r="M2963" s="5" t="s">
        <v>11604</v>
      </c>
      <c r="N2963" s="7" t="str">
        <f>HYPERLINK("C:\Users\alexa\YandexDisk\Книги\Проектирование и моделирование информационных систем\BPMN\BPMN-dtc-10-06-02.pdf","BPMN-dtc-10-06-02.pdf")</f>
        <v>BPMN-dtc-10-06-02.pdf</v>
      </c>
      <c r="O2963" s="5" t="s">
        <v>11615</v>
      </c>
    </row>
    <row r="2964" spans="1:15" ht="179.4" x14ac:dyDescent="0.3">
      <c r="A2964" s="2">
        <v>2963</v>
      </c>
      <c r="B2964" s="3" t="s">
        <v>11616</v>
      </c>
      <c r="C2964" s="3" t="s">
        <v>11617</v>
      </c>
      <c r="D2964" s="3"/>
      <c r="E2964" s="3"/>
      <c r="F2964" s="3" t="s">
        <v>11601</v>
      </c>
      <c r="G2964" s="3" t="s">
        <v>11583</v>
      </c>
      <c r="H2964" s="3" t="s">
        <v>11602</v>
      </c>
      <c r="I2964" s="3" t="s">
        <v>20</v>
      </c>
      <c r="J2964" s="3">
        <v>0.27</v>
      </c>
      <c r="K2964" s="3" t="s">
        <v>21</v>
      </c>
      <c r="L2964" s="3" t="s">
        <v>11618</v>
      </c>
      <c r="M2964" s="3" t="s">
        <v>11604</v>
      </c>
      <c r="N2964" s="6" t="str">
        <f>HYPERLINK("C:\Users\alexa\YandexDisk\Книги\Проектирование и моделирование информационных систем\BPMN\BPMN2_0_Poster_RU.pdf","BPMN2_0_Poster_RU.pdf")</f>
        <v>BPMN2_0_Poster_RU.pdf</v>
      </c>
      <c r="O2964" s="3" t="s">
        <v>11619</v>
      </c>
    </row>
    <row r="2965" spans="1:15" ht="207" x14ac:dyDescent="0.3">
      <c r="A2965" s="4">
        <v>2964</v>
      </c>
      <c r="B2965" s="5" t="s">
        <v>11620</v>
      </c>
      <c r="C2965" s="5" t="s">
        <v>11621</v>
      </c>
      <c r="D2965" s="5" t="s">
        <v>17</v>
      </c>
      <c r="E2965" s="5" t="s">
        <v>11622</v>
      </c>
      <c r="F2965" s="5" t="s">
        <v>11601</v>
      </c>
      <c r="G2965" s="5" t="s">
        <v>11583</v>
      </c>
      <c r="H2965" s="5" t="s">
        <v>11602</v>
      </c>
      <c r="I2965" s="5" t="s">
        <v>20</v>
      </c>
      <c r="J2965" s="5">
        <v>2.52</v>
      </c>
      <c r="K2965" s="5" t="s">
        <v>21</v>
      </c>
      <c r="L2965" s="5" t="s">
        <v>11623</v>
      </c>
      <c r="M2965" s="5" t="s">
        <v>11604</v>
      </c>
      <c r="N2965" s="7" t="str">
        <f>HYPERLINK("C:\Users\alexa\YandexDisk\Книги\Проектирование и моделирование информационных систем\BPMN\BPR-Manual_designed---Rus---final.pdf","BPR-Manual_designed---Rus---final.pdf")</f>
        <v>BPR-Manual_designed---Rus---final.pdf</v>
      </c>
      <c r="O2965" s="5" t="s">
        <v>11624</v>
      </c>
    </row>
    <row r="2966" spans="1:15" ht="151.80000000000001" x14ac:dyDescent="0.3">
      <c r="A2966" s="2">
        <v>2965</v>
      </c>
      <c r="B2966" s="3" t="s">
        <v>11625</v>
      </c>
      <c r="C2966" s="3" t="s">
        <v>11626</v>
      </c>
      <c r="D2966" s="3" t="s">
        <v>114</v>
      </c>
      <c r="E2966" s="3" t="s">
        <v>11627</v>
      </c>
      <c r="F2966" s="3" t="s">
        <v>11601</v>
      </c>
      <c r="G2966" s="3" t="s">
        <v>11583</v>
      </c>
      <c r="H2966" s="3" t="s">
        <v>11602</v>
      </c>
      <c r="I2966" s="3" t="s">
        <v>20</v>
      </c>
      <c r="J2966" s="3">
        <v>8.4600000000000009</v>
      </c>
      <c r="K2966" s="3" t="s">
        <v>21</v>
      </c>
      <c r="L2966" s="3" t="s">
        <v>11628</v>
      </c>
      <c r="M2966" s="3" t="s">
        <v>11604</v>
      </c>
      <c r="N2966" s="6" t="str">
        <f>HYPERLINK("C:\Users\alexa\YandexDisk\Книги\Проектирование и моделирование информационных систем\BPMN\oficialnoe-opisanie-notacii-bpmn-na-russkom-yazyke.pdf","oficialnoe-opisanie-notacii-bpmn-na-russkom-yazyke.pdf")</f>
        <v>oficialnoe-opisanie-notacii-bpmn-na-russkom-yazyke.pdf</v>
      </c>
      <c r="O2966" s="3" t="s">
        <v>11629</v>
      </c>
    </row>
    <row r="2967" spans="1:15" ht="151.80000000000001" x14ac:dyDescent="0.3">
      <c r="A2967" s="4">
        <v>2966</v>
      </c>
      <c r="B2967" s="5" t="s">
        <v>11630</v>
      </c>
      <c r="C2967" s="5" t="s">
        <v>11631</v>
      </c>
      <c r="D2967" s="5" t="s">
        <v>17</v>
      </c>
      <c r="E2967" s="5" t="s">
        <v>6828</v>
      </c>
      <c r="F2967" s="5" t="s">
        <v>11601</v>
      </c>
      <c r="G2967" s="5" t="s">
        <v>11583</v>
      </c>
      <c r="H2967" s="5" t="s">
        <v>11602</v>
      </c>
      <c r="I2967" s="5" t="s">
        <v>20</v>
      </c>
      <c r="J2967" s="5">
        <v>6.71</v>
      </c>
      <c r="K2967" s="5" t="s">
        <v>21</v>
      </c>
      <c r="L2967" s="5" t="s">
        <v>11632</v>
      </c>
      <c r="M2967" s="5" t="s">
        <v>11604</v>
      </c>
      <c r="N2967" s="7" t="str">
        <f>HYPERLINK("C:\Users\alexa\YandexDisk\Книги\Проектирование и моделирование информационных систем\BPMN\Repin_V._Modelirovanie_Biznes_Proc.pdf","Repin_V._Modelirovanie_Biznes_Proc.pdf")</f>
        <v>Repin_V._Modelirovanie_Biznes_Proc.pdf</v>
      </c>
      <c r="O2967" s="5" t="s">
        <v>11633</v>
      </c>
    </row>
    <row r="2968" spans="1:15" ht="165.6" x14ac:dyDescent="0.3">
      <c r="A2968" s="2">
        <v>2967</v>
      </c>
      <c r="B2968" s="3" t="s">
        <v>11634</v>
      </c>
      <c r="C2968" s="3" t="s">
        <v>11635</v>
      </c>
      <c r="D2968" s="3" t="s">
        <v>476</v>
      </c>
      <c r="E2968" s="3" t="s">
        <v>11636</v>
      </c>
      <c r="F2968" s="3" t="s">
        <v>11601</v>
      </c>
      <c r="G2968" s="3" t="s">
        <v>11583</v>
      </c>
      <c r="H2968" s="3" t="s">
        <v>11602</v>
      </c>
      <c r="I2968" s="3" t="s">
        <v>20</v>
      </c>
      <c r="J2968" s="3">
        <v>8.19</v>
      </c>
      <c r="K2968" s="3" t="s">
        <v>21</v>
      </c>
      <c r="L2968" s="3" t="s">
        <v>11637</v>
      </c>
      <c r="M2968" s="3" t="s">
        <v>11604</v>
      </c>
      <c r="N2968" s="6" t="str">
        <f>HYPERLINK("C:\Users\alexa\YandexDisk\Книги\Проектирование и моделирование информационных систем\BPMN\И_Г_Фёдоров_Моделирование_бизнес_процессов_в_нотации_BPMN2_0.pdf","И_Г_Фёдоров_Моделирование_бизнес_процессов_в_нотации_BPMN2_0.pdf")</f>
        <v>И_Г_Фёдоров_Моделирование_бизнес_процессов_в_нотации_BPMN2_0.pdf</v>
      </c>
      <c r="O2968" s="3" t="s">
        <v>11638</v>
      </c>
    </row>
    <row r="2969" spans="1:15" ht="193.2" x14ac:dyDescent="0.3">
      <c r="A2969" s="4">
        <v>2968</v>
      </c>
      <c r="B2969" s="5" t="s">
        <v>11639</v>
      </c>
      <c r="C2969" s="5" t="s">
        <v>11631</v>
      </c>
      <c r="D2969" s="5" t="s">
        <v>77</v>
      </c>
      <c r="E2969" s="5" t="s">
        <v>6828</v>
      </c>
      <c r="F2969" s="5" t="s">
        <v>11601</v>
      </c>
      <c r="G2969" s="5" t="s">
        <v>11583</v>
      </c>
      <c r="H2969" s="5" t="s">
        <v>11602</v>
      </c>
      <c r="I2969" s="5" t="s">
        <v>20</v>
      </c>
      <c r="J2969" s="5">
        <v>20.3</v>
      </c>
      <c r="K2969" s="5" t="s">
        <v>21</v>
      </c>
      <c r="L2969" s="5" t="s">
        <v>11640</v>
      </c>
      <c r="M2969" s="5" t="s">
        <v>11604</v>
      </c>
      <c r="N2969" s="7" t="str">
        <f>HYPERLINK("C:\Users\alexa\YandexDisk\Книги\Проектирование и моделирование информационных систем\BPMN\Моделирование бизнес-процессов в нотации BPMN.pdf","Моделирование бизнес-процессов в нотации BPMN.pdf")</f>
        <v>Моделирование бизнес-процессов в нотации BPMN.pdf</v>
      </c>
      <c r="O2969" s="5" t="s">
        <v>11641</v>
      </c>
    </row>
    <row r="2970" spans="1:15" ht="193.2" x14ac:dyDescent="0.3">
      <c r="A2970" s="2">
        <v>2969</v>
      </c>
      <c r="B2970" s="3" t="s">
        <v>11639</v>
      </c>
      <c r="C2970" s="3" t="s">
        <v>11631</v>
      </c>
      <c r="D2970" s="3" t="s">
        <v>77</v>
      </c>
      <c r="E2970" s="3" t="s">
        <v>1500</v>
      </c>
      <c r="F2970" s="3" t="s">
        <v>11601</v>
      </c>
      <c r="G2970" s="3" t="s">
        <v>11583</v>
      </c>
      <c r="H2970" s="3" t="s">
        <v>11602</v>
      </c>
      <c r="I2970" s="3" t="s">
        <v>280</v>
      </c>
      <c r="J2970" s="3">
        <v>3.02</v>
      </c>
      <c r="K2970" s="3" t="s">
        <v>21</v>
      </c>
      <c r="L2970" s="3" t="s">
        <v>11642</v>
      </c>
      <c r="M2970" s="3" t="s">
        <v>11604</v>
      </c>
      <c r="N2970" s="6" t="str">
        <f>HYPERLINK("C:\Users\alexa\YandexDisk\Книги\Проектирование и моделирование информационных систем\BPMN\моделирование бизнес-процессов в нотации bpmn_влад.epub","моделирование бизнес-процессов в нотации bpmn_влад.epub")</f>
        <v>моделирование бизнес-процессов в нотации bpmn_влад.epub</v>
      </c>
      <c r="O2970" s="3" t="s">
        <v>11643</v>
      </c>
    </row>
    <row r="2971" spans="1:15" ht="207" x14ac:dyDescent="0.3">
      <c r="A2971" s="4">
        <v>2970</v>
      </c>
      <c r="B2971" s="5" t="s">
        <v>11644</v>
      </c>
      <c r="C2971" s="5" t="s">
        <v>11645</v>
      </c>
      <c r="D2971" s="5"/>
      <c r="E2971" s="5"/>
      <c r="F2971" s="5" t="s">
        <v>11601</v>
      </c>
      <c r="G2971" s="5" t="s">
        <v>11583</v>
      </c>
      <c r="H2971" s="5" t="s">
        <v>11602</v>
      </c>
      <c r="I2971" s="5" t="s">
        <v>20</v>
      </c>
      <c r="J2971" s="5">
        <v>2.6</v>
      </c>
      <c r="K2971" s="5" t="s">
        <v>21</v>
      </c>
      <c r="L2971" s="5" t="s">
        <v>11646</v>
      </c>
      <c r="M2971" s="5" t="s">
        <v>11604</v>
      </c>
      <c r="N2971" s="7" t="str">
        <f>HYPERLINK("C:\Users\alexa\YandexDisk\Книги\Проектирование и моделирование информационных систем\BPMN\ФСИС_Нотация BPMN.pdf","ФСИС_Нотация BPMN.pdf")</f>
        <v>ФСИС_Нотация BPMN.pdf</v>
      </c>
      <c r="O2971" s="5" t="s">
        <v>11647</v>
      </c>
    </row>
    <row r="2972" spans="1:15" ht="193.2" x14ac:dyDescent="0.3">
      <c r="A2972" s="2">
        <v>2971</v>
      </c>
      <c r="B2972" s="3" t="s">
        <v>11648</v>
      </c>
      <c r="C2972" s="3" t="s">
        <v>11649</v>
      </c>
      <c r="D2972" s="3" t="s">
        <v>274</v>
      </c>
      <c r="E2972" s="3" t="s">
        <v>11650</v>
      </c>
      <c r="F2972" s="3" t="s">
        <v>11601</v>
      </c>
      <c r="G2972" s="3" t="s">
        <v>11583</v>
      </c>
      <c r="H2972" s="3" t="s">
        <v>11602</v>
      </c>
      <c r="I2972" s="3" t="s">
        <v>20</v>
      </c>
      <c r="J2972" s="3">
        <v>2.8</v>
      </c>
      <c r="K2972" s="3" t="s">
        <v>21</v>
      </c>
      <c r="L2972" s="3" t="s">
        <v>11651</v>
      </c>
      <c r="M2972" s="3" t="s">
        <v>11604</v>
      </c>
      <c r="N2972" s="6" t="str">
        <f>HYPERLINK("C:\Users\alexa\YandexDisk\Книги\Проектирование и моделирование информационных систем\BPMN\Функциональное моделирование.pdf","Функциональное моделирование.pdf")</f>
        <v>Функциональное моделирование.pdf</v>
      </c>
      <c r="O2972" s="3" t="s">
        <v>11652</v>
      </c>
    </row>
    <row r="2973" spans="1:15" ht="220.8" x14ac:dyDescent="0.3">
      <c r="A2973" s="4">
        <v>2972</v>
      </c>
      <c r="B2973" s="5" t="s">
        <v>11653</v>
      </c>
      <c r="C2973" s="5" t="s">
        <v>11654</v>
      </c>
      <c r="D2973" s="5" t="s">
        <v>2745</v>
      </c>
      <c r="E2973" s="5" t="s">
        <v>11655</v>
      </c>
      <c r="F2973" s="5" t="s">
        <v>11656</v>
      </c>
      <c r="G2973" s="5" t="s">
        <v>11583</v>
      </c>
      <c r="H2973" s="5" t="s">
        <v>11657</v>
      </c>
      <c r="I2973" s="5" t="s">
        <v>20</v>
      </c>
      <c r="J2973" s="5">
        <v>0.97</v>
      </c>
      <c r="K2973" s="5" t="s">
        <v>21</v>
      </c>
      <c r="L2973" s="5" t="s">
        <v>11658</v>
      </c>
      <c r="M2973" s="5" t="s">
        <v>11659</v>
      </c>
      <c r="N2973" s="7" t="str">
        <f>HYPERLINK("C:\Users\alexa\YandexDisk\Книги\Проектирование и моделирование информационных систем\IDEF0\idef0-rus.pdf","idef0-rus.pdf")</f>
        <v>idef0-rus.pdf</v>
      </c>
      <c r="O2973" s="5" t="s">
        <v>11660</v>
      </c>
    </row>
    <row r="2974" spans="1:15" ht="165.6" x14ac:dyDescent="0.3">
      <c r="A2974" s="2">
        <v>2973</v>
      </c>
      <c r="B2974" s="3" t="s">
        <v>11661</v>
      </c>
      <c r="C2974" s="3" t="s">
        <v>11662</v>
      </c>
      <c r="D2974" s="3" t="s">
        <v>186</v>
      </c>
      <c r="E2974" s="3" t="s">
        <v>11663</v>
      </c>
      <c r="F2974" s="3" t="s">
        <v>11656</v>
      </c>
      <c r="G2974" s="3" t="s">
        <v>11583</v>
      </c>
      <c r="H2974" s="3" t="s">
        <v>11657</v>
      </c>
      <c r="I2974" s="3" t="s">
        <v>20</v>
      </c>
      <c r="J2974" s="3">
        <v>0.71</v>
      </c>
      <c r="K2974" s="3" t="s">
        <v>21</v>
      </c>
      <c r="L2974" s="3" t="s">
        <v>11664</v>
      </c>
      <c r="M2974" s="3" t="s">
        <v>11659</v>
      </c>
      <c r="N2974" s="6" t="str">
        <f>HYPERLINK("C:\Users\alexa\YandexDisk\Книги\Проектирование и моделирование информационных систем\IDEF0\Киселев Д.Ю. Функциональное моделирование.pdf","Киселев Д.Ю. Функциональное моделирование.pdf")</f>
        <v>Киселев Д.Ю. Функциональное моделирование.pdf</v>
      </c>
      <c r="O2974" s="3" t="s">
        <v>11665</v>
      </c>
    </row>
    <row r="2975" spans="1:15" ht="207" x14ac:dyDescent="0.3">
      <c r="A2975" s="4">
        <v>2974</v>
      </c>
      <c r="B2975" s="5" t="s">
        <v>11666</v>
      </c>
      <c r="C2975" s="5" t="s">
        <v>11667</v>
      </c>
      <c r="D2975" s="5" t="s">
        <v>71</v>
      </c>
      <c r="E2975" s="5" t="s">
        <v>102</v>
      </c>
      <c r="F2975" s="5" t="s">
        <v>11668</v>
      </c>
      <c r="G2975" s="5" t="s">
        <v>11583</v>
      </c>
      <c r="H2975" s="5" t="s">
        <v>11669</v>
      </c>
      <c r="I2975" s="5" t="s">
        <v>20</v>
      </c>
      <c r="J2975" s="5">
        <v>56.89</v>
      </c>
      <c r="K2975" s="5" t="s">
        <v>21</v>
      </c>
      <c r="L2975" s="5" t="s">
        <v>11670</v>
      </c>
      <c r="M2975" s="5" t="s">
        <v>11671</v>
      </c>
      <c r="N2975" s="7" t="str">
        <f>HYPERLINK("C:\Users\alexa\YandexDisk\Книги\Проектирование и моделирование информационных систем\PowerBi\POWER BI Моделирование на экспертном уровне.pdf","POWER BI Моделирование на экспертном уровне.pdf")</f>
        <v>POWER BI Моделирование на экспертном уровне.pdf</v>
      </c>
      <c r="O2975" s="5" t="s">
        <v>11672</v>
      </c>
    </row>
    <row r="2976" spans="1:15" ht="138" x14ac:dyDescent="0.3">
      <c r="A2976" s="2">
        <v>2975</v>
      </c>
      <c r="B2976" s="3" t="s">
        <v>11673</v>
      </c>
      <c r="C2976" s="3" t="s">
        <v>11674</v>
      </c>
      <c r="D2976" s="3" t="s">
        <v>17</v>
      </c>
      <c r="E2976" s="3" t="s">
        <v>402</v>
      </c>
      <c r="F2976" s="3" t="s">
        <v>11668</v>
      </c>
      <c r="G2976" s="3" t="s">
        <v>11583</v>
      </c>
      <c r="H2976" s="3" t="s">
        <v>11669</v>
      </c>
      <c r="I2976" s="3" t="s">
        <v>519</v>
      </c>
      <c r="J2976" s="3">
        <v>83.97</v>
      </c>
      <c r="K2976" s="3" t="s">
        <v>21</v>
      </c>
      <c r="L2976" s="3" t="s">
        <v>11675</v>
      </c>
      <c r="M2976" s="3" t="s">
        <v>11671</v>
      </c>
      <c r="N2976" s="6" t="str">
        <f>HYPERLINK("C:\Users\alexa\YandexDisk\Книги\Проектирование и моделирование информационных систем\PowerBi\Power Query в Excel и Power BI.zip","Power Query в Excel и Power BI.zip")</f>
        <v>Power Query в Excel и Power BI.zip</v>
      </c>
      <c r="O2976" s="3" t="s">
        <v>11676</v>
      </c>
    </row>
    <row r="2977" spans="1:15" ht="193.2" x14ac:dyDescent="0.3">
      <c r="A2977" s="4">
        <v>2976</v>
      </c>
      <c r="B2977" s="5" t="s">
        <v>11677</v>
      </c>
      <c r="C2977" s="5"/>
      <c r="D2977" s="5" t="s">
        <v>50</v>
      </c>
      <c r="E2977" s="5" t="s">
        <v>11678</v>
      </c>
      <c r="F2977" s="5" t="s">
        <v>11679</v>
      </c>
      <c r="G2977" s="5" t="s">
        <v>11583</v>
      </c>
      <c r="H2977" s="5" t="s">
        <v>11680</v>
      </c>
      <c r="I2977" s="5" t="s">
        <v>20</v>
      </c>
      <c r="J2977" s="5">
        <v>5.01</v>
      </c>
      <c r="K2977" s="5" t="s">
        <v>21</v>
      </c>
      <c r="L2977" s="5" t="s">
        <v>11681</v>
      </c>
      <c r="M2977" s="5" t="s">
        <v>11682</v>
      </c>
      <c r="N2977" s="7" t="str">
        <f>HYPERLINK("C:\Users\alexa\YandexDisk\Книги\Проектирование и моделирование информационных систем\UML\INCOSE Guide for Writing Requirements.pdf","INCOSE Guide for Writing Requirements.pdf")</f>
        <v>INCOSE Guide for Writing Requirements.pdf</v>
      </c>
      <c r="O2977" s="5" t="s">
        <v>11683</v>
      </c>
    </row>
    <row r="2978" spans="1:15" ht="151.80000000000001" x14ac:dyDescent="0.3">
      <c r="A2978" s="2">
        <v>2977</v>
      </c>
      <c r="B2978" s="3" t="s">
        <v>11684</v>
      </c>
      <c r="C2978" s="3" t="s">
        <v>11685</v>
      </c>
      <c r="D2978" s="3" t="s">
        <v>71</v>
      </c>
      <c r="E2978" s="3" t="s">
        <v>2183</v>
      </c>
      <c r="F2978" s="3" t="s">
        <v>11679</v>
      </c>
      <c r="G2978" s="3" t="s">
        <v>11583</v>
      </c>
      <c r="H2978" s="3" t="s">
        <v>11680</v>
      </c>
      <c r="I2978" s="3" t="s">
        <v>20</v>
      </c>
      <c r="J2978" s="3">
        <v>10</v>
      </c>
      <c r="K2978" s="3" t="s">
        <v>21</v>
      </c>
      <c r="L2978" s="3" t="s">
        <v>11686</v>
      </c>
      <c r="M2978" s="3" t="s">
        <v>11682</v>
      </c>
      <c r="N2978" s="6" t="str">
        <f>HYPERLINK("C:\Users\alexa\YandexDisk\Книги\Проектирование и моделирование информационных систем\UML\Modeling and Simulation in Python.pdf","Modeling and Simulation in Python.pdf")</f>
        <v>Modeling and Simulation in Python.pdf</v>
      </c>
      <c r="O2978" s="3" t="s">
        <v>11687</v>
      </c>
    </row>
    <row r="2979" spans="1:15" ht="193.2" x14ac:dyDescent="0.3">
      <c r="A2979" s="4">
        <v>2978</v>
      </c>
      <c r="B2979" s="5" t="s">
        <v>11688</v>
      </c>
      <c r="C2979" s="5" t="s">
        <v>11689</v>
      </c>
      <c r="D2979" s="5" t="s">
        <v>32</v>
      </c>
      <c r="E2979" s="5" t="s">
        <v>2183</v>
      </c>
      <c r="F2979" s="5" t="s">
        <v>11679</v>
      </c>
      <c r="G2979" s="5" t="s">
        <v>11583</v>
      </c>
      <c r="H2979" s="5" t="s">
        <v>11680</v>
      </c>
      <c r="I2979" s="5" t="s">
        <v>20</v>
      </c>
      <c r="J2979" s="5">
        <v>7.45</v>
      </c>
      <c r="K2979" s="5" t="s">
        <v>21</v>
      </c>
      <c r="L2979" s="5" t="s">
        <v>11690</v>
      </c>
      <c r="M2979" s="5" t="s">
        <v>11682</v>
      </c>
      <c r="N2979" s="7" t="str">
        <f>HYPERLINK("C:\Users\alexa\YandexDisk\Книги\Проектирование и моделирование информационных систем\UML\Software Engineering  UML.pdf","Software Engineering  UML.pdf")</f>
        <v>Software Engineering  UML.pdf</v>
      </c>
      <c r="O2979" s="5" t="s">
        <v>11691</v>
      </c>
    </row>
    <row r="2980" spans="1:15" ht="151.80000000000001" x14ac:dyDescent="0.3">
      <c r="A2980" s="2">
        <v>2979</v>
      </c>
      <c r="B2980" s="3" t="s">
        <v>11692</v>
      </c>
      <c r="C2980" s="3"/>
      <c r="D2980" s="3"/>
      <c r="E2980" s="3"/>
      <c r="F2980" s="3" t="s">
        <v>11679</v>
      </c>
      <c r="G2980" s="3" t="s">
        <v>11583</v>
      </c>
      <c r="H2980" s="3" t="s">
        <v>11680</v>
      </c>
      <c r="I2980" s="3" t="s">
        <v>20</v>
      </c>
      <c r="J2980" s="3">
        <v>33.28</v>
      </c>
      <c r="K2980" s="3" t="s">
        <v>21</v>
      </c>
      <c r="L2980" s="3" t="s">
        <v>11693</v>
      </c>
      <c r="M2980" s="3" t="s">
        <v>11682</v>
      </c>
      <c r="N2980" s="6" t="str">
        <f>HYPERLINK("C:\Users\alexa\YandexDisk\Книги\Проектирование и моделирование информационных систем\UML\UML для простых смертных.pdf","UML для простых смертных.pdf")</f>
        <v>UML для простых смертных.pdf</v>
      </c>
      <c r="O2980" s="3" t="s">
        <v>11694</v>
      </c>
    </row>
    <row r="2981" spans="1:15" ht="151.80000000000001" x14ac:dyDescent="0.3">
      <c r="A2981" s="4">
        <v>2980</v>
      </c>
      <c r="B2981" s="5" t="s">
        <v>11695</v>
      </c>
      <c r="C2981" s="5" t="s">
        <v>11696</v>
      </c>
      <c r="D2981" s="5" t="s">
        <v>71</v>
      </c>
      <c r="E2981" s="5" t="s">
        <v>2183</v>
      </c>
      <c r="F2981" s="5" t="s">
        <v>11679</v>
      </c>
      <c r="G2981" s="5" t="s">
        <v>11583</v>
      </c>
      <c r="H2981" s="5" t="s">
        <v>11680</v>
      </c>
      <c r="I2981" s="5" t="s">
        <v>20</v>
      </c>
      <c r="J2981" s="5">
        <v>55.87</v>
      </c>
      <c r="K2981" s="5" t="s">
        <v>21</v>
      </c>
      <c r="L2981" s="5" t="s">
        <v>11697</v>
      </c>
      <c r="M2981" s="5" t="s">
        <v>11682</v>
      </c>
      <c r="N2981" s="7" t="str">
        <f>HYPERLINK("C:\Users\alexa\YandexDisk\Книги\Проектирование и моделирование информационных систем\UML\UML.Diagramming (восстановленный).pdf","UML.Diagramming (восстановленный).pdf")</f>
        <v>UML.Diagramming (восстановленный).pdf</v>
      </c>
      <c r="O2981" s="5" t="s">
        <v>11698</v>
      </c>
    </row>
    <row r="2982" spans="1:15" ht="151.80000000000001" x14ac:dyDescent="0.3">
      <c r="A2982" s="2">
        <v>2981</v>
      </c>
      <c r="B2982" s="3" t="s">
        <v>11699</v>
      </c>
      <c r="C2982" s="3" t="s">
        <v>11700</v>
      </c>
      <c r="D2982" s="3" t="s">
        <v>109</v>
      </c>
      <c r="E2982" s="3" t="s">
        <v>2547</v>
      </c>
      <c r="F2982" s="3" t="s">
        <v>11679</v>
      </c>
      <c r="G2982" s="3" t="s">
        <v>11583</v>
      </c>
      <c r="H2982" s="3" t="s">
        <v>11680</v>
      </c>
      <c r="I2982" s="3" t="s">
        <v>20</v>
      </c>
      <c r="J2982" s="3">
        <v>19.05</v>
      </c>
      <c r="K2982" s="3" t="s">
        <v>21</v>
      </c>
      <c r="L2982" s="3" t="s">
        <v>11701</v>
      </c>
      <c r="M2982" s="3" t="s">
        <v>11682</v>
      </c>
      <c r="N2982" s="6" t="str">
        <f>HYPERLINK("C:\Users\alexa\YandexDisk\Книги\Проектирование и моделирование информационных систем\UML\Анализ и проектирование систем с использованием UML.pdf","Анализ и проектирование систем с использованием UML.pdf")</f>
        <v>Анализ и проектирование систем с использованием UML.pdf</v>
      </c>
      <c r="O2982" s="3" t="s">
        <v>11702</v>
      </c>
    </row>
    <row r="2983" spans="1:15" ht="193.2" x14ac:dyDescent="0.3">
      <c r="A2983" s="4">
        <v>2982</v>
      </c>
      <c r="B2983" s="5" t="s">
        <v>11703</v>
      </c>
      <c r="C2983" s="5" t="s">
        <v>11704</v>
      </c>
      <c r="D2983" s="5" t="s">
        <v>27</v>
      </c>
      <c r="E2983" s="5" t="s">
        <v>11705</v>
      </c>
      <c r="F2983" s="5" t="s">
        <v>11679</v>
      </c>
      <c r="G2983" s="5" t="s">
        <v>11583</v>
      </c>
      <c r="H2983" s="5" t="s">
        <v>11680</v>
      </c>
      <c r="I2983" s="5" t="s">
        <v>20</v>
      </c>
      <c r="J2983" s="5">
        <v>13.25</v>
      </c>
      <c r="K2983" s="5" t="s">
        <v>21</v>
      </c>
      <c r="L2983" s="5" t="s">
        <v>11706</v>
      </c>
      <c r="M2983" s="5" t="s">
        <v>11682</v>
      </c>
      <c r="N2983" s="7" t="str">
        <f>HYPERLINK("C:\Users\alexa\YandexDisk\Книги\Проектирование и моделирование информационных систем\UML\Практическое моделирование на UML.pdf","Практическое моделирование на UML.pdf")</f>
        <v>Практическое моделирование на UML.pdf</v>
      </c>
      <c r="O2983" s="5" t="s">
        <v>11707</v>
      </c>
    </row>
    <row r="2984" spans="1:15" ht="193.2" x14ac:dyDescent="0.3">
      <c r="A2984" s="2">
        <v>2983</v>
      </c>
      <c r="B2984" s="3" t="s">
        <v>11708</v>
      </c>
      <c r="C2984" s="3" t="s">
        <v>11709</v>
      </c>
      <c r="D2984" s="3" t="s">
        <v>17</v>
      </c>
      <c r="E2984" s="3" t="s">
        <v>148</v>
      </c>
      <c r="F2984" s="3" t="s">
        <v>11679</v>
      </c>
      <c r="G2984" s="3" t="s">
        <v>11583</v>
      </c>
      <c r="H2984" s="3" t="s">
        <v>11680</v>
      </c>
      <c r="I2984" s="3" t="s">
        <v>20</v>
      </c>
      <c r="J2984" s="3">
        <v>3.5</v>
      </c>
      <c r="K2984" s="3" t="s">
        <v>21</v>
      </c>
      <c r="L2984" s="3" t="s">
        <v>11710</v>
      </c>
      <c r="M2984" s="3" t="s">
        <v>11682</v>
      </c>
      <c r="N2984" s="6" t="str">
        <f>HYPERLINK("C:\Users\alexa\YandexDisk\Книги\Проектирование и моделирование информационных систем\UML\Программная инженерия (UML).pdf","Программная инженерия (UML).pdf")</f>
        <v>Программная инженерия (UML).pdf</v>
      </c>
      <c r="O2984" s="3" t="s">
        <v>11711</v>
      </c>
    </row>
    <row r="2985" spans="1:15" ht="179.4" x14ac:dyDescent="0.3">
      <c r="A2985" s="4">
        <v>2984</v>
      </c>
      <c r="B2985" s="5" t="s">
        <v>11712</v>
      </c>
      <c r="C2985" s="5" t="s">
        <v>11713</v>
      </c>
      <c r="D2985" s="5" t="s">
        <v>27</v>
      </c>
      <c r="E2985" s="5" t="s">
        <v>18</v>
      </c>
      <c r="F2985" s="5" t="s">
        <v>11714</v>
      </c>
      <c r="G2985" s="5" t="s">
        <v>11583</v>
      </c>
      <c r="H2985" s="5" t="s">
        <v>11715</v>
      </c>
      <c r="I2985" s="5" t="s">
        <v>20</v>
      </c>
      <c r="J2985" s="5">
        <v>5.09</v>
      </c>
      <c r="K2985" s="5" t="s">
        <v>21</v>
      </c>
      <c r="L2985" s="5" t="s">
        <v>11716</v>
      </c>
      <c r="M2985" s="5" t="s">
        <v>11717</v>
      </c>
      <c r="N2985" s="7" t="str">
        <f>HYPERLINK("C:\Users\alexa\YandexDisk\Книги\Проектирование и моделирование информационных систем\Методы проектирования информационных систем\README-Суровые реалии разработчиков.pdf","README-Суровые реалии разработчиков.pdf")</f>
        <v>README-Суровые реалии разработчиков.pdf</v>
      </c>
      <c r="O2985" s="5" t="s">
        <v>11718</v>
      </c>
    </row>
    <row r="2986" spans="1:15" ht="193.2" x14ac:dyDescent="0.3">
      <c r="A2986" s="2">
        <v>2985</v>
      </c>
      <c r="B2986" s="3" t="s">
        <v>11719</v>
      </c>
      <c r="C2986" s="3" t="s">
        <v>11720</v>
      </c>
      <c r="D2986" s="3" t="s">
        <v>109</v>
      </c>
      <c r="E2986" s="3" t="s">
        <v>402</v>
      </c>
      <c r="F2986" s="3" t="s">
        <v>11721</v>
      </c>
      <c r="G2986" s="3" t="s">
        <v>11583</v>
      </c>
      <c r="H2986" s="3" t="s">
        <v>11722</v>
      </c>
      <c r="I2986" s="3" t="s">
        <v>20</v>
      </c>
      <c r="J2986" s="3">
        <v>17.87</v>
      </c>
      <c r="K2986" s="3" t="s">
        <v>21</v>
      </c>
      <c r="L2986" s="3" t="s">
        <v>11723</v>
      </c>
      <c r="M2986" s="3" t="s">
        <v>11717</v>
      </c>
      <c r="N2986" s="6" t="str">
        <f>HYPERLINK("C:\Users\alexa\YandexDisk\Книги\Проектирование и моделирование информационных систем\Методы проектирования информационных систем\Изучаем DDD – предметно-ориентированное проектирование.pdf","Изучаем DDD – предметно-ориентированное проектирование.pdf")</f>
        <v>Изучаем DDD – предметно-ориентированное проектирование.pdf</v>
      </c>
      <c r="O2986" s="3" t="s">
        <v>11724</v>
      </c>
    </row>
    <row r="2987" spans="1:15" ht="207" x14ac:dyDescent="0.3">
      <c r="A2987" s="4">
        <v>2986</v>
      </c>
      <c r="B2987" s="5" t="s">
        <v>11725</v>
      </c>
      <c r="C2987" s="5"/>
      <c r="D2987" s="5"/>
      <c r="E2987" s="5"/>
      <c r="F2987" s="5" t="s">
        <v>11714</v>
      </c>
      <c r="G2987" s="5" t="s">
        <v>11583</v>
      </c>
      <c r="H2987" s="5" t="s">
        <v>11715</v>
      </c>
      <c r="I2987" s="5" t="s">
        <v>20</v>
      </c>
      <c r="J2987" s="5">
        <v>16.73</v>
      </c>
      <c r="K2987" s="5" t="s">
        <v>21</v>
      </c>
      <c r="L2987" s="5" t="s">
        <v>11726</v>
      </c>
      <c r="M2987" s="5" t="s">
        <v>11717</v>
      </c>
      <c r="N2987" s="7" t="str">
        <f>HYPERLINK("C:\Users\alexa\YandexDisk\Книги\Проектирование и моделирование информационных систем\Методы проектирования информационных систем\Объектно-ориентированный анализ.pdf","Объектно-ориентированный анализ.pdf")</f>
        <v>Объектно-ориентированный анализ.pdf</v>
      </c>
      <c r="O2987" s="5" t="s">
        <v>11727</v>
      </c>
    </row>
    <row r="2988" spans="1:15" ht="165.6" x14ac:dyDescent="0.3">
      <c r="A2988" s="2">
        <v>2987</v>
      </c>
      <c r="B2988" s="3" t="s">
        <v>11063</v>
      </c>
      <c r="C2988" s="3" t="s">
        <v>11064</v>
      </c>
      <c r="D2988" s="3" t="s">
        <v>186</v>
      </c>
      <c r="E2988" s="3" t="s">
        <v>18</v>
      </c>
      <c r="F2988" s="3" t="s">
        <v>11714</v>
      </c>
      <c r="G2988" s="3" t="s">
        <v>11583</v>
      </c>
      <c r="H2988" s="3" t="s">
        <v>11715</v>
      </c>
      <c r="I2988" s="3" t="s">
        <v>20</v>
      </c>
      <c r="J2988" s="3">
        <v>8.5</v>
      </c>
      <c r="K2988" s="3" t="s">
        <v>21</v>
      </c>
      <c r="L2988" s="3" t="s">
        <v>11728</v>
      </c>
      <c r="M2988" s="3" t="s">
        <v>11717</v>
      </c>
      <c r="N2988" s="6" t="str">
        <f>HYPERLINK("C:\Users\alexa\YandexDisk\Книги\Проектирование и моделирование информационных систем\Методы проектирования информационных систем\Объектно_ориентированное_мышление.pdf","Объектно_ориентированное_мышление.pdf")</f>
        <v>Объектно_ориентированное_мышление.pdf</v>
      </c>
      <c r="O2988" s="3" t="s">
        <v>11729</v>
      </c>
    </row>
    <row r="2989" spans="1:15" ht="193.2" x14ac:dyDescent="0.3">
      <c r="A2989" s="4">
        <v>2988</v>
      </c>
      <c r="B2989" s="5" t="s">
        <v>11730</v>
      </c>
      <c r="C2989" s="5" t="s">
        <v>11731</v>
      </c>
      <c r="D2989" s="5" t="s">
        <v>59</v>
      </c>
      <c r="E2989" s="5" t="s">
        <v>18</v>
      </c>
      <c r="F2989" s="5" t="s">
        <v>11721</v>
      </c>
      <c r="G2989" s="5" t="s">
        <v>11583</v>
      </c>
      <c r="H2989" s="5" t="s">
        <v>11722</v>
      </c>
      <c r="I2989" s="5" t="s">
        <v>20</v>
      </c>
      <c r="J2989" s="5">
        <v>5.43</v>
      </c>
      <c r="K2989" s="5" t="s">
        <v>21</v>
      </c>
      <c r="L2989" s="5" t="s">
        <v>11732</v>
      </c>
      <c r="M2989" s="5" t="s">
        <v>11717</v>
      </c>
      <c r="N2989" s="7" t="str">
        <f>HYPERLINK("C:\Users\alexa\YandexDisk\Книги\Проектирование и моделирование информационных систем\Методы проектирования информационных систем\Объектно_ориентированный_подход_2020.pdf","Объектно_ориентированный_подход_2020.pdf")</f>
        <v>Объектно_ориентированный_подход_2020.pdf</v>
      </c>
      <c r="O2989" s="5" t="s">
        <v>11733</v>
      </c>
    </row>
    <row r="2990" spans="1:15" ht="96.6" x14ac:dyDescent="0.3">
      <c r="A2990" s="2">
        <v>2989</v>
      </c>
      <c r="B2990" s="3" t="s">
        <v>11734</v>
      </c>
      <c r="C2990" s="3"/>
      <c r="D2990" s="3"/>
      <c r="E2990" s="3"/>
      <c r="F2990" s="3" t="s">
        <v>11721</v>
      </c>
      <c r="G2990" s="3" t="s">
        <v>11583</v>
      </c>
      <c r="H2990" s="3" t="s">
        <v>11722</v>
      </c>
      <c r="I2990" s="3" t="s">
        <v>519</v>
      </c>
      <c r="J2990" s="3">
        <v>38.26</v>
      </c>
      <c r="K2990" s="3" t="s">
        <v>21</v>
      </c>
      <c r="L2990" s="3" t="s">
        <v>11735</v>
      </c>
      <c r="M2990" s="3" t="s">
        <v>11717</v>
      </c>
      <c r="N2990" s="6" t="str">
        <f>HYPERLINK("C:\Users\alexa\YandexDisk\Книги\Проектирование и моделирование информационных систем\Методы проектирования информационных систем\ОСРВ_и_технологии_разработки_кроссплатформенного_ПО_Части_1_3.zip","ОСРВ_и_технологии_разработки_кроссплатформенного_ПО_Части_1_3.zip")</f>
        <v>ОСРВ_и_технологии_разработки_кроссплатформенного_ПО_Части_1_3.zip</v>
      </c>
      <c r="O2990" s="3" t="s">
        <v>930</v>
      </c>
    </row>
    <row r="2991" spans="1:15" ht="151.80000000000001" x14ac:dyDescent="0.3">
      <c r="A2991" s="4">
        <v>2990</v>
      </c>
      <c r="B2991" s="5" t="s">
        <v>11736</v>
      </c>
      <c r="C2991" s="5"/>
      <c r="D2991" s="5"/>
      <c r="E2991" s="5"/>
      <c r="F2991" s="5" t="s">
        <v>11714</v>
      </c>
      <c r="G2991" s="5" t="s">
        <v>11583</v>
      </c>
      <c r="H2991" s="5" t="s">
        <v>11715</v>
      </c>
      <c r="I2991" s="5" t="s">
        <v>20</v>
      </c>
      <c r="J2991" s="5">
        <v>82.93</v>
      </c>
      <c r="K2991" s="5" t="s">
        <v>21</v>
      </c>
      <c r="L2991" s="5" t="s">
        <v>11737</v>
      </c>
      <c r="M2991" s="5" t="s">
        <v>11717</v>
      </c>
      <c r="N2991" s="7" t="str">
        <f>HYPERLINK("C:\Users\alexa\YandexDisk\Книги\Проектирование и моделирование информационных систем\Методы проектирования информационных систем\Оценка качества программного обеспечения. Практикум.pdf","Оценка качества программного обеспечения. Практикум.pdf")</f>
        <v>Оценка качества программного обеспечения. Практикум.pdf</v>
      </c>
      <c r="O2991" s="5" t="s">
        <v>11738</v>
      </c>
    </row>
    <row r="2992" spans="1:15" ht="179.4" x14ac:dyDescent="0.3">
      <c r="A2992" s="2">
        <v>2991</v>
      </c>
      <c r="B2992" s="3" t="s">
        <v>11739</v>
      </c>
      <c r="C2992" s="3" t="s">
        <v>11740</v>
      </c>
      <c r="D2992" s="3" t="s">
        <v>335</v>
      </c>
      <c r="E2992" s="3" t="s">
        <v>18</v>
      </c>
      <c r="F2992" s="3" t="s">
        <v>11714</v>
      </c>
      <c r="G2992" s="3" t="s">
        <v>11583</v>
      </c>
      <c r="H2992" s="3" t="s">
        <v>11715</v>
      </c>
      <c r="I2992" s="3" t="s">
        <v>20</v>
      </c>
      <c r="J2992" s="3">
        <v>5.32</v>
      </c>
      <c r="K2992" s="3" t="s">
        <v>21</v>
      </c>
      <c r="L2992" s="3" t="s">
        <v>11741</v>
      </c>
      <c r="M2992" s="3" t="s">
        <v>11717</v>
      </c>
      <c r="N2992" s="6" t="str">
        <f>HYPERLINK("C:\Users\alexa\YandexDisk\Книги\Проектирование и моделирование информационных систем\Методы проектирования информационных систем\Простое объектно-ориентированное проектирование.pdf","Простое объектно-ориентированное проектирование.pdf")</f>
        <v>Простое объектно-ориентированное проектирование.pdf</v>
      </c>
      <c r="O2992" s="3" t="s">
        <v>11742</v>
      </c>
    </row>
    <row r="2993" spans="1:15" ht="193.2" x14ac:dyDescent="0.3">
      <c r="A2993" s="4">
        <v>2992</v>
      </c>
      <c r="B2993" s="5" t="s">
        <v>11743</v>
      </c>
      <c r="C2993" s="5" t="s">
        <v>11744</v>
      </c>
      <c r="D2993" s="5" t="s">
        <v>27</v>
      </c>
      <c r="E2993" s="5" t="s">
        <v>18</v>
      </c>
      <c r="F2993" s="5" t="s">
        <v>11714</v>
      </c>
      <c r="G2993" s="5" t="s">
        <v>11583</v>
      </c>
      <c r="H2993" s="5" t="s">
        <v>11715</v>
      </c>
      <c r="I2993" s="5" t="s">
        <v>20</v>
      </c>
      <c r="J2993" s="5">
        <v>4.2</v>
      </c>
      <c r="K2993" s="5" t="s">
        <v>21</v>
      </c>
      <c r="L2993" s="5" t="s">
        <v>11745</v>
      </c>
      <c r="M2993" s="5" t="s">
        <v>11717</v>
      </c>
      <c r="N2993" s="7" t="str">
        <f>HYPERLINK("C:\Users\alexa\YandexDisk\Книги\Проектирование и моделирование информационных систем\Методы проектирования информационных систем\Современная программная инженерия.pdf","Современная программная инженерия.pdf")</f>
        <v>Современная программная инженерия.pdf</v>
      </c>
      <c r="O2993" s="5" t="s">
        <v>11746</v>
      </c>
    </row>
    <row r="2994" spans="1:15" ht="207" x14ac:dyDescent="0.3">
      <c r="A2994" s="2">
        <v>2993</v>
      </c>
      <c r="B2994" s="3" t="s">
        <v>11151</v>
      </c>
      <c r="C2994" s="3" t="s">
        <v>11152</v>
      </c>
      <c r="D2994" s="3" t="s">
        <v>186</v>
      </c>
      <c r="E2994" s="3" t="s">
        <v>11747</v>
      </c>
      <c r="F2994" s="3" t="s">
        <v>11748</v>
      </c>
      <c r="G2994" s="3" t="s">
        <v>11583</v>
      </c>
      <c r="H2994" s="3" t="s">
        <v>11749</v>
      </c>
      <c r="I2994" s="3" t="s">
        <v>20</v>
      </c>
      <c r="J2994" s="3">
        <v>3.25</v>
      </c>
      <c r="K2994" s="3" t="s">
        <v>21</v>
      </c>
      <c r="L2994" s="3" t="s">
        <v>11750</v>
      </c>
      <c r="M2994" s="3" t="s">
        <v>11751</v>
      </c>
      <c r="N2994" s="6" t="str">
        <f>HYPERLINK("C:\Users\alexa\YandexDisk\Книги\Проектирование и моделирование информационных систем\Управление требованиями\Вигерс Разработка требований_к_программному_обеспечению.pdf","Вигерс Разработка требований_к_программному_обеспечению.pdf")</f>
        <v>Вигерс Разработка требований_к_программному_обеспечению.pdf</v>
      </c>
      <c r="O2994" s="3" t="s">
        <v>11752</v>
      </c>
    </row>
    <row r="2995" spans="1:15" ht="207" x14ac:dyDescent="0.3">
      <c r="A2995" s="4">
        <v>2994</v>
      </c>
      <c r="B2995" s="5" t="s">
        <v>11753</v>
      </c>
      <c r="C2995" s="5" t="s">
        <v>11754</v>
      </c>
      <c r="D2995" s="5" t="s">
        <v>109</v>
      </c>
      <c r="E2995" s="5" t="s">
        <v>18</v>
      </c>
      <c r="F2995" s="5" t="s">
        <v>11748</v>
      </c>
      <c r="G2995" s="5" t="s">
        <v>11583</v>
      </c>
      <c r="H2995" s="5" t="s">
        <v>11749</v>
      </c>
      <c r="I2995" s="5" t="s">
        <v>20</v>
      </c>
      <c r="J2995" s="5">
        <v>14.59</v>
      </c>
      <c r="K2995" s="5" t="s">
        <v>21</v>
      </c>
      <c r="L2995" s="5" t="s">
        <v>11755</v>
      </c>
      <c r="M2995" s="5" t="s">
        <v>11751</v>
      </c>
      <c r="N2995" s="7" t="str">
        <f>HYPERLINK("C:\Users\alexa\YandexDisk\Книги\Проектирование и моделирование информационных систем\Управление требованиями\Вигерс. Жемчужины разработки.pdf","Вигерс. Жемчужины разработки.pdf")</f>
        <v>Вигерс. Жемчужины разработки.pdf</v>
      </c>
      <c r="O2995" s="5" t="s">
        <v>11756</v>
      </c>
    </row>
    <row r="2996" spans="1:15" ht="165.6" x14ac:dyDescent="0.3">
      <c r="A2996" s="2">
        <v>2995</v>
      </c>
      <c r="B2996" s="3" t="s">
        <v>11757</v>
      </c>
      <c r="C2996" s="3" t="s">
        <v>11758</v>
      </c>
      <c r="D2996" s="3" t="s">
        <v>1565</v>
      </c>
      <c r="E2996" s="3" t="s">
        <v>678</v>
      </c>
      <c r="F2996" s="3" t="s">
        <v>11748</v>
      </c>
      <c r="G2996" s="3" t="s">
        <v>11583</v>
      </c>
      <c r="H2996" s="3" t="s">
        <v>11749</v>
      </c>
      <c r="I2996" s="3" t="s">
        <v>20</v>
      </c>
      <c r="J2996" s="3">
        <v>4.3</v>
      </c>
      <c r="K2996" s="3" t="s">
        <v>21</v>
      </c>
      <c r="L2996" s="3" t="s">
        <v>11759</v>
      </c>
      <c r="M2996" s="3" t="s">
        <v>11751</v>
      </c>
      <c r="N2996" s="6" t="str">
        <f>HYPERLINK("C:\Users\alexa\YandexDisk\Книги\Проектирование и моделирование информационных систем\Управление требованиями\Разработка и управление требованиями.pdf","Разработка и управление требованиями.pdf")</f>
        <v>Разработка и управление требованиями.pdf</v>
      </c>
      <c r="O2996" s="3" t="s">
        <v>11760</v>
      </c>
    </row>
    <row r="2997" spans="1:15" ht="179.4" x14ac:dyDescent="0.3">
      <c r="A2997" s="4">
        <v>2996</v>
      </c>
      <c r="B2997" s="5" t="s">
        <v>11761</v>
      </c>
      <c r="C2997" s="5" t="s">
        <v>11762</v>
      </c>
      <c r="D2997" s="5" t="s">
        <v>71</v>
      </c>
      <c r="E2997" s="5" t="s">
        <v>303</v>
      </c>
      <c r="F2997" s="5" t="s">
        <v>11763</v>
      </c>
      <c r="G2997" s="5" t="s">
        <v>11763</v>
      </c>
      <c r="H2997" s="5"/>
      <c r="I2997" s="5" t="s">
        <v>20</v>
      </c>
      <c r="J2997" s="5">
        <v>3.47</v>
      </c>
      <c r="K2997" s="5" t="s">
        <v>21</v>
      </c>
      <c r="L2997" s="5" t="s">
        <v>11764</v>
      </c>
      <c r="M2997" s="5" t="s">
        <v>11765</v>
      </c>
      <c r="N2997" s="7" t="str">
        <f>HYPERLINK("C:\Users\alexa\YandexDisk\Книги\Разработка текстов и документов\50 примемов письма от Питера Кларка.pdf","50 примемов письма от Питера Кларка.pdf")</f>
        <v>50 примемов письма от Питера Кларка.pdf</v>
      </c>
      <c r="O2997" s="5" t="s">
        <v>11766</v>
      </c>
    </row>
    <row r="2998" spans="1:15" ht="193.2" x14ac:dyDescent="0.3">
      <c r="A2998" s="2">
        <v>2997</v>
      </c>
      <c r="B2998" s="3" t="s">
        <v>11767</v>
      </c>
      <c r="C2998" s="3" t="s">
        <v>11768</v>
      </c>
      <c r="D2998" s="3" t="s">
        <v>109</v>
      </c>
      <c r="E2998" s="3" t="s">
        <v>18</v>
      </c>
      <c r="F2998" s="3" t="s">
        <v>11763</v>
      </c>
      <c r="G2998" s="3" t="s">
        <v>11763</v>
      </c>
      <c r="H2998" s="3"/>
      <c r="I2998" s="3" t="s">
        <v>20</v>
      </c>
      <c r="J2998" s="3">
        <v>6.48</v>
      </c>
      <c r="K2998" s="3" t="s">
        <v>21</v>
      </c>
      <c r="L2998" s="3" t="s">
        <v>11769</v>
      </c>
      <c r="M2998" s="3" t="s">
        <v>11765</v>
      </c>
      <c r="N2998" s="6" t="str">
        <f>HYPERLINK("C:\Users\alexa\YandexDisk\Книги\Разработка текстов и документов\Здесь должен быть текст.pdf","Здесь должен быть текст.pdf")</f>
        <v>Здесь должен быть текст.pdf</v>
      </c>
      <c r="O2998" s="3" t="s">
        <v>11770</v>
      </c>
    </row>
    <row r="2999" spans="1:15" ht="179.4" x14ac:dyDescent="0.3">
      <c r="A2999" s="4">
        <v>2998</v>
      </c>
      <c r="B2999" s="5" t="s">
        <v>11771</v>
      </c>
      <c r="C2999" s="5" t="s">
        <v>11772</v>
      </c>
      <c r="D2999" s="5"/>
      <c r="E2999" s="5"/>
      <c r="F2999" s="5" t="s">
        <v>11763</v>
      </c>
      <c r="G2999" s="5" t="s">
        <v>11763</v>
      </c>
      <c r="H2999" s="5"/>
      <c r="I2999" s="5" t="s">
        <v>280</v>
      </c>
      <c r="J2999" s="5">
        <v>1.98</v>
      </c>
      <c r="K2999" s="5" t="s">
        <v>21</v>
      </c>
      <c r="L2999" s="5" t="s">
        <v>11773</v>
      </c>
      <c r="M2999" s="5" t="s">
        <v>11765</v>
      </c>
      <c r="N2999" s="7" t="str">
        <f>HYPERLINK("C:\Users\alexa\YandexDisk\Книги\Разработка текстов и документов\Пиши, сокращай - Максим Ильяхов &amp; Людмила Сарычева.epub","Пиши, сокращай - Максим Ильяхов &amp; Людмила Сарычева.epub")</f>
        <v>Пиши, сокращай - Максим Ильяхов &amp; Людмила Сарычева.epub</v>
      </c>
      <c r="O2999" s="5" t="s">
        <v>11774</v>
      </c>
    </row>
    <row r="3000" spans="1:15" ht="207" x14ac:dyDescent="0.3">
      <c r="A3000" s="2">
        <v>2999</v>
      </c>
      <c r="B3000" s="3" t="s">
        <v>11775</v>
      </c>
      <c r="C3000" s="3" t="s">
        <v>11776</v>
      </c>
      <c r="D3000" s="3" t="s">
        <v>17</v>
      </c>
      <c r="E3000" s="3" t="s">
        <v>1416</v>
      </c>
      <c r="F3000" s="3" t="s">
        <v>11763</v>
      </c>
      <c r="G3000" s="3" t="s">
        <v>11763</v>
      </c>
      <c r="H3000" s="3"/>
      <c r="I3000" s="3" t="s">
        <v>20</v>
      </c>
      <c r="J3000" s="3">
        <v>1.85</v>
      </c>
      <c r="K3000" s="3" t="s">
        <v>21</v>
      </c>
      <c r="L3000" s="3" t="s">
        <v>11777</v>
      </c>
      <c r="M3000" s="3" t="s">
        <v>11765</v>
      </c>
      <c r="N3000" s="6" t="str">
        <f>HYPERLINK("C:\Users\alexa\YandexDisk\Книги\Разработка текстов и документов\Этой кнопке нужен текст.pdf","Этой кнопке нужен текст.pdf")</f>
        <v>Этой кнопке нужен текст.pdf</v>
      </c>
      <c r="O3000" s="3" t="s">
        <v>11778</v>
      </c>
    </row>
    <row r="3001" spans="1:15" ht="179.4" x14ac:dyDescent="0.3">
      <c r="A3001" s="4">
        <v>3000</v>
      </c>
      <c r="B3001" s="5" t="s">
        <v>11779</v>
      </c>
      <c r="C3001" s="5" t="s">
        <v>11780</v>
      </c>
      <c r="D3001" s="5" t="s">
        <v>27</v>
      </c>
      <c r="E3001" s="5" t="s">
        <v>148</v>
      </c>
      <c r="F3001" s="5" t="s">
        <v>11781</v>
      </c>
      <c r="G3001" s="5" t="s">
        <v>11781</v>
      </c>
      <c r="H3001" s="5"/>
      <c r="I3001" s="5" t="s">
        <v>20</v>
      </c>
      <c r="J3001" s="5">
        <v>4.9800000000000004</v>
      </c>
      <c r="K3001" s="5" t="s">
        <v>21</v>
      </c>
      <c r="L3001" s="5" t="s">
        <v>11782</v>
      </c>
      <c r="M3001" s="5" t="s">
        <v>11783</v>
      </c>
      <c r="N3001" s="7" t="str">
        <f>HYPERLINK("C:\Users\alexa\YandexDisk\Книги\Тестирование\!!! Основы тестирования ПО.pdf","!!! Основы тестирования ПО.pdf")</f>
        <v>!!! Основы тестирования ПО.pdf</v>
      </c>
      <c r="O3001" s="5" t="s">
        <v>11784</v>
      </c>
    </row>
    <row r="3002" spans="1:15" ht="165.6" x14ac:dyDescent="0.3">
      <c r="A3002" s="2">
        <v>3001</v>
      </c>
      <c r="B3002" s="3" t="s">
        <v>8209</v>
      </c>
      <c r="C3002" s="3" t="s">
        <v>8210</v>
      </c>
      <c r="D3002" s="3" t="s">
        <v>77</v>
      </c>
      <c r="E3002" s="3" t="s">
        <v>303</v>
      </c>
      <c r="F3002" s="3" t="s">
        <v>11781</v>
      </c>
      <c r="G3002" s="3" t="s">
        <v>11781</v>
      </c>
      <c r="H3002" s="3"/>
      <c r="I3002" s="3" t="s">
        <v>20</v>
      </c>
      <c r="J3002" s="3">
        <v>4.4000000000000004</v>
      </c>
      <c r="K3002" s="3" t="s">
        <v>21</v>
      </c>
      <c r="L3002" s="3" t="s">
        <v>11785</v>
      </c>
      <c r="M3002" s="3" t="s">
        <v>11783</v>
      </c>
      <c r="N3002" s="6" t="str">
        <f>HYPERLINK("C:\Users\alexa\YandexDisk\Книги\Тестирование\Agile-тестирование.pdf","Agile-тестирование.pdf")</f>
        <v>Agile-тестирование.pdf</v>
      </c>
      <c r="O3002" s="3" t="s">
        <v>11786</v>
      </c>
    </row>
    <row r="3003" spans="1:15" ht="179.4" x14ac:dyDescent="0.3">
      <c r="A3003" s="4">
        <v>3002</v>
      </c>
      <c r="B3003" s="5" t="s">
        <v>11787</v>
      </c>
      <c r="C3003" s="5" t="s">
        <v>11788</v>
      </c>
      <c r="D3003" s="5" t="s">
        <v>17</v>
      </c>
      <c r="E3003" s="5" t="s">
        <v>536</v>
      </c>
      <c r="F3003" s="5" t="s">
        <v>11781</v>
      </c>
      <c r="G3003" s="5" t="s">
        <v>11781</v>
      </c>
      <c r="H3003" s="5"/>
      <c r="I3003" s="5" t="s">
        <v>20</v>
      </c>
      <c r="J3003" s="5">
        <v>14.65</v>
      </c>
      <c r="K3003" s="5" t="s">
        <v>21</v>
      </c>
      <c r="L3003" s="5" t="s">
        <v>11789</v>
      </c>
      <c r="M3003" s="5" t="s">
        <v>11783</v>
      </c>
      <c r="N3003" s="7" t="str">
        <f>HYPERLINK("C:\Users\alexa\YandexDisk\Книги\Тестирование\Effective Software Testing A developer guide 2022.pdf","Effective Software Testing A developer guide 2022.pdf")</f>
        <v>Effective Software Testing A developer guide 2022.pdf</v>
      </c>
      <c r="O3003" s="5" t="s">
        <v>11790</v>
      </c>
    </row>
    <row r="3004" spans="1:15" ht="138" x14ac:dyDescent="0.3">
      <c r="A3004" s="2">
        <v>3003</v>
      </c>
      <c r="B3004" s="3" t="s">
        <v>11791</v>
      </c>
      <c r="C3004" s="3" t="s">
        <v>11792</v>
      </c>
      <c r="D3004" s="3" t="s">
        <v>17</v>
      </c>
      <c r="E3004" s="3" t="s">
        <v>205</v>
      </c>
      <c r="F3004" s="3" t="s">
        <v>11781</v>
      </c>
      <c r="G3004" s="3" t="s">
        <v>11781</v>
      </c>
      <c r="H3004" s="3"/>
      <c r="I3004" s="3" t="s">
        <v>20</v>
      </c>
      <c r="J3004" s="3">
        <v>4.49</v>
      </c>
      <c r="K3004" s="3" t="s">
        <v>21</v>
      </c>
      <c r="L3004" s="3" t="s">
        <v>11793</v>
      </c>
      <c r="M3004" s="3" t="s">
        <v>11783</v>
      </c>
      <c r="N3004" s="6" t="str">
        <f>HYPERLINK("C:\Users\alexa\YandexDisk\Книги\Тестирование\End-to-End Web Testing CyPress.pdf","End-to-End Web Testing CyPress.pdf")</f>
        <v>End-to-End Web Testing CyPress.pdf</v>
      </c>
      <c r="O3004" s="3" t="s">
        <v>11794</v>
      </c>
    </row>
    <row r="3005" spans="1:15" ht="220.8" x14ac:dyDescent="0.3">
      <c r="A3005" s="4">
        <v>3004</v>
      </c>
      <c r="B3005" s="5" t="s">
        <v>11795</v>
      </c>
      <c r="C3005" s="5" t="s">
        <v>11796</v>
      </c>
      <c r="D3005" s="5"/>
      <c r="E3005" s="5" t="s">
        <v>442</v>
      </c>
      <c r="F3005" s="5" t="s">
        <v>11781</v>
      </c>
      <c r="G3005" s="5" t="s">
        <v>11781</v>
      </c>
      <c r="H3005" s="5"/>
      <c r="I3005" s="5" t="s">
        <v>20</v>
      </c>
      <c r="J3005" s="5">
        <v>18.05</v>
      </c>
      <c r="K3005" s="5" t="s">
        <v>21</v>
      </c>
      <c r="L3005" s="5" t="s">
        <v>11797</v>
      </c>
      <c r="M3005" s="5" t="s">
        <v>11783</v>
      </c>
      <c r="N3005" s="7" t="str">
        <f>HYPERLINK("C:\Users\alexa\YandexDisk\Книги\Тестирование\Full_Stack_Testing_A_Practical_Guide_for_Delivering_High_Quality.pdf","Full_Stack_Testing_A_Practical_Guide_for_Delivering_High_Quality.pdf")</f>
        <v>Full_Stack_Testing_A_Practical_Guide_for_Delivering_High_Quality.pdf</v>
      </c>
      <c r="O3005" s="5" t="s">
        <v>11798</v>
      </c>
    </row>
    <row r="3006" spans="1:15" ht="138" x14ac:dyDescent="0.3">
      <c r="A3006" s="2">
        <v>3005</v>
      </c>
      <c r="B3006" s="3" t="s">
        <v>11799</v>
      </c>
      <c r="C3006" s="3"/>
      <c r="D3006" s="3"/>
      <c r="E3006" s="3"/>
      <c r="F3006" s="3" t="s">
        <v>11781</v>
      </c>
      <c r="G3006" s="3" t="s">
        <v>11781</v>
      </c>
      <c r="H3006" s="3"/>
      <c r="I3006" s="3" t="s">
        <v>20</v>
      </c>
      <c r="J3006" s="3">
        <v>53.84</v>
      </c>
      <c r="K3006" s="3" t="s">
        <v>21</v>
      </c>
      <c r="L3006" s="3" t="s">
        <v>11800</v>
      </c>
      <c r="M3006" s="3" t="s">
        <v>11783</v>
      </c>
      <c r="N3006" s="6" t="str">
        <f>HYPERLINK("C:\Users\alexa\YandexDisk\Книги\Тестирование\Gibkoe_testirovanie_Prakticheskoe_rukovodstvo_dlya_testirovschikov.pdf","Gibkoe_testirovanie_Prakticheskoe_rukovodstvo_dlya_testirovschikov.pdf")</f>
        <v>Gibkoe_testirovanie_Prakticheskoe_rukovodstvo_dlya_testirovschikov.pdf</v>
      </c>
      <c r="O3006" s="3" t="s">
        <v>11801</v>
      </c>
    </row>
    <row r="3007" spans="1:15" ht="179.4" x14ac:dyDescent="0.3">
      <c r="A3007" s="4">
        <v>3006</v>
      </c>
      <c r="B3007" s="5" t="s">
        <v>11802</v>
      </c>
      <c r="C3007" s="5" t="s">
        <v>11803</v>
      </c>
      <c r="D3007" s="5" t="s">
        <v>186</v>
      </c>
      <c r="E3007" s="5" t="s">
        <v>18</v>
      </c>
      <c r="F3007" s="5" t="s">
        <v>11781</v>
      </c>
      <c r="G3007" s="5" t="s">
        <v>11781</v>
      </c>
      <c r="H3007" s="5"/>
      <c r="I3007" s="5" t="s">
        <v>280</v>
      </c>
      <c r="J3007" s="5">
        <v>8.5399999999999991</v>
      </c>
      <c r="K3007" s="5" t="s">
        <v>21</v>
      </c>
      <c r="L3007" s="5" t="s">
        <v>11804</v>
      </c>
      <c r="M3007" s="5" t="s">
        <v>11783</v>
      </c>
      <c r="N3007" s="7" t="str">
        <f>HYPERLINK("C:\Users\alexa\YandexDisk\Книги\Тестирование\how-google-tests-software.epub","how-google-tests-software.epub")</f>
        <v>how-google-tests-software.epub</v>
      </c>
      <c r="O3007" s="5" t="s">
        <v>11805</v>
      </c>
    </row>
    <row r="3008" spans="1:15" ht="165.6" x14ac:dyDescent="0.3">
      <c r="A3008" s="2">
        <v>3007</v>
      </c>
      <c r="B3008" s="3" t="s">
        <v>11806</v>
      </c>
      <c r="C3008" s="3" t="s">
        <v>11807</v>
      </c>
      <c r="D3008" s="3" t="s">
        <v>71</v>
      </c>
      <c r="E3008" s="3" t="s">
        <v>260</v>
      </c>
      <c r="F3008" s="3" t="s">
        <v>11781</v>
      </c>
      <c r="G3008" s="3" t="s">
        <v>11781</v>
      </c>
      <c r="H3008" s="3"/>
      <c r="I3008" s="3" t="s">
        <v>20</v>
      </c>
      <c r="J3008" s="3">
        <v>9.7799999999999994</v>
      </c>
      <c r="K3008" s="3" t="s">
        <v>21</v>
      </c>
      <c r="L3008" s="3" t="s">
        <v>11808</v>
      </c>
      <c r="M3008" s="3" t="s">
        <v>11783</v>
      </c>
      <c r="N3008" s="6" t="str">
        <f>HYPERLINK("C:\Users\alexa\YandexDisk\Книги\Тестирование\Learning Test-Driven Development A Polyglot Guide to Writing 2022.pdf","Learning Test-Driven Development A Polyglot Guide to Writing 2022.pdf")</f>
        <v>Learning Test-Driven Development A Polyglot Guide to Writing 2022.pdf</v>
      </c>
      <c r="O3008" s="3" t="s">
        <v>11809</v>
      </c>
    </row>
    <row r="3009" spans="1:15" ht="193.2" x14ac:dyDescent="0.3">
      <c r="A3009" s="4">
        <v>3008</v>
      </c>
      <c r="B3009" s="5" t="s">
        <v>11810</v>
      </c>
      <c r="C3009" s="5" t="s">
        <v>11811</v>
      </c>
      <c r="D3009" s="5" t="s">
        <v>59</v>
      </c>
      <c r="E3009" s="5" t="s">
        <v>227</v>
      </c>
      <c r="F3009" s="5" t="s">
        <v>11781</v>
      </c>
      <c r="G3009" s="5" t="s">
        <v>11781</v>
      </c>
      <c r="H3009" s="5"/>
      <c r="I3009" s="5" t="s">
        <v>20</v>
      </c>
      <c r="J3009" s="5">
        <v>7.53</v>
      </c>
      <c r="K3009" s="5" t="s">
        <v>21</v>
      </c>
      <c r="L3009" s="5" t="s">
        <v>11812</v>
      </c>
      <c r="M3009" s="5" t="s">
        <v>11783</v>
      </c>
      <c r="N3009" s="7" t="str">
        <f>HYPERLINK("C:\Users\alexa\YandexDisk\Книги\Тестирование\Practical_Test_Automation_Learn_to_Use_Jasmine,_RSpec,_and_Cucumber.pdf","Practical_Test_Automation_Learn_to_Use_Jasmine,_RSpec,_and_Cucumber.pdf")</f>
        <v>Practical_Test_Automation_Learn_to_Use_Jasmine,_RSpec,_and_Cucumber.pdf</v>
      </c>
      <c r="O3009" s="5" t="s">
        <v>11813</v>
      </c>
    </row>
    <row r="3010" spans="1:15" ht="151.80000000000001" x14ac:dyDescent="0.3">
      <c r="A3010" s="2">
        <v>3009</v>
      </c>
      <c r="B3010" s="3" t="s">
        <v>11814</v>
      </c>
      <c r="C3010" s="3" t="s">
        <v>11815</v>
      </c>
      <c r="D3010" s="3" t="s">
        <v>335</v>
      </c>
      <c r="E3010" s="3" t="s">
        <v>102</v>
      </c>
      <c r="F3010" s="3" t="s">
        <v>11781</v>
      </c>
      <c r="G3010" s="3" t="s">
        <v>11781</v>
      </c>
      <c r="H3010" s="3"/>
      <c r="I3010" s="3" t="s">
        <v>20</v>
      </c>
      <c r="J3010" s="3">
        <v>15.96</v>
      </c>
      <c r="K3010" s="3" t="s">
        <v>21</v>
      </c>
      <c r="L3010" s="3" t="s">
        <v>11816</v>
      </c>
      <c r="M3010" s="3" t="s">
        <v>11783</v>
      </c>
      <c r="N3010" s="6" t="str">
        <f>HYPERLINK("C:\Users\alexa\YandexDisk\Книги\Тестирование\QA тестирование, автоматизация и процессы на экспертном уровне.pdf","QA тестирование, автоматизация и процессы на экспертном уровне.pdf")</f>
        <v>QA тестирование, автоматизация и процессы на экспертном уровне.pdf</v>
      </c>
      <c r="O3010" s="3" t="s">
        <v>11817</v>
      </c>
    </row>
    <row r="3011" spans="1:15" ht="138" x14ac:dyDescent="0.3">
      <c r="A3011" s="4">
        <v>3010</v>
      </c>
      <c r="B3011" s="5" t="s">
        <v>11818</v>
      </c>
      <c r="C3011" s="5" t="s">
        <v>11819</v>
      </c>
      <c r="D3011" s="5" t="s">
        <v>59</v>
      </c>
      <c r="E3011" s="5" t="s">
        <v>11820</v>
      </c>
      <c r="F3011" s="5" t="s">
        <v>11781</v>
      </c>
      <c r="G3011" s="5" t="s">
        <v>11781</v>
      </c>
      <c r="H3011" s="5"/>
      <c r="I3011" s="5" t="s">
        <v>20</v>
      </c>
      <c r="J3011" s="5">
        <v>4.18</v>
      </c>
      <c r="K3011" s="5" t="s">
        <v>21</v>
      </c>
      <c r="L3011" s="5" t="s">
        <v>11821</v>
      </c>
      <c r="M3011" s="5" t="s">
        <v>11783</v>
      </c>
      <c r="N3011" s="7" t="str">
        <f>HYPERLINK("C:\Users\alexa\YandexDisk\Книги\Тестирование\Software_Testing_Base_Course_Svyatoslav_Kulikov_2nd_edition.pdf","Software_Testing_Base_Course_Svyatoslav_Kulikov_2nd_edition.pdf")</f>
        <v>Software_Testing_Base_Course_Svyatoslav_Kulikov_2nd_edition.pdf</v>
      </c>
      <c r="O3011" s="5" t="s">
        <v>11822</v>
      </c>
    </row>
    <row r="3012" spans="1:15" ht="179.4" x14ac:dyDescent="0.3">
      <c r="A3012" s="2">
        <v>3011</v>
      </c>
      <c r="B3012" s="3" t="s">
        <v>11823</v>
      </c>
      <c r="C3012" s="3" t="s">
        <v>11824</v>
      </c>
      <c r="D3012" s="3" t="s">
        <v>71</v>
      </c>
      <c r="E3012" s="3" t="s">
        <v>536</v>
      </c>
      <c r="F3012" s="3" t="s">
        <v>11781</v>
      </c>
      <c r="G3012" s="3" t="s">
        <v>11781</v>
      </c>
      <c r="H3012" s="3"/>
      <c r="I3012" s="3" t="s">
        <v>20</v>
      </c>
      <c r="J3012" s="3">
        <v>5.15</v>
      </c>
      <c r="K3012" s="3" t="s">
        <v>21</v>
      </c>
      <c r="L3012" s="3" t="s">
        <v>11825</v>
      </c>
      <c r="M3012" s="3" t="s">
        <v>11783</v>
      </c>
      <c r="N3012" s="6" t="str">
        <f>HYPERLINK("C:\Users\alexa\YandexDisk\Книги\Тестирование\The Art of Unit Testing, 3rd V7 2022.pdf","The Art of Unit Testing, 3rd V7 2022.pdf")</f>
        <v>The Art of Unit Testing, 3rd V7 2022.pdf</v>
      </c>
      <c r="O3012" s="3" t="s">
        <v>11826</v>
      </c>
    </row>
    <row r="3013" spans="1:15" ht="234.6" x14ac:dyDescent="0.3">
      <c r="A3013" s="4">
        <v>3012</v>
      </c>
      <c r="B3013" s="5" t="s">
        <v>11827</v>
      </c>
      <c r="C3013" s="5" t="s">
        <v>11828</v>
      </c>
      <c r="D3013" s="5" t="s">
        <v>65</v>
      </c>
      <c r="E3013" s="5" t="s">
        <v>11829</v>
      </c>
      <c r="F3013" s="5" t="s">
        <v>11781</v>
      </c>
      <c r="G3013" s="5" t="s">
        <v>11781</v>
      </c>
      <c r="H3013" s="5"/>
      <c r="I3013" s="5" t="s">
        <v>20</v>
      </c>
      <c r="J3013" s="5">
        <v>2.5</v>
      </c>
      <c r="K3013" s="5" t="s">
        <v>21</v>
      </c>
      <c r="L3013" s="5" t="s">
        <v>11830</v>
      </c>
      <c r="M3013" s="5" t="s">
        <v>11783</v>
      </c>
      <c r="N3013" s="7" t="str">
        <f>HYPERLINK("C:\Users\alexa\YandexDisk\Книги\Тестирование\БГУИР Автоматизация тестирования ПО методичка.pdf","БГУИР Автоматизация тестирования ПО методичка.pdf")</f>
        <v>БГУИР Автоматизация тестирования ПО методичка.pdf</v>
      </c>
      <c r="O3013" s="5" t="s">
        <v>11831</v>
      </c>
    </row>
    <row r="3014" spans="1:15" ht="124.2" x14ac:dyDescent="0.3">
      <c r="A3014" s="2">
        <v>3013</v>
      </c>
      <c r="B3014" s="3" t="s">
        <v>11832</v>
      </c>
      <c r="C3014" s="3"/>
      <c r="D3014" s="3"/>
      <c r="E3014" s="3"/>
      <c r="F3014" s="3" t="s">
        <v>11781</v>
      </c>
      <c r="G3014" s="3" t="s">
        <v>11781</v>
      </c>
      <c r="H3014" s="3"/>
      <c r="I3014" s="3" t="s">
        <v>20</v>
      </c>
      <c r="J3014" s="3">
        <v>53.85</v>
      </c>
      <c r="K3014" s="3" t="s">
        <v>21</v>
      </c>
      <c r="L3014" s="3" t="s">
        <v>11833</v>
      </c>
      <c r="M3014" s="3" t="s">
        <v>11783</v>
      </c>
      <c r="N3014" s="6" t="str">
        <f>HYPERLINK("C:\Users\alexa\YandexDisk\Книги\Тестирование\Гибкое тестирование.pdf","Гибкое тестирование.pdf")</f>
        <v>Гибкое тестирование.pdf</v>
      </c>
      <c r="O3014" s="3" t="s">
        <v>11834</v>
      </c>
    </row>
    <row r="3015" spans="1:15" ht="193.2" x14ac:dyDescent="0.3">
      <c r="A3015" s="4">
        <v>3014</v>
      </c>
      <c r="B3015" s="5" t="s">
        <v>11835</v>
      </c>
      <c r="C3015" s="5" t="s">
        <v>11836</v>
      </c>
      <c r="D3015" s="5"/>
      <c r="E3015" s="5" t="s">
        <v>102</v>
      </c>
      <c r="F3015" s="5" t="s">
        <v>11781</v>
      </c>
      <c r="G3015" s="5" t="s">
        <v>11781</v>
      </c>
      <c r="H3015" s="5"/>
      <c r="I3015" s="5" t="s">
        <v>20</v>
      </c>
      <c r="J3015" s="5">
        <v>7.17</v>
      </c>
      <c r="K3015" s="5" t="s">
        <v>21</v>
      </c>
      <c r="L3015" s="5" t="s">
        <v>11837</v>
      </c>
      <c r="M3015" s="5" t="s">
        <v>11783</v>
      </c>
      <c r="N3015" s="7" t="str">
        <f>HYPERLINK("C:\Users\alexa\YandexDisk\Книги\Тестирование\Доверительное АВ-тестирование.pdf","Доверительное АВ-тестирование.pdf")</f>
        <v>Доверительное АВ-тестирование.pdf</v>
      </c>
      <c r="O3015" s="5" t="s">
        <v>11838</v>
      </c>
    </row>
    <row r="3016" spans="1:15" ht="207" x14ac:dyDescent="0.3">
      <c r="A3016" s="2">
        <v>3015</v>
      </c>
      <c r="B3016" s="3" t="s">
        <v>11839</v>
      </c>
      <c r="C3016" s="3" t="s">
        <v>11840</v>
      </c>
      <c r="D3016" s="3" t="s">
        <v>71</v>
      </c>
      <c r="E3016" s="3" t="s">
        <v>402</v>
      </c>
      <c r="F3016" s="3" t="s">
        <v>11781</v>
      </c>
      <c r="G3016" s="3" t="s">
        <v>11781</v>
      </c>
      <c r="H3016" s="3"/>
      <c r="I3016" s="3" t="s">
        <v>20</v>
      </c>
      <c r="J3016" s="3">
        <v>1.67</v>
      </c>
      <c r="K3016" s="3" t="s">
        <v>21</v>
      </c>
      <c r="L3016" s="3" t="s">
        <v>11841</v>
      </c>
      <c r="M3016" s="3" t="s">
        <v>11783</v>
      </c>
      <c r="N3016" s="6" t="str">
        <f>HYPERLINK("C:\Users\alexa\YandexDisk\Книги\Тестирование\Дружеское_знакомство_с_тестированием_программ.pdf","Дружеское_знакомство_с_тестированием_программ.pdf")</f>
        <v>Дружеское_знакомство_с_тестированием_программ.pdf</v>
      </c>
      <c r="O3016" s="3" t="s">
        <v>11842</v>
      </c>
    </row>
    <row r="3017" spans="1:15" ht="151.80000000000001" x14ac:dyDescent="0.3">
      <c r="A3017" s="4">
        <v>3016</v>
      </c>
      <c r="B3017" s="5" t="s">
        <v>11802</v>
      </c>
      <c r="C3017" s="5" t="s">
        <v>11843</v>
      </c>
      <c r="D3017" s="5" t="s">
        <v>186</v>
      </c>
      <c r="E3017" s="5" t="s">
        <v>18</v>
      </c>
      <c r="F3017" s="5" t="s">
        <v>11781</v>
      </c>
      <c r="G3017" s="5" t="s">
        <v>11781</v>
      </c>
      <c r="H3017" s="5"/>
      <c r="I3017" s="5" t="s">
        <v>20</v>
      </c>
      <c r="J3017" s="5">
        <v>6.66</v>
      </c>
      <c r="K3017" s="5" t="s">
        <v>21</v>
      </c>
      <c r="L3017" s="5" t="s">
        <v>11844</v>
      </c>
      <c r="M3017" s="5" t="s">
        <v>11783</v>
      </c>
      <c r="N3017" s="7" t="str">
        <f>HYPERLINK("C:\Users\alexa\YandexDisk\Книги\Тестирование\Как_тестируют_в_Google.pdf","Как_тестируют_в_Google.pdf")</f>
        <v>Как_тестируют_в_Google.pdf</v>
      </c>
      <c r="O3017" s="5" t="s">
        <v>11845</v>
      </c>
    </row>
    <row r="3018" spans="1:15" ht="193.2" x14ac:dyDescent="0.3">
      <c r="A3018" s="2">
        <v>3017</v>
      </c>
      <c r="B3018" s="3" t="s">
        <v>11846</v>
      </c>
      <c r="C3018" s="3" t="s">
        <v>11847</v>
      </c>
      <c r="D3018" s="3" t="s">
        <v>17</v>
      </c>
      <c r="E3018" s="3" t="s">
        <v>192</v>
      </c>
      <c r="F3018" s="3" t="s">
        <v>11781</v>
      </c>
      <c r="G3018" s="3" t="s">
        <v>11781</v>
      </c>
      <c r="H3018" s="3"/>
      <c r="I3018" s="3" t="s">
        <v>20</v>
      </c>
      <c r="J3018" s="3">
        <v>7.88</v>
      </c>
      <c r="K3018" s="3" t="s">
        <v>21</v>
      </c>
      <c r="L3018" s="3" t="s">
        <v>11848</v>
      </c>
      <c r="M3018" s="3" t="s">
        <v>11783</v>
      </c>
      <c r="N3018" s="6" t="str">
        <f>HYPERLINK("C:\Users\alexa\YandexDisk\Книги\Тестирование\Основы юзабилити-тестирования.pdf","Основы юзабилити-тестирования.pdf")</f>
        <v>Основы юзабилити-тестирования.pdf</v>
      </c>
      <c r="O3018" s="3" t="s">
        <v>11849</v>
      </c>
    </row>
    <row r="3019" spans="1:15" ht="193.2" x14ac:dyDescent="0.3">
      <c r="A3019" s="4">
        <v>3018</v>
      </c>
      <c r="B3019" s="5" t="s">
        <v>11850</v>
      </c>
      <c r="C3019" s="5" t="s">
        <v>11851</v>
      </c>
      <c r="D3019" s="5" t="s">
        <v>17</v>
      </c>
      <c r="E3019" s="5" t="s">
        <v>18</v>
      </c>
      <c r="F3019" s="5" t="s">
        <v>11781</v>
      </c>
      <c r="G3019" s="5" t="s">
        <v>11781</v>
      </c>
      <c r="H3019" s="5"/>
      <c r="I3019" s="5" t="s">
        <v>20</v>
      </c>
      <c r="J3019" s="5">
        <v>4.9800000000000004</v>
      </c>
      <c r="K3019" s="5" t="s">
        <v>21</v>
      </c>
      <c r="L3019" s="5" t="s">
        <v>11852</v>
      </c>
      <c r="M3019" s="5" t="s">
        <v>11783</v>
      </c>
      <c r="N3019" s="7" t="str">
        <f>HYPERLINK("C:\Users\alexa\YandexDisk\Книги\Тестирование\Принципы UT.pdf","Принципы UT.pdf")</f>
        <v>Принципы UT.pdf</v>
      </c>
      <c r="O3019" s="5" t="s">
        <v>11853</v>
      </c>
    </row>
    <row r="3020" spans="1:15" ht="248.4" x14ac:dyDescent="0.3">
      <c r="A3020" s="2">
        <v>3019</v>
      </c>
      <c r="B3020" s="3" t="s">
        <v>11854</v>
      </c>
      <c r="C3020" s="3" t="s">
        <v>11855</v>
      </c>
      <c r="D3020" s="3" t="s">
        <v>77</v>
      </c>
      <c r="E3020" s="3"/>
      <c r="F3020" s="3" t="s">
        <v>11781</v>
      </c>
      <c r="G3020" s="3" t="s">
        <v>11781</v>
      </c>
      <c r="H3020" s="3"/>
      <c r="I3020" s="3" t="s">
        <v>20</v>
      </c>
      <c r="J3020" s="3">
        <v>2.52</v>
      </c>
      <c r="K3020" s="3" t="s">
        <v>21</v>
      </c>
      <c r="L3020" s="3" t="s">
        <v>11856</v>
      </c>
      <c r="M3020" s="3" t="s">
        <v>11783</v>
      </c>
      <c r="N3020" s="6" t="str">
        <f>HYPERLINK("C:\Users\alexa\YandexDisk\Книги\Тестирование\Руководство по разработке тестов ПО 2019.pdf","Руководство по разработке тестов ПО 2019.pdf")</f>
        <v>Руководство по разработке тестов ПО 2019.pdf</v>
      </c>
      <c r="O3020" s="3" t="s">
        <v>11857</v>
      </c>
    </row>
    <row r="3021" spans="1:15" ht="207" x14ac:dyDescent="0.3">
      <c r="A3021" s="4">
        <v>3020</v>
      </c>
      <c r="B3021" s="5" t="s">
        <v>11854</v>
      </c>
      <c r="C3021" s="5" t="s">
        <v>11855</v>
      </c>
      <c r="D3021" s="5" t="s">
        <v>77</v>
      </c>
      <c r="E3021" s="5"/>
      <c r="F3021" s="5" t="s">
        <v>11781</v>
      </c>
      <c r="G3021" s="5" t="s">
        <v>11781</v>
      </c>
      <c r="H3021" s="5"/>
      <c r="I3021" s="5" t="s">
        <v>20</v>
      </c>
      <c r="J3021" s="5">
        <v>2.52</v>
      </c>
      <c r="K3021" s="5" t="s">
        <v>21</v>
      </c>
      <c r="L3021" s="5" t="s">
        <v>11858</v>
      </c>
      <c r="M3021" s="5" t="s">
        <v>11783</v>
      </c>
      <c r="N3021" s="7" t="str">
        <f>HYPERLINK("C:\Users\alexa\YandexDisk\Книги\Тестирование\Руководство практикующего специалиста по тестированию 2019.pdf","Руководство практикующего специалиста по тестированию 2019.pdf")</f>
        <v>Руководство практикующего специалиста по тестированию 2019.pdf</v>
      </c>
      <c r="O3021" s="5" t="s">
        <v>11859</v>
      </c>
    </row>
    <row r="3022" spans="1:15" ht="207" x14ac:dyDescent="0.3">
      <c r="A3022" s="2">
        <v>3021</v>
      </c>
      <c r="B3022" s="3" t="s">
        <v>11860</v>
      </c>
      <c r="C3022" s="3" t="s">
        <v>11861</v>
      </c>
      <c r="D3022" s="3" t="s">
        <v>109</v>
      </c>
      <c r="E3022" s="3" t="s">
        <v>18</v>
      </c>
      <c r="F3022" s="3" t="s">
        <v>11781</v>
      </c>
      <c r="G3022" s="3" t="s">
        <v>11781</v>
      </c>
      <c r="H3022" s="3"/>
      <c r="I3022" s="3" t="s">
        <v>20</v>
      </c>
      <c r="J3022" s="3">
        <v>13.07</v>
      </c>
      <c r="K3022" s="3" t="s">
        <v>21</v>
      </c>
      <c r="L3022" s="3" t="s">
        <v>11862</v>
      </c>
      <c r="M3022" s="3" t="s">
        <v>11783</v>
      </c>
      <c r="N3022" s="6" t="str">
        <f>HYPERLINK("C:\Users\alexa\YandexDisk\Книги\Тестирование\Сам себе тестировщик.pdf","Сам себе тестировщик.pdf")</f>
        <v>Сам себе тестировщик.pdf</v>
      </c>
      <c r="O3022" s="3" t="s">
        <v>11863</v>
      </c>
    </row>
    <row r="3023" spans="1:15" ht="165.6" x14ac:dyDescent="0.3">
      <c r="A3023" s="4">
        <v>3022</v>
      </c>
      <c r="B3023" s="5" t="s">
        <v>11818</v>
      </c>
      <c r="C3023" s="5" t="s">
        <v>11819</v>
      </c>
      <c r="D3023" s="5" t="s">
        <v>59</v>
      </c>
      <c r="E3023" s="5" t="s">
        <v>11820</v>
      </c>
      <c r="F3023" s="5" t="s">
        <v>11781</v>
      </c>
      <c r="G3023" s="5" t="s">
        <v>11781</v>
      </c>
      <c r="H3023" s="5"/>
      <c r="I3023" s="5" t="s">
        <v>20</v>
      </c>
      <c r="J3023" s="5">
        <v>4.18</v>
      </c>
      <c r="K3023" s="5" t="s">
        <v>21</v>
      </c>
      <c r="L3023" s="5" t="s">
        <v>11864</v>
      </c>
      <c r="M3023" s="5" t="s">
        <v>11783</v>
      </c>
      <c r="N3023" s="7" t="str">
        <f>HYPERLINK("C:\Users\alexa\YandexDisk\Книги\Тестирование\Тестирование ПО-Куликов_2nd_edition.pdf","Тестирование ПО-Куликов_2nd_edition.pdf")</f>
        <v>Тестирование ПО-Куликов_2nd_edition.pdf</v>
      </c>
      <c r="O3023" s="5" t="s">
        <v>11865</v>
      </c>
    </row>
    <row r="3024" spans="1:15" ht="165.6" x14ac:dyDescent="0.3">
      <c r="A3024" s="2">
        <v>3023</v>
      </c>
      <c r="B3024" s="3" t="s">
        <v>11866</v>
      </c>
      <c r="C3024" s="3" t="s">
        <v>2100</v>
      </c>
      <c r="D3024" s="3" t="s">
        <v>114</v>
      </c>
      <c r="E3024" s="3" t="s">
        <v>11820</v>
      </c>
      <c r="F3024" s="3" t="s">
        <v>11781</v>
      </c>
      <c r="G3024" s="3" t="s">
        <v>11781</v>
      </c>
      <c r="H3024" s="3"/>
      <c r="I3024" s="3" t="s">
        <v>20</v>
      </c>
      <c r="J3024" s="3">
        <v>4.54</v>
      </c>
      <c r="K3024" s="3" t="s">
        <v>21</v>
      </c>
      <c r="L3024" s="3" t="s">
        <v>11867</v>
      </c>
      <c r="M3024" s="3" t="s">
        <v>11783</v>
      </c>
      <c r="N3024" s="6" t="str">
        <f>HYPERLINK("C:\Users\alexa\YandexDisk\Книги\Тестирование\Тестирование программного обеспечения-бзовый курс.pdf","Тестирование программного обеспечения-бзовый курс.pdf")</f>
        <v>Тестирование программного обеспечения-бзовый курс.pdf</v>
      </c>
      <c r="O3024" s="3" t="s">
        <v>11868</v>
      </c>
    </row>
    <row r="3025" spans="1:15" ht="179.4" x14ac:dyDescent="0.3">
      <c r="A3025" s="4">
        <v>3024</v>
      </c>
      <c r="B3025" s="5" t="s">
        <v>11869</v>
      </c>
      <c r="C3025" s="5" t="s">
        <v>11870</v>
      </c>
      <c r="D3025" s="5" t="s">
        <v>109</v>
      </c>
      <c r="E3025" s="5" t="s">
        <v>18</v>
      </c>
      <c r="F3025" s="5" t="s">
        <v>11781</v>
      </c>
      <c r="G3025" s="5" t="s">
        <v>11781</v>
      </c>
      <c r="H3025" s="5"/>
      <c r="I3025" s="5" t="s">
        <v>20</v>
      </c>
      <c r="J3025" s="5">
        <v>5.49</v>
      </c>
      <c r="K3025" s="5" t="s">
        <v>21</v>
      </c>
      <c r="L3025" s="5" t="s">
        <v>11871</v>
      </c>
      <c r="M3025" s="5" t="s">
        <v>11783</v>
      </c>
      <c r="N3025" s="7" t="str">
        <f>HYPERLINK("C:\Users\alexa\YandexDisk\Книги\Тестирование\Тестирование_веб-API.pdf","Тестирование_веб-API.pdf")</f>
        <v>Тестирование_веб-API.pdf</v>
      </c>
      <c r="O3025" s="5" t="s">
        <v>11872</v>
      </c>
    </row>
    <row r="3026" spans="1:15" ht="234.6" x14ac:dyDescent="0.3">
      <c r="A3026" s="2">
        <v>3025</v>
      </c>
      <c r="B3026" s="3" t="s">
        <v>11873</v>
      </c>
      <c r="C3026" s="3" t="s">
        <v>11874</v>
      </c>
      <c r="D3026" s="3" t="s">
        <v>109</v>
      </c>
      <c r="E3026" s="3" t="s">
        <v>336</v>
      </c>
      <c r="F3026" s="3" t="s">
        <v>11781</v>
      </c>
      <c r="G3026" s="3" t="s">
        <v>11781</v>
      </c>
      <c r="H3026" s="3"/>
      <c r="I3026" s="3" t="s">
        <v>20</v>
      </c>
      <c r="J3026" s="3">
        <v>13.95</v>
      </c>
      <c r="K3026" s="3" t="s">
        <v>21</v>
      </c>
      <c r="L3026" s="3" t="s">
        <v>11875</v>
      </c>
      <c r="M3026" s="3" t="s">
        <v>11783</v>
      </c>
      <c r="N3026" s="6" t="str">
        <f>HYPERLINK("C:\Users\alexa\YandexDisk\Книги\Тестирование\Фулстек тестирование.pdf","Фулстек тестирование.pdf")</f>
        <v>Фулстек тестирование.pdf</v>
      </c>
      <c r="O3026" s="3" t="s">
        <v>11876</v>
      </c>
    </row>
    <row r="3027" spans="1:15" ht="151.80000000000001" x14ac:dyDescent="0.3">
      <c r="A3027" s="4">
        <v>3026</v>
      </c>
      <c r="B3027" s="5" t="s">
        <v>11877</v>
      </c>
      <c r="C3027" s="5" t="s">
        <v>11878</v>
      </c>
      <c r="D3027" s="5" t="s">
        <v>71</v>
      </c>
      <c r="E3027" s="5" t="s">
        <v>402</v>
      </c>
      <c r="F3027" s="5" t="s">
        <v>11781</v>
      </c>
      <c r="G3027" s="5" t="s">
        <v>11781</v>
      </c>
      <c r="H3027" s="5"/>
      <c r="I3027" s="5" t="s">
        <v>20</v>
      </c>
      <c r="J3027" s="5">
        <v>88.91</v>
      </c>
      <c r="K3027" s="5" t="s">
        <v>21</v>
      </c>
      <c r="L3027" s="5" t="s">
        <v>11879</v>
      </c>
      <c r="M3027" s="5" t="s">
        <v>11783</v>
      </c>
      <c r="N3027" s="7" t="str">
        <f>HYPERLINK("C:\Users\alexa\YandexDisk\Книги\Тестирование\Что такое тестирование.pdf","Что такое тестирование.pdf")</f>
        <v>Что такое тестирование.pdf</v>
      </c>
      <c r="O3027" s="5" t="s">
        <v>11880</v>
      </c>
    </row>
    <row r="3028" spans="1:15" ht="193.2" x14ac:dyDescent="0.3">
      <c r="A3028" s="2">
        <v>3027</v>
      </c>
      <c r="B3028" s="3" t="s">
        <v>11881</v>
      </c>
      <c r="C3028" s="3" t="s">
        <v>11788</v>
      </c>
      <c r="D3028" s="3" t="s">
        <v>27</v>
      </c>
      <c r="E3028" s="3" t="s">
        <v>102</v>
      </c>
      <c r="F3028" s="3" t="s">
        <v>11781</v>
      </c>
      <c r="G3028" s="3" t="s">
        <v>11781</v>
      </c>
      <c r="H3028" s="3"/>
      <c r="I3028" s="3" t="s">
        <v>20</v>
      </c>
      <c r="J3028" s="3">
        <v>23.94</v>
      </c>
      <c r="K3028" s="3" t="s">
        <v>21</v>
      </c>
      <c r="L3028" s="3" t="s">
        <v>11882</v>
      </c>
      <c r="M3028" s="3" t="s">
        <v>11783</v>
      </c>
      <c r="N3028" s="6" t="str">
        <f>HYPERLINK("C:\Users\alexa\YandexDisk\Книги\Тестирование\Эффективное тестирование ПО.pdf","Эффективное тестирование ПО.pdf")</f>
        <v>Эффективное тестирование ПО.pdf</v>
      </c>
      <c r="O3028" s="3" t="s">
        <v>11883</v>
      </c>
    </row>
    <row r="3029" spans="1:15" ht="179.4" x14ac:dyDescent="0.3">
      <c r="A3029" s="4">
        <v>3028</v>
      </c>
      <c r="B3029" s="5" t="s">
        <v>11884</v>
      </c>
      <c r="C3029" s="5" t="s">
        <v>11885</v>
      </c>
      <c r="D3029" s="5" t="s">
        <v>837</v>
      </c>
      <c r="E3029" s="5" t="s">
        <v>11886</v>
      </c>
      <c r="F3029" s="5" t="s">
        <v>11887</v>
      </c>
      <c r="G3029" s="5" t="s">
        <v>11888</v>
      </c>
      <c r="H3029" s="5" t="s">
        <v>11889</v>
      </c>
      <c r="I3029" s="5" t="s">
        <v>20</v>
      </c>
      <c r="J3029" s="5">
        <v>20.92</v>
      </c>
      <c r="K3029" s="5" t="s">
        <v>21</v>
      </c>
      <c r="L3029" s="5" t="s">
        <v>11890</v>
      </c>
      <c r="M3029" s="5" t="s">
        <v>11891</v>
      </c>
      <c r="N3029" s="7" t="str">
        <f>HYPERLINK("C:\Users\alexa\YandexDisk\Книги\Техническая поддержка и сервис\ITSM-ITIL\01 - ITIL V3 2011 Service Strategy SS.pdf","01 - ITIL V3 2011 Service Strategy SS.pdf")</f>
        <v>01 - ITIL V3 2011 Service Strategy SS.pdf</v>
      </c>
      <c r="O3029" s="5" t="s">
        <v>11892</v>
      </c>
    </row>
    <row r="3030" spans="1:15" ht="193.2" x14ac:dyDescent="0.3">
      <c r="A3030" s="2">
        <v>3029</v>
      </c>
      <c r="B3030" s="3" t="s">
        <v>11893</v>
      </c>
      <c r="C3030" s="3" t="s">
        <v>11885</v>
      </c>
      <c r="D3030" s="3" t="s">
        <v>837</v>
      </c>
      <c r="E3030" s="3" t="s">
        <v>11894</v>
      </c>
      <c r="F3030" s="3" t="s">
        <v>11887</v>
      </c>
      <c r="G3030" s="3" t="s">
        <v>11888</v>
      </c>
      <c r="H3030" s="3" t="s">
        <v>11889</v>
      </c>
      <c r="I3030" s="3" t="s">
        <v>20</v>
      </c>
      <c r="J3030" s="3">
        <v>14.63</v>
      </c>
      <c r="K3030" s="3" t="s">
        <v>21</v>
      </c>
      <c r="L3030" s="3" t="s">
        <v>11895</v>
      </c>
      <c r="M3030" s="3" t="s">
        <v>11891</v>
      </c>
      <c r="N3030" s="6" t="str">
        <f>HYPERLINK("C:\Users\alexa\YandexDisk\Книги\Техническая поддержка и сервис\ITSM-ITIL\02 - ITIL V3 2011 Service Design SD.pdf","02 - ITIL V3 2011 Service Design SD.pdf")</f>
        <v>02 - ITIL V3 2011 Service Design SD.pdf</v>
      </c>
      <c r="O3030" s="3" t="s">
        <v>11896</v>
      </c>
    </row>
    <row r="3031" spans="1:15" ht="234.6" x14ac:dyDescent="0.3">
      <c r="A3031" s="4">
        <v>3030</v>
      </c>
      <c r="B3031" s="5" t="s">
        <v>11897</v>
      </c>
      <c r="C3031" s="5" t="s">
        <v>11885</v>
      </c>
      <c r="D3031" s="5" t="s">
        <v>837</v>
      </c>
      <c r="E3031" s="5" t="s">
        <v>11894</v>
      </c>
      <c r="F3031" s="5" t="s">
        <v>11887</v>
      </c>
      <c r="G3031" s="5" t="s">
        <v>11888</v>
      </c>
      <c r="H3031" s="5" t="s">
        <v>11889</v>
      </c>
      <c r="I3031" s="5" t="s">
        <v>20</v>
      </c>
      <c r="J3031" s="5">
        <v>14.28</v>
      </c>
      <c r="K3031" s="5" t="s">
        <v>21</v>
      </c>
      <c r="L3031" s="5" t="s">
        <v>11898</v>
      </c>
      <c r="M3031" s="5" t="s">
        <v>11891</v>
      </c>
      <c r="N3031" s="7" t="str">
        <f>HYPERLINK("C:\Users\alexa\YandexDisk\Книги\Техническая поддержка и сервис\ITSM-ITIL\03 - ITIL V3 2011 Service Transition ST.pdf","03 - ITIL V3 2011 Service Transition ST.pdf")</f>
        <v>03 - ITIL V3 2011 Service Transition ST.pdf</v>
      </c>
      <c r="O3031" s="5" t="s">
        <v>11899</v>
      </c>
    </row>
    <row r="3032" spans="1:15" ht="207" x14ac:dyDescent="0.3">
      <c r="A3032" s="2">
        <v>3031</v>
      </c>
      <c r="B3032" s="3" t="s">
        <v>11900</v>
      </c>
      <c r="C3032" s="3" t="s">
        <v>11885</v>
      </c>
      <c r="D3032" s="3" t="s">
        <v>837</v>
      </c>
      <c r="E3032" s="3" t="s">
        <v>11894</v>
      </c>
      <c r="F3032" s="3" t="s">
        <v>11887</v>
      </c>
      <c r="G3032" s="3" t="s">
        <v>11888</v>
      </c>
      <c r="H3032" s="3" t="s">
        <v>11889</v>
      </c>
      <c r="I3032" s="3" t="s">
        <v>20</v>
      </c>
      <c r="J3032" s="3">
        <v>14.26</v>
      </c>
      <c r="K3032" s="3" t="s">
        <v>21</v>
      </c>
      <c r="L3032" s="3" t="s">
        <v>11901</v>
      </c>
      <c r="M3032" s="3" t="s">
        <v>11891</v>
      </c>
      <c r="N3032" s="6" t="str">
        <f>HYPERLINK("C:\Users\alexa\YandexDisk\Книги\Техническая поддержка и сервис\ITSM-ITIL\04 - ITIL V3 2011 Service Operation SO.pdf","04 - ITIL V3 2011 Service Operation SO.pdf")</f>
        <v>04 - ITIL V3 2011 Service Operation SO.pdf</v>
      </c>
      <c r="O3032" s="3" t="s">
        <v>11902</v>
      </c>
    </row>
    <row r="3033" spans="1:15" ht="165.6" x14ac:dyDescent="0.3">
      <c r="A3033" s="4">
        <v>3032</v>
      </c>
      <c r="B3033" s="5" t="s">
        <v>11903</v>
      </c>
      <c r="C3033" s="5" t="s">
        <v>11885</v>
      </c>
      <c r="D3033" s="5" t="s">
        <v>837</v>
      </c>
      <c r="E3033" s="5" t="s">
        <v>11894</v>
      </c>
      <c r="F3033" s="5" t="s">
        <v>11887</v>
      </c>
      <c r="G3033" s="5" t="s">
        <v>11888</v>
      </c>
      <c r="H3033" s="5" t="s">
        <v>11889</v>
      </c>
      <c r="I3033" s="5" t="s">
        <v>20</v>
      </c>
      <c r="J3033" s="5">
        <v>6.6</v>
      </c>
      <c r="K3033" s="5" t="s">
        <v>21</v>
      </c>
      <c r="L3033" s="5" t="s">
        <v>11904</v>
      </c>
      <c r="M3033" s="5" t="s">
        <v>11891</v>
      </c>
      <c r="N3033" s="7" t="str">
        <f>HYPERLINK("C:\Users\alexa\YandexDisk\Книги\Техническая поддержка и сервис\ITSM-ITIL\05 - ITIL V3 2011 Continual Service Improvement CSI.pdf","05 - ITIL V3 2011 Continual Service Improvement CSI.pdf")</f>
        <v>05 - ITIL V3 2011 Continual Service Improvement CSI.pdf</v>
      </c>
      <c r="O3033" s="5" t="s">
        <v>11905</v>
      </c>
    </row>
    <row r="3034" spans="1:15" ht="165.6" x14ac:dyDescent="0.3">
      <c r="A3034" s="2">
        <v>3033</v>
      </c>
      <c r="B3034" s="3" t="s">
        <v>11906</v>
      </c>
      <c r="C3034" s="3" t="s">
        <v>11907</v>
      </c>
      <c r="D3034" s="3" t="s">
        <v>1022</v>
      </c>
      <c r="E3034" s="3" t="s">
        <v>11908</v>
      </c>
      <c r="F3034" s="3" t="s">
        <v>11887</v>
      </c>
      <c r="G3034" s="3" t="s">
        <v>11888</v>
      </c>
      <c r="H3034" s="3" t="s">
        <v>11889</v>
      </c>
      <c r="I3034" s="3" t="s">
        <v>20</v>
      </c>
      <c r="J3034" s="3">
        <v>7.85</v>
      </c>
      <c r="K3034" s="3" t="s">
        <v>21</v>
      </c>
      <c r="L3034" s="3" t="s">
        <v>11909</v>
      </c>
      <c r="M3034" s="3" t="s">
        <v>11891</v>
      </c>
      <c r="N3034" s="6" t="str">
        <f>HYPERLINK("C:\Users\alexa\YandexDisk\Книги\Техническая поддержка и сервис\ITSM-ITIL\2015_Free_ITIL.pdf","2015_Free_ITIL.pdf")</f>
        <v>2015_Free_ITIL.pdf</v>
      </c>
      <c r="O3034" s="3" t="s">
        <v>11910</v>
      </c>
    </row>
    <row r="3035" spans="1:15" ht="138" x14ac:dyDescent="0.3">
      <c r="A3035" s="4">
        <v>3034</v>
      </c>
      <c r="B3035" s="5" t="s">
        <v>11911</v>
      </c>
      <c r="C3035" s="5"/>
      <c r="D3035" s="5"/>
      <c r="E3035" s="5"/>
      <c r="F3035" s="5" t="s">
        <v>11887</v>
      </c>
      <c r="G3035" s="5" t="s">
        <v>11888</v>
      </c>
      <c r="H3035" s="5" t="s">
        <v>11889</v>
      </c>
      <c r="I3035" s="5" t="s">
        <v>4473</v>
      </c>
      <c r="J3035" s="5">
        <v>10.81</v>
      </c>
      <c r="K3035" s="5" t="s">
        <v>21</v>
      </c>
      <c r="L3035" s="5" t="s">
        <v>11912</v>
      </c>
      <c r="M3035" s="5" t="s">
        <v>11891</v>
      </c>
      <c r="N3035" s="7" t="str">
        <f>HYPERLINK("C:\Users\alexa\YandexDisk\Книги\Техническая поддержка и сервис\ITSM-ITIL\Введение в ITSM.doc","Введение в ITSM.doc")</f>
        <v>Введение в ITSM.doc</v>
      </c>
      <c r="O3035" s="5" t="s">
        <v>11913</v>
      </c>
    </row>
    <row r="3036" spans="1:15" ht="207" x14ac:dyDescent="0.3">
      <c r="A3036" s="2">
        <v>3035</v>
      </c>
      <c r="B3036" s="3" t="s">
        <v>11911</v>
      </c>
      <c r="C3036" s="3" t="s">
        <v>11914</v>
      </c>
      <c r="D3036" s="3"/>
      <c r="E3036" s="3"/>
      <c r="F3036" s="3" t="s">
        <v>11887</v>
      </c>
      <c r="G3036" s="3" t="s">
        <v>11888</v>
      </c>
      <c r="H3036" s="3" t="s">
        <v>11889</v>
      </c>
      <c r="I3036" s="3" t="s">
        <v>20</v>
      </c>
      <c r="J3036" s="3">
        <v>9</v>
      </c>
      <c r="K3036" s="3" t="s">
        <v>21</v>
      </c>
      <c r="L3036" s="3" t="s">
        <v>11915</v>
      </c>
      <c r="M3036" s="3" t="s">
        <v>11891</v>
      </c>
      <c r="N3036" s="6" t="str">
        <f>HYPERLINK("C:\Users\alexa\YandexDisk\Книги\Техническая поддержка и сервис\ITSM-ITIL\Введение в ITSM.pdf","Введение в ITSM.pdf")</f>
        <v>Введение в ITSM.pdf</v>
      </c>
      <c r="O3036" s="3" t="s">
        <v>11916</v>
      </c>
    </row>
    <row r="3037" spans="1:15" ht="179.4" x14ac:dyDescent="0.3">
      <c r="A3037" s="4">
        <v>3036</v>
      </c>
      <c r="B3037" s="5" t="s">
        <v>11917</v>
      </c>
      <c r="C3037" s="5" t="s">
        <v>11918</v>
      </c>
      <c r="D3037" s="5"/>
      <c r="E3037" s="5"/>
      <c r="F3037" s="5" t="s">
        <v>11887</v>
      </c>
      <c r="G3037" s="5" t="s">
        <v>11888</v>
      </c>
      <c r="H3037" s="5" t="s">
        <v>11889</v>
      </c>
      <c r="I3037" s="5" t="s">
        <v>20</v>
      </c>
      <c r="J3037" s="5">
        <v>3.47</v>
      </c>
      <c r="K3037" s="5" t="s">
        <v>21</v>
      </c>
      <c r="L3037" s="5" t="s">
        <v>11919</v>
      </c>
      <c r="M3037" s="5" t="s">
        <v>11891</v>
      </c>
      <c r="N3037" s="7" t="str">
        <f>HYPERLINK("C:\Users\alexa\YandexDisk\Книги\Техническая поддержка и сервис\ITSM-ITIL\Поддержка информационных сервисов.pdf","Поддержка информационных сервисов.pdf")</f>
        <v>Поддержка информационных сервисов.pdf</v>
      </c>
      <c r="O3037" s="5" t="s">
        <v>11920</v>
      </c>
    </row>
    <row r="3038" spans="1:15" ht="165.6" x14ac:dyDescent="0.3">
      <c r="A3038" s="2">
        <v>3037</v>
      </c>
      <c r="B3038" s="3" t="s">
        <v>11921</v>
      </c>
      <c r="C3038" s="3" t="s">
        <v>11922</v>
      </c>
      <c r="D3038" s="3" t="s">
        <v>17</v>
      </c>
      <c r="E3038" s="3" t="s">
        <v>205</v>
      </c>
      <c r="F3038" s="3" t="s">
        <v>11923</v>
      </c>
      <c r="G3038" s="3" t="s">
        <v>11888</v>
      </c>
      <c r="H3038" s="3" t="s">
        <v>11924</v>
      </c>
      <c r="I3038" s="3" t="s">
        <v>20</v>
      </c>
      <c r="J3038" s="3">
        <v>13.13</v>
      </c>
      <c r="K3038" s="3" t="s">
        <v>21</v>
      </c>
      <c r="L3038" s="3" t="s">
        <v>11925</v>
      </c>
      <c r="M3038" s="3" t="s">
        <v>11926</v>
      </c>
      <c r="N3038" s="6" t="str">
        <f>HYPERLINK("C:\Users\alexa\YandexDisk\Книги\Техническая поддержка и сервис\Системы мониторинга\Zabbix 5 IT Infrastructure Monitoring Cookbook.pdf","Zabbix 5 IT Infrastructure Monitoring Cookbook.pdf")</f>
        <v>Zabbix 5 IT Infrastructure Monitoring Cookbook.pdf</v>
      </c>
      <c r="O3038" s="3" t="s">
        <v>11927</v>
      </c>
    </row>
    <row r="3039" spans="1:15" ht="193.2" x14ac:dyDescent="0.3">
      <c r="A3039" s="4">
        <v>3038</v>
      </c>
      <c r="B3039" s="5" t="s">
        <v>11928</v>
      </c>
      <c r="C3039" s="5" t="s">
        <v>11929</v>
      </c>
      <c r="D3039" s="5" t="s">
        <v>335</v>
      </c>
      <c r="E3039" s="5" t="s">
        <v>336</v>
      </c>
      <c r="F3039" s="5" t="s">
        <v>11923</v>
      </c>
      <c r="G3039" s="5" t="s">
        <v>11888</v>
      </c>
      <c r="H3039" s="5" t="s">
        <v>11924</v>
      </c>
      <c r="I3039" s="5" t="s">
        <v>20</v>
      </c>
      <c r="J3039" s="5">
        <v>20.58</v>
      </c>
      <c r="K3039" s="5" t="s">
        <v>21</v>
      </c>
      <c r="L3039" s="5" t="s">
        <v>11930</v>
      </c>
      <c r="M3039" s="5" t="s">
        <v>11926</v>
      </c>
      <c r="N3039" s="7" t="str">
        <f>HYPERLINK("C:\Users\alexa\YandexDisk\Книги\Техническая поддержка и сервис\Системы мониторинга\Zabbix 7 мониторинг ИТ-инфраструктуры.pdf","Zabbix 7 мониторинг ИТ-инфраструктуры.pdf")</f>
        <v>Zabbix 7 мониторинг ИТ-инфраструктуры.pdf</v>
      </c>
      <c r="O3039" s="5" t="s">
        <v>11931</v>
      </c>
    </row>
    <row r="3040" spans="1:15" ht="207" x14ac:dyDescent="0.3">
      <c r="A3040" s="2">
        <v>3039</v>
      </c>
      <c r="B3040" s="3" t="s">
        <v>605</v>
      </c>
      <c r="C3040" s="3" t="s">
        <v>606</v>
      </c>
      <c r="D3040" s="3" t="s">
        <v>114</v>
      </c>
      <c r="E3040" s="3" t="s">
        <v>205</v>
      </c>
      <c r="F3040" s="3" t="s">
        <v>11923</v>
      </c>
      <c r="G3040" s="3" t="s">
        <v>11888</v>
      </c>
      <c r="H3040" s="3" t="s">
        <v>11924</v>
      </c>
      <c r="I3040" s="3" t="s">
        <v>20</v>
      </c>
      <c r="J3040" s="3">
        <v>10.7</v>
      </c>
      <c r="K3040" s="3" t="s">
        <v>21</v>
      </c>
      <c r="L3040" s="3" t="s">
        <v>11932</v>
      </c>
      <c r="M3040" s="3" t="s">
        <v>11926</v>
      </c>
      <c r="N3040" s="6" t="str">
        <f>HYPERLINK("C:\Users\alexa\YandexDisk\Книги\Техническая поддержка и сервис\Системы мониторинга\Далле_Вакке_А_Zabbix_Практическое_руководство_Издательство_ДМК_Пресс.pdf","Далле_Вакке_А_Zabbix_Практическое_руководство_Издательство_ДМК_Пресс.pdf")</f>
        <v>Далле_Вакке_А_Zabbix_Практическое_руководство_Издательство_ДМК_Пресс.pdf</v>
      </c>
      <c r="O3040" s="3" t="s">
        <v>11933</v>
      </c>
    </row>
    <row r="3041" spans="1:15" ht="165.6" x14ac:dyDescent="0.3">
      <c r="A3041" s="4">
        <v>3040</v>
      </c>
      <c r="B3041" s="5" t="s">
        <v>11934</v>
      </c>
      <c r="C3041" s="5" t="s">
        <v>11935</v>
      </c>
      <c r="D3041" s="5" t="s">
        <v>77</v>
      </c>
      <c r="E3041" s="5" t="s">
        <v>303</v>
      </c>
      <c r="F3041" s="5" t="s">
        <v>11936</v>
      </c>
      <c r="G3041" s="5" t="s">
        <v>11936</v>
      </c>
      <c r="H3041" s="5"/>
      <c r="I3041" s="5" t="s">
        <v>280</v>
      </c>
      <c r="J3041" s="5">
        <v>6.38</v>
      </c>
      <c r="K3041" s="5" t="s">
        <v>21</v>
      </c>
      <c r="L3041" s="5" t="s">
        <v>11937</v>
      </c>
      <c r="M3041" s="5" t="s">
        <v>11938</v>
      </c>
      <c r="N3041" s="7" t="str">
        <f>HYPERLINK("C:\Users\alexa\YandexDisk\Книги\Управление продуктами\kak-sozdat-produkt-kotoryj-polyubyat.epub","kak-sozdat-produkt-kotoryj-polyubyat.epub")</f>
        <v>kak-sozdat-produkt-kotoryj-polyubyat.epub</v>
      </c>
      <c r="O3041" s="5" t="s">
        <v>11939</v>
      </c>
    </row>
    <row r="3042" spans="1:15" ht="207" x14ac:dyDescent="0.3">
      <c r="A3042" s="2">
        <v>3041</v>
      </c>
      <c r="B3042" s="3" t="s">
        <v>11940</v>
      </c>
      <c r="C3042" s="3" t="s">
        <v>11941</v>
      </c>
      <c r="D3042" s="3" t="s">
        <v>114</v>
      </c>
      <c r="E3042" s="3" t="s">
        <v>187</v>
      </c>
      <c r="F3042" s="3" t="s">
        <v>11936</v>
      </c>
      <c r="G3042" s="3" t="s">
        <v>11936</v>
      </c>
      <c r="H3042" s="3"/>
      <c r="I3042" s="3" t="s">
        <v>20</v>
      </c>
      <c r="J3042" s="3">
        <v>17.18</v>
      </c>
      <c r="K3042" s="3" t="s">
        <v>21</v>
      </c>
      <c r="L3042" s="3" t="s">
        <v>11942</v>
      </c>
      <c r="M3042" s="3" t="s">
        <v>11938</v>
      </c>
      <c r="N3042" s="6" t="str">
        <f>HYPERLINK("C:\Users\alexa\YandexDisk\Книги\Управление продуктами\kak-sozdat-produkt-kotoryj-polyubyat.pdf","kak-sozdat-produkt-kotoryj-polyubyat.pdf")</f>
        <v>kak-sozdat-produkt-kotoryj-polyubyat.pdf</v>
      </c>
      <c r="O3042" s="3" t="s">
        <v>11943</v>
      </c>
    </row>
    <row r="3043" spans="1:15" ht="220.8" x14ac:dyDescent="0.3">
      <c r="A3043" s="4">
        <v>3042</v>
      </c>
      <c r="B3043" s="5" t="s">
        <v>11944</v>
      </c>
      <c r="C3043" s="5" t="s">
        <v>11945</v>
      </c>
      <c r="D3043" s="5" t="s">
        <v>476</v>
      </c>
      <c r="E3043" s="5" t="s">
        <v>5370</v>
      </c>
      <c r="F3043" s="5" t="s">
        <v>11946</v>
      </c>
      <c r="G3043" s="5" t="s">
        <v>11946</v>
      </c>
      <c r="H3043" s="5"/>
      <c r="I3043" s="5" t="s">
        <v>20</v>
      </c>
      <c r="J3043" s="5">
        <v>1.61</v>
      </c>
      <c r="K3043" s="5" t="s">
        <v>21</v>
      </c>
      <c r="L3043" s="5" t="s">
        <v>11947</v>
      </c>
      <c r="M3043" s="5" t="s">
        <v>11948</v>
      </c>
      <c r="N3043" s="7" t="str">
        <f>HYPERLINK("C:\Users\alexa\YandexDisk\Книги\Управление проектами\A.Pavlov_Upravlenie_proektami_na_osnove_standarta_PMI_PMBOK.pdf","A.Pavlov_Upravlenie_proektami_na_osnove_standarta_PMI_PMBOK.pdf")</f>
        <v>A.Pavlov_Upravlenie_proektami_na_osnove_standarta_PMI_PMBOK.pdf</v>
      </c>
      <c r="O3043" s="5" t="s">
        <v>11949</v>
      </c>
    </row>
    <row r="3044" spans="1:15" ht="151.80000000000001" x14ac:dyDescent="0.3">
      <c r="A3044" s="2">
        <v>3043</v>
      </c>
      <c r="B3044" s="3" t="s">
        <v>11950</v>
      </c>
      <c r="C3044" s="3" t="s">
        <v>11951</v>
      </c>
      <c r="D3044" s="3" t="s">
        <v>71</v>
      </c>
      <c r="E3044" s="3" t="s">
        <v>205</v>
      </c>
      <c r="F3044" s="3" t="s">
        <v>11946</v>
      </c>
      <c r="G3044" s="3" t="s">
        <v>11946</v>
      </c>
      <c r="H3044" s="3"/>
      <c r="I3044" s="3" t="s">
        <v>20</v>
      </c>
      <c r="J3044" s="3">
        <v>30.03</v>
      </c>
      <c r="K3044" s="3" t="s">
        <v>21</v>
      </c>
      <c r="L3044" s="3" t="s">
        <v>11952</v>
      </c>
      <c r="M3044" s="3" t="s">
        <v>11948</v>
      </c>
      <c r="N3044" s="6" t="str">
        <f>HYPERLINK("C:\Users\alexa\YandexDisk\Книги\Управление проектами\Jira 8 Essentials Effective project.pdf","Jira 8 Essentials Effective project.pdf")</f>
        <v>Jira 8 Essentials Effective project.pdf</v>
      </c>
      <c r="O3044" s="3" t="s">
        <v>11953</v>
      </c>
    </row>
    <row r="3045" spans="1:15" ht="179.4" x14ac:dyDescent="0.3">
      <c r="A3045" s="4">
        <v>3044</v>
      </c>
      <c r="B3045" s="5" t="s">
        <v>11954</v>
      </c>
      <c r="C3045" s="5" t="s">
        <v>11955</v>
      </c>
      <c r="D3045" s="5" t="s">
        <v>65</v>
      </c>
      <c r="E3045" s="5" t="s">
        <v>5370</v>
      </c>
      <c r="F3045" s="5" t="s">
        <v>11946</v>
      </c>
      <c r="G3045" s="5" t="s">
        <v>11946</v>
      </c>
      <c r="H3045" s="5"/>
      <c r="I3045" s="5" t="s">
        <v>20</v>
      </c>
      <c r="J3045" s="5">
        <v>3.65</v>
      </c>
      <c r="K3045" s="5" t="s">
        <v>21</v>
      </c>
      <c r="L3045" s="5" t="s">
        <v>11956</v>
      </c>
      <c r="M3045" s="5" t="s">
        <v>11948</v>
      </c>
      <c r="N3045" s="7" t="str">
        <f>HYPERLINK("C:\Users\alexa\YandexDisk\Книги\Управление проектами\K.Heldman_Professionalnoe_upravlenie_proektami.pdf","K.Heldman_Professionalnoe_upravlenie_proektami.pdf")</f>
        <v>K.Heldman_Professionalnoe_upravlenie_proektami.pdf</v>
      </c>
      <c r="O3045" s="5" t="s">
        <v>11957</v>
      </c>
    </row>
    <row r="3046" spans="1:15" ht="193.2" x14ac:dyDescent="0.3">
      <c r="A3046" s="2">
        <v>3045</v>
      </c>
      <c r="B3046" s="3" t="s">
        <v>11958</v>
      </c>
      <c r="C3046" s="3" t="s">
        <v>11959</v>
      </c>
      <c r="D3046" s="3" t="s">
        <v>71</v>
      </c>
      <c r="E3046" s="3" t="s">
        <v>227</v>
      </c>
      <c r="F3046" s="3" t="s">
        <v>11946</v>
      </c>
      <c r="G3046" s="3" t="s">
        <v>11946</v>
      </c>
      <c r="H3046" s="3"/>
      <c r="I3046" s="3" t="s">
        <v>20</v>
      </c>
      <c r="J3046" s="3">
        <v>1.5</v>
      </c>
      <c r="K3046" s="3" t="s">
        <v>21</v>
      </c>
      <c r="L3046" s="3" t="s">
        <v>11960</v>
      </c>
      <c r="M3046" s="3" t="s">
        <v>11948</v>
      </c>
      <c r="N3046" s="6" t="str">
        <f>HYPERLINK("C:\Users\alexa\YandexDisk\Книги\Управление проектами\Leadership Paradigms for Remote Agile Development.pdf","Leadership Paradigms for Remote Agile Development.pdf")</f>
        <v>Leadership Paradigms for Remote Agile Development.pdf</v>
      </c>
      <c r="O3046" s="3" t="s">
        <v>11961</v>
      </c>
    </row>
    <row r="3047" spans="1:15" ht="207" x14ac:dyDescent="0.3">
      <c r="A3047" s="4">
        <v>3046</v>
      </c>
      <c r="B3047" s="5" t="s">
        <v>11962</v>
      </c>
      <c r="C3047" s="5" t="s">
        <v>11963</v>
      </c>
      <c r="D3047" s="5"/>
      <c r="E3047" s="5"/>
      <c r="F3047" s="5" t="s">
        <v>11946</v>
      </c>
      <c r="G3047" s="5" t="s">
        <v>11946</v>
      </c>
      <c r="H3047" s="5"/>
      <c r="I3047" s="5" t="s">
        <v>20</v>
      </c>
      <c r="J3047" s="5">
        <v>5.91</v>
      </c>
      <c r="K3047" s="5" t="s">
        <v>21</v>
      </c>
      <c r="L3047" s="5" t="s">
        <v>11964</v>
      </c>
      <c r="M3047" s="5" t="s">
        <v>11948</v>
      </c>
      <c r="N3047" s="7" t="str">
        <f>HYPERLINK("C:\Users\alexa\YandexDisk\Книги\Управление проектами\Making Work Visible Exposing Time Theft to Optimize Work.pdf","Making Work Visible Exposing Time Theft to Optimize Work.pdf")</f>
        <v>Making Work Visible Exposing Time Theft to Optimize Work.pdf</v>
      </c>
      <c r="O3047" s="5" t="s">
        <v>11965</v>
      </c>
    </row>
    <row r="3048" spans="1:15" ht="234.6" x14ac:dyDescent="0.3">
      <c r="A3048" s="2">
        <v>3047</v>
      </c>
      <c r="B3048" s="3" t="s">
        <v>11966</v>
      </c>
      <c r="C3048" s="3" t="s">
        <v>11967</v>
      </c>
      <c r="D3048" s="3" t="s">
        <v>71</v>
      </c>
      <c r="E3048" s="3" t="s">
        <v>536</v>
      </c>
      <c r="F3048" s="3" t="s">
        <v>11946</v>
      </c>
      <c r="G3048" s="3" t="s">
        <v>11946</v>
      </c>
      <c r="H3048" s="3"/>
      <c r="I3048" s="3" t="s">
        <v>20</v>
      </c>
      <c r="J3048" s="3">
        <v>8.9600000000000009</v>
      </c>
      <c r="K3048" s="3" t="s">
        <v>21</v>
      </c>
      <c r="L3048" s="3" t="s">
        <v>11968</v>
      </c>
      <c r="M3048" s="3" t="s">
        <v>11948</v>
      </c>
      <c r="N3048" s="6" t="str">
        <f>HYPERLINK("C:\Users\alexa\YandexDisk\Книги\Управление проектами\Managing Machine Learning Projects MEAP4.pdf","Managing Machine Learning Projects MEAP4.pdf")</f>
        <v>Managing Machine Learning Projects MEAP4.pdf</v>
      </c>
      <c r="O3048" s="3" t="s">
        <v>11969</v>
      </c>
    </row>
    <row r="3049" spans="1:15" ht="234.6" x14ac:dyDescent="0.3">
      <c r="A3049" s="4">
        <v>3048</v>
      </c>
      <c r="B3049" s="5" t="s">
        <v>11970</v>
      </c>
      <c r="C3049" s="5" t="s">
        <v>11971</v>
      </c>
      <c r="D3049" s="5"/>
      <c r="E3049" s="5"/>
      <c r="F3049" s="5" t="s">
        <v>11946</v>
      </c>
      <c r="G3049" s="5" t="s">
        <v>11946</v>
      </c>
      <c r="H3049" s="5"/>
      <c r="I3049" s="5" t="s">
        <v>20</v>
      </c>
      <c r="J3049" s="5">
        <v>1.44</v>
      </c>
      <c r="K3049" s="5" t="s">
        <v>21</v>
      </c>
      <c r="L3049" s="5" t="s">
        <v>11972</v>
      </c>
      <c r="M3049" s="5" t="s">
        <v>11948</v>
      </c>
      <c r="N3049" s="7" t="str">
        <f>HYPERLINK("C:\Users\alexa\YandexDisk\Книги\Управление проектами\Scrumban-revolution-I.pdf","Scrumban-revolution-I.pdf")</f>
        <v>Scrumban-revolution-I.pdf</v>
      </c>
      <c r="O3049" s="5" t="s">
        <v>11973</v>
      </c>
    </row>
    <row r="3050" spans="1:15" ht="165.6" x14ac:dyDescent="0.3">
      <c r="A3050" s="2">
        <v>3049</v>
      </c>
      <c r="B3050" s="3" t="s">
        <v>11974</v>
      </c>
      <c r="C3050" s="3" t="s">
        <v>11975</v>
      </c>
      <c r="D3050" s="3" t="s">
        <v>476</v>
      </c>
      <c r="E3050" s="3" t="s">
        <v>5370</v>
      </c>
      <c r="F3050" s="3" t="s">
        <v>11946</v>
      </c>
      <c r="G3050" s="3" t="s">
        <v>11946</v>
      </c>
      <c r="H3050" s="3"/>
      <c r="I3050" s="3" t="s">
        <v>20</v>
      </c>
      <c r="J3050" s="3">
        <v>1.94</v>
      </c>
      <c r="K3050" s="3" t="s">
        <v>21</v>
      </c>
      <c r="L3050" s="3" t="s">
        <v>11976</v>
      </c>
      <c r="M3050" s="3" t="s">
        <v>11948</v>
      </c>
      <c r="N3050" s="6" t="str">
        <f>HYPERLINK("C:\Users\alexa\YandexDisk\Книги\Управление проектами\V.Dunkan_M.Grashina_Osnovy_upravleniya_proektami.pdf","V.Dunkan_M.Grashina_Osnovy_upravleniya_proektami.pdf")</f>
        <v>V.Dunkan_M.Grashina_Osnovy_upravleniya_proektami.pdf</v>
      </c>
      <c r="O3050" s="3" t="s">
        <v>11977</v>
      </c>
    </row>
    <row r="3051" spans="1:15" ht="151.80000000000001" x14ac:dyDescent="0.3">
      <c r="A3051" s="4">
        <v>3050</v>
      </c>
      <c r="B3051" s="5" t="s">
        <v>11978</v>
      </c>
      <c r="C3051" s="5" t="s">
        <v>11979</v>
      </c>
      <c r="D3051" s="5" t="s">
        <v>476</v>
      </c>
      <c r="E3051" s="5" t="s">
        <v>5370</v>
      </c>
      <c r="F3051" s="5" t="s">
        <v>11946</v>
      </c>
      <c r="G3051" s="5" t="s">
        <v>11946</v>
      </c>
      <c r="H3051" s="5"/>
      <c r="I3051" s="5" t="s">
        <v>20</v>
      </c>
      <c r="J3051" s="5">
        <v>2.4900000000000002</v>
      </c>
      <c r="K3051" s="5" t="s">
        <v>21</v>
      </c>
      <c r="L3051" s="5" t="s">
        <v>11980</v>
      </c>
      <c r="M3051" s="5" t="s">
        <v>11948</v>
      </c>
      <c r="N3051" s="7" t="str">
        <f>HYPERLINK("C:\Users\alexa\YandexDisk\Книги\Управление проектами\V.Grekul_N.Korovkina_Yu.Coopriianov_Proektnoe_upravlenie_v_sfere_IT.pdf","V.Grekul_N.Korovkina_Yu.Coopriianov_Proektnoe_upravlenie_v_sfere_IT.pdf")</f>
        <v>V.Grekul_N.Korovkina_Yu.Coopriianov_Proektnoe_upravlenie_v_sfere_IT.pdf</v>
      </c>
      <c r="O3051" s="5" t="s">
        <v>11981</v>
      </c>
    </row>
    <row r="3052" spans="1:15" ht="165.6" x14ac:dyDescent="0.3">
      <c r="A3052" s="2">
        <v>3051</v>
      </c>
      <c r="B3052" s="3" t="s">
        <v>11982</v>
      </c>
      <c r="C3052" s="3" t="s">
        <v>8277</v>
      </c>
      <c r="D3052" s="3" t="s">
        <v>186</v>
      </c>
      <c r="E3052" s="3" t="s">
        <v>18</v>
      </c>
      <c r="F3052" s="3" t="s">
        <v>11946</v>
      </c>
      <c r="G3052" s="3" t="s">
        <v>11946</v>
      </c>
      <c r="H3052" s="3"/>
      <c r="I3052" s="3" t="s">
        <v>20</v>
      </c>
      <c r="J3052" s="3">
        <v>2.96</v>
      </c>
      <c r="K3052" s="3" t="s">
        <v>21</v>
      </c>
      <c r="L3052" s="3" t="s">
        <v>11983</v>
      </c>
      <c r="M3052" s="3" t="s">
        <v>11948</v>
      </c>
      <c r="N3052" s="6" t="str">
        <f>HYPERLINK("C:\Users\alexa\YandexDisk\Книги\Управление проектами\Гибкое_управление_проектами_и_продуктами.pdf","Гибкое_управление_проектами_и_продуктами.pdf")</f>
        <v>Гибкое_управление_проектами_и_продуктами.pdf</v>
      </c>
      <c r="O3052" s="3" t="s">
        <v>11984</v>
      </c>
    </row>
    <row r="3053" spans="1:15" ht="165.6" x14ac:dyDescent="0.3">
      <c r="A3053" s="4">
        <v>3052</v>
      </c>
      <c r="B3053" s="5" t="s">
        <v>11985</v>
      </c>
      <c r="C3053" s="5"/>
      <c r="D3053" s="5" t="s">
        <v>71</v>
      </c>
      <c r="E3053" s="5" t="s">
        <v>11986</v>
      </c>
      <c r="F3053" s="5" t="s">
        <v>11946</v>
      </c>
      <c r="G3053" s="5" t="s">
        <v>11946</v>
      </c>
      <c r="H3053" s="5"/>
      <c r="I3053" s="5" t="s">
        <v>20</v>
      </c>
      <c r="J3053" s="5">
        <v>4.57</v>
      </c>
      <c r="K3053" s="5" t="s">
        <v>21</v>
      </c>
      <c r="L3053" s="5" t="s">
        <v>11987</v>
      </c>
      <c r="M3053" s="5" t="s">
        <v>11948</v>
      </c>
      <c r="N3053" s="7" t="str">
        <f>HYPERLINK("C:\Users\alexa\YandexDisk\Книги\Управление проектами\Глоссарий OKR.pdf","Глоссарий OKR.pdf")</f>
        <v>Глоссарий OKR.pdf</v>
      </c>
      <c r="O3053" s="5" t="s">
        <v>11988</v>
      </c>
    </row>
    <row r="3054" spans="1:15" ht="151.80000000000001" x14ac:dyDescent="0.3">
      <c r="A3054" s="2">
        <v>3053</v>
      </c>
      <c r="B3054" s="3" t="s">
        <v>11989</v>
      </c>
      <c r="C3054" s="3" t="s">
        <v>11990</v>
      </c>
      <c r="D3054" s="3"/>
      <c r="E3054" s="3"/>
      <c r="F3054" s="3" t="s">
        <v>11946</v>
      </c>
      <c r="G3054" s="3" t="s">
        <v>11946</v>
      </c>
      <c r="H3054" s="3"/>
      <c r="I3054" s="3" t="s">
        <v>20</v>
      </c>
      <c r="J3054" s="3">
        <v>0.39</v>
      </c>
      <c r="K3054" s="3" t="s">
        <v>21</v>
      </c>
      <c r="L3054" s="3" t="s">
        <v>11991</v>
      </c>
      <c r="M3054" s="3" t="s">
        <v>11948</v>
      </c>
      <c r="N3054" s="6" t="str">
        <f>HYPERLINK("C:\Users\alexa\YandexDisk\Книги\Управление проектами\Качество ПС - тема 4.1.pdf","Качество ПС - тема 4.1.pdf")</f>
        <v>Качество ПС - тема 4.1.pdf</v>
      </c>
      <c r="O3054" s="3" t="s">
        <v>11992</v>
      </c>
    </row>
    <row r="3055" spans="1:15" ht="179.4" x14ac:dyDescent="0.3">
      <c r="A3055" s="4">
        <v>3054</v>
      </c>
      <c r="B3055" s="5" t="s">
        <v>11993</v>
      </c>
      <c r="C3055" s="5" t="s">
        <v>11994</v>
      </c>
      <c r="D3055" s="5" t="s">
        <v>837</v>
      </c>
      <c r="E3055" s="5" t="s">
        <v>11995</v>
      </c>
      <c r="F3055" s="5" t="s">
        <v>11946</v>
      </c>
      <c r="G3055" s="5" t="s">
        <v>11946</v>
      </c>
      <c r="H3055" s="5"/>
      <c r="I3055" s="5" t="s">
        <v>20</v>
      </c>
      <c r="J3055" s="5">
        <v>9.06</v>
      </c>
      <c r="K3055" s="5" t="s">
        <v>21</v>
      </c>
      <c r="L3055" s="5" t="s">
        <v>11996</v>
      </c>
      <c r="M3055" s="5" t="s">
        <v>11948</v>
      </c>
      <c r="N3055" s="7" t="str">
        <f>HYPERLINK("C:\Users\alexa\YandexDisk\Книги\Управление проектами\Липаев проекирование ПС.pdf","Липаев проекирование ПС.pdf")</f>
        <v>Липаев проекирование ПС.pdf</v>
      </c>
      <c r="O3055" s="5" t="s">
        <v>11997</v>
      </c>
    </row>
    <row r="3056" spans="1:15" ht="234.6" x14ac:dyDescent="0.3">
      <c r="A3056" s="2">
        <v>3055</v>
      </c>
      <c r="B3056" s="3" t="s">
        <v>11998</v>
      </c>
      <c r="C3056" s="3" t="s">
        <v>11994</v>
      </c>
      <c r="D3056" s="3" t="s">
        <v>274</v>
      </c>
      <c r="E3056" s="3" t="s">
        <v>11995</v>
      </c>
      <c r="F3056" s="3" t="s">
        <v>11946</v>
      </c>
      <c r="G3056" s="3" t="s">
        <v>11946</v>
      </c>
      <c r="H3056" s="3"/>
      <c r="I3056" s="3" t="s">
        <v>20</v>
      </c>
      <c r="J3056" s="3">
        <v>5.81</v>
      </c>
      <c r="K3056" s="3" t="s">
        <v>21</v>
      </c>
      <c r="L3056" s="3" t="s">
        <v>11999</v>
      </c>
      <c r="M3056" s="3" t="s">
        <v>11948</v>
      </c>
      <c r="N3056" s="6" t="str">
        <f>HYPERLINK("C:\Users\alexa\YandexDisk\Книги\Управление проектами\Липаев Сертификация ПС.pdf","Липаев Сертификация ПС.pdf")</f>
        <v>Липаев Сертификация ПС.pdf</v>
      </c>
      <c r="O3056" s="3" t="s">
        <v>12000</v>
      </c>
    </row>
    <row r="3057" spans="1:15" ht="248.4" x14ac:dyDescent="0.3">
      <c r="A3057" s="4">
        <v>3056</v>
      </c>
      <c r="B3057" s="5" t="s">
        <v>11998</v>
      </c>
      <c r="C3057" s="5" t="s">
        <v>11994</v>
      </c>
      <c r="D3057" s="5" t="s">
        <v>274</v>
      </c>
      <c r="E3057" s="5" t="s">
        <v>11995</v>
      </c>
      <c r="F3057" s="5" t="s">
        <v>11946</v>
      </c>
      <c r="G3057" s="5" t="s">
        <v>11946</v>
      </c>
      <c r="H3057" s="5"/>
      <c r="I3057" s="5" t="s">
        <v>20</v>
      </c>
      <c r="J3057" s="5">
        <v>7.22</v>
      </c>
      <c r="K3057" s="5" t="s">
        <v>21</v>
      </c>
      <c r="L3057" s="5" t="s">
        <v>12001</v>
      </c>
      <c r="M3057" s="5" t="s">
        <v>11948</v>
      </c>
      <c r="N3057" s="7" t="str">
        <f>HYPERLINK("C:\Users\alexa\YandexDisk\Книги\Управление проектами\Липаев Сертификация ПС2.pdf","Липаев Сертификация ПС2.pdf")</f>
        <v>Липаев Сертификация ПС2.pdf</v>
      </c>
      <c r="O3057" s="5" t="s">
        <v>12002</v>
      </c>
    </row>
    <row r="3058" spans="1:15" ht="234.6" x14ac:dyDescent="0.3">
      <c r="A3058" s="2">
        <v>3057</v>
      </c>
      <c r="B3058" s="3" t="s">
        <v>12003</v>
      </c>
      <c r="C3058" s="3" t="s">
        <v>11994</v>
      </c>
      <c r="D3058" s="3" t="s">
        <v>172</v>
      </c>
      <c r="E3058" s="3" t="s">
        <v>11995</v>
      </c>
      <c r="F3058" s="3" t="s">
        <v>11946</v>
      </c>
      <c r="G3058" s="3" t="s">
        <v>11946</v>
      </c>
      <c r="H3058" s="3"/>
      <c r="I3058" s="3" t="s">
        <v>20</v>
      </c>
      <c r="J3058" s="3">
        <v>4.95</v>
      </c>
      <c r="K3058" s="3" t="s">
        <v>21</v>
      </c>
      <c r="L3058" s="3" t="s">
        <v>12004</v>
      </c>
      <c r="M3058" s="3" t="s">
        <v>11948</v>
      </c>
      <c r="N3058" s="6" t="str">
        <f>HYPERLINK("C:\Users\alexa\YandexDisk\Книги\Управление проектами\Липаев управление конфигурацией ПС.pdf","Липаев управление конфигурацией ПС.pdf")</f>
        <v>Липаев управление конфигурацией ПС.pdf</v>
      </c>
      <c r="O3058" s="3" t="s">
        <v>12005</v>
      </c>
    </row>
    <row r="3059" spans="1:15" ht="165.6" x14ac:dyDescent="0.3">
      <c r="A3059" s="4">
        <v>3058</v>
      </c>
      <c r="B3059" s="5" t="s">
        <v>12006</v>
      </c>
      <c r="C3059" s="5" t="s">
        <v>12007</v>
      </c>
      <c r="D3059" s="5" t="s">
        <v>17</v>
      </c>
      <c r="E3059" s="5" t="s">
        <v>18</v>
      </c>
      <c r="F3059" s="5" t="s">
        <v>11946</v>
      </c>
      <c r="G3059" s="5" t="s">
        <v>11946</v>
      </c>
      <c r="H3059" s="5"/>
      <c r="I3059" s="5" t="s">
        <v>20</v>
      </c>
      <c r="J3059" s="5">
        <v>8.6300000000000008</v>
      </c>
      <c r="K3059" s="5" t="s">
        <v>21</v>
      </c>
      <c r="L3059" s="5" t="s">
        <v>12008</v>
      </c>
      <c r="M3059" s="5" t="s">
        <v>11948</v>
      </c>
      <c r="N3059" s="7" t="str">
        <f>HYPERLINK("C:\Users\alexa\YandexDisk\Книги\Управление проектами\Мифический человеко-месяц.pdf","Мифический человеко-месяц.pdf")</f>
        <v>Мифический человеко-месяц.pdf</v>
      </c>
      <c r="O3059" s="5" t="s">
        <v>12009</v>
      </c>
    </row>
    <row r="3060" spans="1:15" ht="234.6" x14ac:dyDescent="0.3">
      <c r="A3060" s="2">
        <v>3059</v>
      </c>
      <c r="B3060" s="3" t="s">
        <v>12010</v>
      </c>
      <c r="C3060" s="3" t="s">
        <v>12011</v>
      </c>
      <c r="D3060" s="3" t="s">
        <v>1022</v>
      </c>
      <c r="E3060" s="3" t="s">
        <v>18</v>
      </c>
      <c r="F3060" s="3" t="s">
        <v>11946</v>
      </c>
      <c r="G3060" s="3" t="s">
        <v>11946</v>
      </c>
      <c r="H3060" s="3"/>
      <c r="I3060" s="3" t="s">
        <v>20</v>
      </c>
      <c r="J3060" s="3">
        <v>9.44</v>
      </c>
      <c r="K3060" s="3" t="s">
        <v>21</v>
      </c>
      <c r="L3060" s="3" t="s">
        <v>12012</v>
      </c>
      <c r="M3060" s="3" t="s">
        <v>11948</v>
      </c>
      <c r="N3060" s="6" t="str">
        <f>HYPERLINK("C:\Users\alexa\YandexDisk\Книги\Управление проектами\путь аналитика.pdf","путь аналитика.pdf")</f>
        <v>путь аналитика.pdf</v>
      </c>
      <c r="O3060" s="3" t="s">
        <v>12013</v>
      </c>
    </row>
    <row r="3061" spans="1:15" ht="207" x14ac:dyDescent="0.3">
      <c r="A3061" s="4">
        <v>3060</v>
      </c>
      <c r="B3061" s="5" t="s">
        <v>11151</v>
      </c>
      <c r="C3061" s="5" t="s">
        <v>11152</v>
      </c>
      <c r="D3061" s="5" t="s">
        <v>186</v>
      </c>
      <c r="E3061" s="5" t="s">
        <v>11153</v>
      </c>
      <c r="F3061" s="5" t="s">
        <v>11946</v>
      </c>
      <c r="G3061" s="5" t="s">
        <v>11946</v>
      </c>
      <c r="H3061" s="5"/>
      <c r="I3061" s="5" t="s">
        <v>20</v>
      </c>
      <c r="J3061" s="5">
        <v>3.25</v>
      </c>
      <c r="K3061" s="5" t="s">
        <v>21</v>
      </c>
      <c r="L3061" s="5" t="s">
        <v>12014</v>
      </c>
      <c r="M3061" s="5" t="s">
        <v>11948</v>
      </c>
      <c r="N3061" s="7" t="str">
        <f>HYPERLINK("C:\Users\alexa\YandexDisk\Книги\Управление проектами\Разработка_требований_к_программному_обеспечению.pdf","Разработка_требований_к_программному_обеспечению.pdf")</f>
        <v>Разработка_требований_к_программному_обеспечению.pdf</v>
      </c>
      <c r="O3061" s="5" t="s">
        <v>12015</v>
      </c>
    </row>
    <row r="3062" spans="1:15" ht="220.8" x14ac:dyDescent="0.3">
      <c r="A3062" s="2">
        <v>3061</v>
      </c>
      <c r="B3062" s="3" t="s">
        <v>12016</v>
      </c>
      <c r="C3062" s="3" t="s">
        <v>12017</v>
      </c>
      <c r="D3062" s="3" t="s">
        <v>335</v>
      </c>
      <c r="E3062" s="3" t="s">
        <v>336</v>
      </c>
      <c r="F3062" s="3" t="s">
        <v>11946</v>
      </c>
      <c r="G3062" s="3" t="s">
        <v>11946</v>
      </c>
      <c r="H3062" s="3"/>
      <c r="I3062" s="3" t="s">
        <v>20</v>
      </c>
      <c r="J3062" s="3">
        <v>5.56</v>
      </c>
      <c r="K3062" s="3" t="s">
        <v>21</v>
      </c>
      <c r="L3062" s="3" t="s">
        <v>12018</v>
      </c>
      <c r="M3062" s="3" t="s">
        <v>11948</v>
      </c>
      <c r="N3062" s="6" t="str">
        <f>HYPERLINK("C:\Users\alexa\YandexDisk\Книги\Управление проектами\Технический директор. Эффективное техническое лидерство.pdf","Технический директор. Эффективное техническое лидерство.pdf")</f>
        <v>Технический директор. Эффективное техническое лидерство.pdf</v>
      </c>
      <c r="O3062" s="3" t="s">
        <v>12019</v>
      </c>
    </row>
    <row r="3063" spans="1:15" ht="179.4" x14ac:dyDescent="0.3">
      <c r="A3063" s="4">
        <v>3062</v>
      </c>
      <c r="B3063" s="5" t="s">
        <v>12020</v>
      </c>
      <c r="C3063" s="5" t="s">
        <v>12021</v>
      </c>
      <c r="D3063" s="5" t="s">
        <v>71</v>
      </c>
      <c r="E3063" s="5" t="s">
        <v>18</v>
      </c>
      <c r="F3063" s="5" t="s">
        <v>11946</v>
      </c>
      <c r="G3063" s="5" t="s">
        <v>11946</v>
      </c>
      <c r="H3063" s="5"/>
      <c r="I3063" s="5" t="s">
        <v>20</v>
      </c>
      <c r="J3063" s="5">
        <v>16.96</v>
      </c>
      <c r="K3063" s="5" t="s">
        <v>21</v>
      </c>
      <c r="L3063" s="5" t="s">
        <v>12022</v>
      </c>
      <c r="M3063" s="5" t="s">
        <v>11948</v>
      </c>
      <c r="N3063" s="7" t="str">
        <f>HYPERLINK("C:\Users\alexa\YandexDisk\Книги\Управление проектами\Управление проектами с нуля.pdf","Управление проектами с нуля.pdf")</f>
        <v>Управление проектами с нуля.pdf</v>
      </c>
      <c r="O3063" s="5" t="s">
        <v>12023</v>
      </c>
    </row>
    <row r="3064" spans="1:15" ht="193.2" x14ac:dyDescent="0.3">
      <c r="A3064" s="2">
        <v>3063</v>
      </c>
      <c r="B3064" s="3" t="s">
        <v>12024</v>
      </c>
      <c r="C3064" s="3" t="s">
        <v>12025</v>
      </c>
      <c r="D3064" s="3" t="s">
        <v>32</v>
      </c>
      <c r="E3064" s="3" t="s">
        <v>102</v>
      </c>
      <c r="F3064" s="3" t="s">
        <v>11946</v>
      </c>
      <c r="G3064" s="3" t="s">
        <v>11946</v>
      </c>
      <c r="H3064" s="3"/>
      <c r="I3064" s="3" t="s">
        <v>20</v>
      </c>
      <c r="J3064" s="3">
        <v>3.35</v>
      </c>
      <c r="K3064" s="3" t="s">
        <v>21</v>
      </c>
      <c r="L3064" s="3" t="s">
        <v>12026</v>
      </c>
      <c r="M3064" s="3" t="s">
        <v>11948</v>
      </c>
      <c r="N3064" s="6" t="str">
        <f>HYPERLINK("C:\Users\alexa\YandexDisk\Книги\Управление проектами\Управление_высокотехнологичными_программами_и_проектами.pdf","Управление_высокотехнологичными_программами_и_проектами.pdf")</f>
        <v>Управление_высокотехнологичными_программами_и_проектами.pdf</v>
      </c>
      <c r="O3064" s="3" t="s">
        <v>12027</v>
      </c>
    </row>
    <row r="3065" spans="1:15" ht="220.8" x14ac:dyDescent="0.3">
      <c r="A3065" s="4">
        <v>3064</v>
      </c>
      <c r="B3065" s="5" t="s">
        <v>12028</v>
      </c>
      <c r="C3065" s="5" t="s">
        <v>12029</v>
      </c>
      <c r="D3065" s="5"/>
      <c r="E3065" s="5"/>
      <c r="F3065" s="5" t="s">
        <v>12030</v>
      </c>
      <c r="G3065" s="5" t="s">
        <v>12031</v>
      </c>
      <c r="H3065" s="5" t="s">
        <v>12032</v>
      </c>
      <c r="I3065" s="5" t="s">
        <v>280</v>
      </c>
      <c r="J3065" s="5">
        <v>0.22</v>
      </c>
      <c r="K3065" s="5" t="s">
        <v>21</v>
      </c>
      <c r="L3065" s="5" t="s">
        <v>12033</v>
      </c>
      <c r="M3065" s="5" t="s">
        <v>12034</v>
      </c>
      <c r="N3065" s="7" t="str">
        <f>HYPERLINK("C:\Users\alexa\YandexDisk\Книги\Художественная литература\Makiavielli, Nikolo\Gosudar' - Nikolo Makiavielli.epub","Gosudar' - Nikolo Makiavielli.epub")</f>
        <v>Gosudar' - Nikolo Makiavielli.epub</v>
      </c>
      <c r="O3065" s="5" t="s">
        <v>12035</v>
      </c>
    </row>
    <row r="3066" spans="1:15" ht="220.8" x14ac:dyDescent="0.3">
      <c r="A3066" s="2">
        <v>3065</v>
      </c>
      <c r="B3066" s="3" t="s">
        <v>12028</v>
      </c>
      <c r="C3066" s="3" t="s">
        <v>12029</v>
      </c>
      <c r="D3066" s="3"/>
      <c r="E3066" s="3"/>
      <c r="F3066" s="3" t="s">
        <v>12030</v>
      </c>
      <c r="G3066" s="3" t="s">
        <v>12031</v>
      </c>
      <c r="H3066" s="3" t="s">
        <v>12032</v>
      </c>
      <c r="I3066" s="3" t="s">
        <v>20</v>
      </c>
      <c r="J3066" s="3">
        <v>0.56999999999999995</v>
      </c>
      <c r="K3066" s="3" t="s">
        <v>21</v>
      </c>
      <c r="L3066" s="3" t="s">
        <v>12036</v>
      </c>
      <c r="M3066" s="3" t="s">
        <v>12034</v>
      </c>
      <c r="N3066" s="6" t="str">
        <f>HYPERLINK("C:\Users\alexa\YandexDisk\Книги\Художественная литература\Makiavielli, Nikolo\Gosudar' - Nikolo Makiavielli.pdf","Gosudar' - Nikolo Makiavielli.pdf")</f>
        <v>Gosudar' - Nikolo Makiavielli.pdf</v>
      </c>
      <c r="O3066" s="3" t="s">
        <v>12037</v>
      </c>
    </row>
    <row r="3067" spans="1:15" ht="179.4" x14ac:dyDescent="0.3">
      <c r="A3067" s="4">
        <v>3066</v>
      </c>
      <c r="B3067" s="5" t="s">
        <v>12028</v>
      </c>
      <c r="C3067" s="5" t="s">
        <v>12038</v>
      </c>
      <c r="D3067" s="5"/>
      <c r="E3067" s="5"/>
      <c r="F3067" s="5" t="s">
        <v>12030</v>
      </c>
      <c r="G3067" s="5" t="s">
        <v>12031</v>
      </c>
      <c r="H3067" s="5" t="s">
        <v>12032</v>
      </c>
      <c r="I3067" s="5" t="s">
        <v>6740</v>
      </c>
      <c r="J3067" s="5">
        <v>0.79</v>
      </c>
      <c r="K3067" s="5" t="s">
        <v>21</v>
      </c>
      <c r="L3067" s="5" t="s">
        <v>12039</v>
      </c>
      <c r="M3067" s="5" t="s">
        <v>12034</v>
      </c>
      <c r="N3067" s="7" t="str">
        <f>HYPERLINK("C:\Users\alexa\YandexDisk\Книги\Художественная литература\Makiavielli, Nikolo\Makiavelli_Gosudar.229344.fb2.mobi","Makiavelli_Gosudar.229344.fb2.mobi")</f>
        <v>Makiavelli_Gosudar.229344.fb2.mobi</v>
      </c>
      <c r="O3067" s="5" t="s">
        <v>12040</v>
      </c>
    </row>
    <row r="3068" spans="1:15" ht="138" x14ac:dyDescent="0.3">
      <c r="A3068" s="2">
        <v>3067</v>
      </c>
      <c r="B3068" s="3" t="s">
        <v>12041</v>
      </c>
      <c r="C3068" s="3" t="s">
        <v>12038</v>
      </c>
      <c r="D3068" s="3"/>
      <c r="E3068" s="3"/>
      <c r="F3068" s="3" t="s">
        <v>12030</v>
      </c>
      <c r="G3068" s="3" t="s">
        <v>12031</v>
      </c>
      <c r="H3068" s="3" t="s">
        <v>12032</v>
      </c>
      <c r="I3068" s="3" t="s">
        <v>6740</v>
      </c>
      <c r="J3068" s="3">
        <v>5.79</v>
      </c>
      <c r="K3068" s="3" t="s">
        <v>21</v>
      </c>
      <c r="L3068" s="3" t="s">
        <v>12042</v>
      </c>
      <c r="M3068" s="3" t="s">
        <v>12034</v>
      </c>
      <c r="N3068" s="6" t="str">
        <f>HYPERLINK("C:\Users\alexa\YandexDisk\Книги\Художественная литература\Makiavielli, Nikolo\Makiavelli_O-voennom-iskusstve.354729.fb2.mobi","Makiavelli_O-voennom-iskusstve.354729.fb2.mobi")</f>
        <v>Makiavelli_O-voennom-iskusstve.354729.fb2.mobi</v>
      </c>
      <c r="O3068" s="3" t="s">
        <v>12043</v>
      </c>
    </row>
    <row r="3069" spans="1:15" ht="151.80000000000001" x14ac:dyDescent="0.3">
      <c r="A3069" s="4">
        <v>3068</v>
      </c>
      <c r="B3069" s="5" t="s">
        <v>12044</v>
      </c>
      <c r="C3069" s="5" t="s">
        <v>12045</v>
      </c>
      <c r="D3069" s="5" t="s">
        <v>274</v>
      </c>
      <c r="E3069" s="5" t="s">
        <v>12046</v>
      </c>
      <c r="F3069" s="5" t="s">
        <v>12047</v>
      </c>
      <c r="G3069" s="5" t="s">
        <v>12031</v>
      </c>
      <c r="H3069" s="5" t="s">
        <v>12045</v>
      </c>
      <c r="I3069" s="5" t="s">
        <v>280</v>
      </c>
      <c r="J3069" s="5">
        <v>1.1200000000000001</v>
      </c>
      <c r="K3069" s="5" t="s">
        <v>21</v>
      </c>
      <c r="L3069" s="5" t="s">
        <v>12048</v>
      </c>
      <c r="M3069" s="5" t="s">
        <v>12049</v>
      </c>
      <c r="N3069" s="7" t="str">
        <f>HYPERLINK("C:\Users\alexa\YandexDisk\Книги\Художественная литература\Stigh Larsson\Dievushka, kotoraia ighrala s oghniem - Stigh Larsson.epub","Dievushka, kotoraia ighrala s oghniem - Stigh Larsson.epub")</f>
        <v>Dievushka, kotoraia ighrala s oghniem - Stigh Larsson.epub</v>
      </c>
      <c r="O3069" s="5" t="s">
        <v>12050</v>
      </c>
    </row>
    <row r="3070" spans="1:15" ht="165.6" x14ac:dyDescent="0.3">
      <c r="A3070" s="2">
        <v>3069</v>
      </c>
      <c r="B3070" s="3" t="s">
        <v>12044</v>
      </c>
      <c r="C3070" s="3" t="s">
        <v>12045</v>
      </c>
      <c r="D3070" s="3"/>
      <c r="E3070" s="3"/>
      <c r="F3070" s="3" t="s">
        <v>12047</v>
      </c>
      <c r="G3070" s="3" t="s">
        <v>12031</v>
      </c>
      <c r="H3070" s="3" t="s">
        <v>12045</v>
      </c>
      <c r="I3070" s="3" t="s">
        <v>6740</v>
      </c>
      <c r="J3070" s="3">
        <v>1.72</v>
      </c>
      <c r="K3070" s="3" t="s">
        <v>21</v>
      </c>
      <c r="L3070" s="3" t="s">
        <v>12051</v>
      </c>
      <c r="M3070" s="3" t="s">
        <v>12049</v>
      </c>
      <c r="N3070" s="6" t="str">
        <f>HYPERLINK("C:\Users\alexa\YandexDisk\Книги\Художественная литература\Stigh Larsson\Dievushka, kotoraia ighrala s oghniem - Stigh Larsson.mobi","Dievushka, kotoraia ighrala s oghniem - Stigh Larsson.mobi")</f>
        <v>Dievushka, kotoraia ighrala s oghniem - Stigh Larsson.mobi</v>
      </c>
      <c r="O3070" s="3" t="s">
        <v>12052</v>
      </c>
    </row>
    <row r="3071" spans="1:15" ht="41.4" x14ac:dyDescent="0.3">
      <c r="A3071" s="4">
        <v>3070</v>
      </c>
      <c r="B3071" s="5" t="s">
        <v>12053</v>
      </c>
      <c r="C3071" s="5" t="s">
        <v>12054</v>
      </c>
      <c r="D3071" s="5"/>
      <c r="E3071" s="5"/>
      <c r="F3071" s="5" t="s">
        <v>12055</v>
      </c>
      <c r="G3071" s="5" t="s">
        <v>12031</v>
      </c>
      <c r="H3071" s="5" t="s">
        <v>12054</v>
      </c>
      <c r="I3071" s="5" t="s">
        <v>6740</v>
      </c>
      <c r="J3071" s="5">
        <v>1.6</v>
      </c>
      <c r="K3071" s="5" t="s">
        <v>21</v>
      </c>
      <c r="L3071" s="5" t="s">
        <v>12056</v>
      </c>
      <c r="M3071" s="5" t="s">
        <v>12057</v>
      </c>
      <c r="N3071" s="7" t="str">
        <f>HYPERLINK("C:\Users\alexa\YandexDisk\Книги\Художественная литература\Stivien Kingh\Armaghiedon - Stivien Kingh.mobi","Armaghiedon - Stivien Kingh.mobi")</f>
        <v>Armaghiedon - Stivien Kingh.mobi</v>
      </c>
      <c r="O3071" s="5" t="s">
        <v>930</v>
      </c>
    </row>
    <row r="3072" spans="1:15" ht="41.4" x14ac:dyDescent="0.3">
      <c r="A3072" s="2">
        <v>3071</v>
      </c>
      <c r="B3072" s="3" t="s">
        <v>12058</v>
      </c>
      <c r="C3072" s="3" t="s">
        <v>12059</v>
      </c>
      <c r="D3072" s="3"/>
      <c r="E3072" s="3"/>
      <c r="F3072" s="3" t="s">
        <v>12055</v>
      </c>
      <c r="G3072" s="3" t="s">
        <v>12031</v>
      </c>
      <c r="H3072" s="3" t="s">
        <v>12054</v>
      </c>
      <c r="I3072" s="3" t="s">
        <v>6740</v>
      </c>
      <c r="J3072" s="3">
        <v>0.69</v>
      </c>
      <c r="K3072" s="3" t="s">
        <v>21</v>
      </c>
      <c r="L3072" s="3" t="s">
        <v>12060</v>
      </c>
      <c r="M3072" s="3" t="s">
        <v>12057</v>
      </c>
      <c r="N3072" s="6" t="str">
        <f>HYPERLINK("C:\Users\alexa\YandexDisk\Книги\Художественная литература\Stivien Kingh\Greenmile - Stivien Kiingh.mobi","Greenmile - Stivien Kiingh.mobi")</f>
        <v>Greenmile - Stivien Kiingh.mobi</v>
      </c>
      <c r="O3072" s="3" t="s">
        <v>930</v>
      </c>
    </row>
    <row r="3073" spans="1:15" ht="151.80000000000001" x14ac:dyDescent="0.3">
      <c r="A3073" s="4">
        <v>3072</v>
      </c>
      <c r="B3073" s="5" t="s">
        <v>12061</v>
      </c>
      <c r="C3073" s="5" t="s">
        <v>12062</v>
      </c>
      <c r="D3073" s="5"/>
      <c r="E3073" s="5"/>
      <c r="F3073" s="5" t="s">
        <v>12055</v>
      </c>
      <c r="G3073" s="5" t="s">
        <v>12031</v>
      </c>
      <c r="H3073" s="5" t="s">
        <v>12054</v>
      </c>
      <c r="I3073" s="5" t="s">
        <v>4473</v>
      </c>
      <c r="J3073" s="5">
        <v>0.52</v>
      </c>
      <c r="K3073" s="5" t="s">
        <v>21</v>
      </c>
      <c r="L3073" s="5" t="s">
        <v>12063</v>
      </c>
      <c r="M3073" s="5" t="s">
        <v>12057</v>
      </c>
      <c r="N3073" s="7" t="str">
        <f>HYPERLINK("C:\Users\alexa\YandexDisk\Книги\Художественная литература\Stivien Kingh\Стивен Кинг - Худеющий.doc","Стивен Кинг - Худеющий.doc")</f>
        <v>Стивен Кинг - Худеющий.doc</v>
      </c>
      <c r="O3073" s="5" t="s">
        <v>12064</v>
      </c>
    </row>
    <row r="3074" spans="1:15" ht="262.2" x14ac:dyDescent="0.3">
      <c r="A3074" s="2">
        <v>3073</v>
      </c>
      <c r="B3074" s="3" t="s">
        <v>12065</v>
      </c>
      <c r="C3074" s="3" t="s">
        <v>12066</v>
      </c>
      <c r="D3074" s="3" t="s">
        <v>2745</v>
      </c>
      <c r="E3074" s="3" t="s">
        <v>12067</v>
      </c>
      <c r="F3074" s="3" t="s">
        <v>12068</v>
      </c>
      <c r="G3074" s="3" t="s">
        <v>12031</v>
      </c>
      <c r="H3074" s="3" t="s">
        <v>12065</v>
      </c>
      <c r="I3074" s="3" t="s">
        <v>280</v>
      </c>
      <c r="J3074" s="3">
        <v>0.41</v>
      </c>
      <c r="K3074" s="3" t="s">
        <v>21</v>
      </c>
      <c r="L3074" s="3" t="s">
        <v>12069</v>
      </c>
      <c r="M3074" s="3" t="s">
        <v>12070</v>
      </c>
      <c r="N3074" s="6" t="str">
        <f>HYPERLINK("C:\Users\alexa\YandexDisk\Книги\Художественная литература\Tormozz\D-r Dzhon Kolieman - Tormozz.epub","D-r Dzhon Kolieman - Tormozz.epub")</f>
        <v>D-r Dzhon Kolieman - Tormozz.epub</v>
      </c>
      <c r="O3074" s="3" t="s">
        <v>12071</v>
      </c>
    </row>
    <row r="3075" spans="1:15" ht="41.4" x14ac:dyDescent="0.3">
      <c r="A3075" s="4">
        <v>3074</v>
      </c>
      <c r="B3075" s="5" t="s">
        <v>12065</v>
      </c>
      <c r="C3075" s="5" t="s">
        <v>12072</v>
      </c>
      <c r="D3075" s="5"/>
      <c r="E3075" s="5"/>
      <c r="F3075" s="5" t="s">
        <v>12068</v>
      </c>
      <c r="G3075" s="5" t="s">
        <v>12031</v>
      </c>
      <c r="H3075" s="5" t="s">
        <v>12065</v>
      </c>
      <c r="I3075" s="5" t="s">
        <v>6740</v>
      </c>
      <c r="J3075" s="5">
        <v>0.6</v>
      </c>
      <c r="K3075" s="5" t="s">
        <v>21</v>
      </c>
      <c r="L3075" s="5" t="s">
        <v>12073</v>
      </c>
      <c r="M3075" s="5" t="s">
        <v>12070</v>
      </c>
      <c r="N3075" s="7" t="str">
        <f>HYPERLINK("C:\Users\alexa\YandexDisk\Книги\Художественная литература\Tormozz\D-r Dzhon Kolieman - Tormozz.mobi","D-r Dzhon Kolieman - Tormozz.mobi")</f>
        <v>D-r Dzhon Kolieman - Tormozz.mobi</v>
      </c>
      <c r="O3075" s="5" t="s">
        <v>1735</v>
      </c>
    </row>
    <row r="3076" spans="1:15" ht="179.4" x14ac:dyDescent="0.3">
      <c r="A3076" s="2">
        <v>3075</v>
      </c>
      <c r="B3076" s="3" t="s">
        <v>12074</v>
      </c>
      <c r="C3076" s="3" t="s">
        <v>12075</v>
      </c>
      <c r="D3076" s="3"/>
      <c r="E3076" s="3"/>
      <c r="F3076" s="3" t="s">
        <v>12076</v>
      </c>
      <c r="G3076" s="3" t="s">
        <v>12031</v>
      </c>
      <c r="H3076" s="3" t="s">
        <v>12077</v>
      </c>
      <c r="I3076" s="3" t="s">
        <v>280</v>
      </c>
      <c r="J3076" s="3">
        <v>2.41</v>
      </c>
      <c r="K3076" s="3" t="s">
        <v>21</v>
      </c>
      <c r="L3076" s="3" t="s">
        <v>12078</v>
      </c>
      <c r="M3076" s="3" t="s">
        <v>12079</v>
      </c>
      <c r="N3076" s="6" t="str">
        <f>HYPERLINK("C:\Users\alexa\YandexDisk\Книги\Художественная литература\Библия\Bibliia. Novyi russkii pierievo - Biblica.epub","Bibliia. Novyi russkii pierievo - Biblica.epub")</f>
        <v>Bibliia. Novyi russkii pierievo - Biblica.epub</v>
      </c>
      <c r="O3076" s="3" t="s">
        <v>12080</v>
      </c>
    </row>
    <row r="3077" spans="1:15" ht="179.4" x14ac:dyDescent="0.3">
      <c r="A3077" s="4">
        <v>3076</v>
      </c>
      <c r="B3077" s="5" t="s">
        <v>12074</v>
      </c>
      <c r="C3077" s="5" t="s">
        <v>12075</v>
      </c>
      <c r="D3077" s="5"/>
      <c r="E3077" s="5"/>
      <c r="F3077" s="5" t="s">
        <v>12076</v>
      </c>
      <c r="G3077" s="5" t="s">
        <v>12031</v>
      </c>
      <c r="H3077" s="5" t="s">
        <v>12077</v>
      </c>
      <c r="I3077" s="5" t="s">
        <v>20</v>
      </c>
      <c r="J3077" s="5">
        <v>11.17</v>
      </c>
      <c r="K3077" s="5" t="s">
        <v>21</v>
      </c>
      <c r="L3077" s="5" t="s">
        <v>12081</v>
      </c>
      <c r="M3077" s="5" t="s">
        <v>12079</v>
      </c>
      <c r="N3077" s="7" t="str">
        <f>HYPERLINK("C:\Users\alexa\YandexDisk\Книги\Художественная литература\Библия\Bibliia. Novyi russkii pierievo - Biblica.pdf","Bibliia. Novyi russkii pierievo - Biblica.pdf")</f>
        <v>Bibliia. Novyi russkii pierievo - Biblica.pdf</v>
      </c>
      <c r="O3077" s="5" t="s">
        <v>12082</v>
      </c>
    </row>
    <row r="3078" spans="1:15" ht="41.4" x14ac:dyDescent="0.3">
      <c r="A3078" s="2">
        <v>3077</v>
      </c>
      <c r="B3078" s="3" t="s">
        <v>12083</v>
      </c>
      <c r="C3078" s="3"/>
      <c r="D3078" s="3"/>
      <c r="E3078" s="3"/>
      <c r="F3078" s="3" t="s">
        <v>12076</v>
      </c>
      <c r="G3078" s="3" t="s">
        <v>12031</v>
      </c>
      <c r="H3078" s="3" t="s">
        <v>12077</v>
      </c>
      <c r="I3078" s="3" t="s">
        <v>6740</v>
      </c>
      <c r="J3078" s="3">
        <v>12.7</v>
      </c>
      <c r="K3078" s="3" t="s">
        <v>21</v>
      </c>
      <c r="L3078" s="3" t="s">
        <v>12084</v>
      </c>
      <c r="M3078" s="3" t="s">
        <v>12079</v>
      </c>
      <c r="N3078" s="6" t="str">
        <f>HYPERLINK("C:\Users\alexa\YandexDisk\Книги\Художественная литература\Библия\Bibliya_Bibliya-Novyy-russkiy-perevod-NRT-RSJ-Biblica-.337477.fb2.mobi","Bibliya_Bibliya-Novyy-russkiy-perevod-NRT-RSJ-Biblica-.337477.fb2.mobi")</f>
        <v>Bibliya_Bibliya-Novyy-russkiy-perevod-NRT-RSJ-Biblica-.337477.fb2.mobi</v>
      </c>
      <c r="O3078" s="3" t="s">
        <v>930</v>
      </c>
    </row>
    <row r="3079" spans="1:15" ht="289.8" x14ac:dyDescent="0.3">
      <c r="A3079" s="4">
        <v>3078</v>
      </c>
      <c r="B3079" s="5" t="s">
        <v>12085</v>
      </c>
      <c r="C3079" s="5" t="s">
        <v>12086</v>
      </c>
      <c r="D3079" s="5"/>
      <c r="E3079" s="5"/>
      <c r="F3079" s="5" t="s">
        <v>12076</v>
      </c>
      <c r="G3079" s="5" t="s">
        <v>12031</v>
      </c>
      <c r="H3079" s="5" t="s">
        <v>12077</v>
      </c>
      <c r="I3079" s="5" t="s">
        <v>280</v>
      </c>
      <c r="J3079" s="5">
        <v>0.25</v>
      </c>
      <c r="K3079" s="5" t="s">
        <v>21</v>
      </c>
      <c r="L3079" s="5" t="s">
        <v>12087</v>
      </c>
      <c r="M3079" s="5" t="s">
        <v>12079</v>
      </c>
      <c r="N3079" s="7" t="str">
        <f>HYPERLINK("C:\Users\alexa\YandexDisk\Книги\Художественная литература\Библия\Ievanghieliie ot Fomy - Ievanghieliie.epub","Ievanghieliie ot Fomy - Ievanghieliie.epub")</f>
        <v>Ievanghieliie ot Fomy - Ievanghieliie.epub</v>
      </c>
      <c r="O3079" s="5" t="s">
        <v>12088</v>
      </c>
    </row>
    <row r="3080" spans="1:15" ht="262.2" x14ac:dyDescent="0.3">
      <c r="A3080" s="2">
        <v>3079</v>
      </c>
      <c r="B3080" s="3" t="s">
        <v>12085</v>
      </c>
      <c r="C3080" s="3" t="s">
        <v>12086</v>
      </c>
      <c r="D3080" s="3"/>
      <c r="E3080" s="3"/>
      <c r="F3080" s="3" t="s">
        <v>12076</v>
      </c>
      <c r="G3080" s="3" t="s">
        <v>12031</v>
      </c>
      <c r="H3080" s="3" t="s">
        <v>12077</v>
      </c>
      <c r="I3080" s="3" t="s">
        <v>20</v>
      </c>
      <c r="J3080" s="3">
        <v>0.32</v>
      </c>
      <c r="K3080" s="3" t="s">
        <v>21</v>
      </c>
      <c r="L3080" s="3" t="s">
        <v>12089</v>
      </c>
      <c r="M3080" s="3" t="s">
        <v>12079</v>
      </c>
      <c r="N3080" s="6" t="str">
        <f>HYPERLINK("C:\Users\alexa\YandexDisk\Книги\Художественная литература\Библия\Ievanghieliie ot Fomy - Ievanghieliie.pdf","Ievanghieliie ot Fomy - Ievanghieliie.pdf")</f>
        <v>Ievanghieliie ot Fomy - Ievanghieliie.pdf</v>
      </c>
      <c r="O3080" s="3" t="s">
        <v>12090</v>
      </c>
    </row>
    <row r="3081" spans="1:15" ht="41.4" x14ac:dyDescent="0.3">
      <c r="A3081" s="4">
        <v>3080</v>
      </c>
      <c r="B3081" s="5" t="s">
        <v>12091</v>
      </c>
      <c r="C3081" s="5" t="s">
        <v>12092</v>
      </c>
      <c r="D3081" s="5"/>
      <c r="E3081" s="5"/>
      <c r="F3081" s="5" t="s">
        <v>12093</v>
      </c>
      <c r="G3081" s="5" t="s">
        <v>12031</v>
      </c>
      <c r="H3081" s="5" t="s">
        <v>12092</v>
      </c>
      <c r="I3081" s="5" t="s">
        <v>6740</v>
      </c>
      <c r="J3081" s="5">
        <v>1.07</v>
      </c>
      <c r="K3081" s="5" t="s">
        <v>21</v>
      </c>
      <c r="L3081" s="5" t="s">
        <v>12094</v>
      </c>
      <c r="M3081" s="5" t="s">
        <v>12095</v>
      </c>
      <c r="N3081" s="7" t="str">
        <f>HYPERLINK("C:\Users\alexa\YandexDisk\Книги\Художественная литература\Брусникин\Brusnikin_Bellona_264790.mobi","Brusnikin_Bellona_264790.mobi")</f>
        <v>Brusnikin_Bellona_264790.mobi</v>
      </c>
      <c r="O3081" s="5" t="s">
        <v>930</v>
      </c>
    </row>
    <row r="3082" spans="1:15" ht="220.8" x14ac:dyDescent="0.3">
      <c r="A3082" s="2">
        <v>3081</v>
      </c>
      <c r="B3082" s="3" t="s">
        <v>12096</v>
      </c>
      <c r="C3082" s="3" t="s">
        <v>12092</v>
      </c>
      <c r="D3082" s="3"/>
      <c r="E3082" s="3"/>
      <c r="F3082" s="3" t="s">
        <v>12093</v>
      </c>
      <c r="G3082" s="3" t="s">
        <v>12031</v>
      </c>
      <c r="H3082" s="3" t="s">
        <v>12092</v>
      </c>
      <c r="I3082" s="3" t="s">
        <v>6740</v>
      </c>
      <c r="J3082" s="3">
        <v>1.42</v>
      </c>
      <c r="K3082" s="3" t="s">
        <v>21</v>
      </c>
      <c r="L3082" s="3" t="s">
        <v>12097</v>
      </c>
      <c r="M3082" s="3" t="s">
        <v>12095</v>
      </c>
      <c r="N3082" s="6" t="str">
        <f>HYPERLINK("C:\Users\alexa\YandexDisk\Книги\Художественная литература\Брусникин\Brusnikin_Devyatnyiy_Spas_264978.mobi","Brusnikin_Devyatnyiy_Spas_264978.mobi")</f>
        <v>Brusnikin_Devyatnyiy_Spas_264978.mobi</v>
      </c>
      <c r="O3082" s="3" t="s">
        <v>12098</v>
      </c>
    </row>
    <row r="3083" spans="1:15" ht="207" x14ac:dyDescent="0.3">
      <c r="A3083" s="4">
        <v>3082</v>
      </c>
      <c r="B3083" s="5" t="s">
        <v>12099</v>
      </c>
      <c r="C3083" s="5" t="s">
        <v>12092</v>
      </c>
      <c r="D3083" s="5"/>
      <c r="E3083" s="5"/>
      <c r="F3083" s="5" t="s">
        <v>12093</v>
      </c>
      <c r="G3083" s="5" t="s">
        <v>12031</v>
      </c>
      <c r="H3083" s="5" t="s">
        <v>12092</v>
      </c>
      <c r="I3083" s="5" t="s">
        <v>6740</v>
      </c>
      <c r="J3083" s="5">
        <v>0.76</v>
      </c>
      <c r="K3083" s="5" t="s">
        <v>21</v>
      </c>
      <c r="L3083" s="5" t="s">
        <v>12100</v>
      </c>
      <c r="M3083" s="5" t="s">
        <v>12095</v>
      </c>
      <c r="N3083" s="7" t="str">
        <f>HYPERLINK("C:\Users\alexa\YandexDisk\Книги\Художественная литература\Брусникин\Brusnikin_Geroy_inogo_vremeni_188687.mobi","Brusnikin_Geroy_inogo_vremeni_188687.mobi")</f>
        <v>Brusnikin_Geroy_inogo_vremeni_188687.mobi</v>
      </c>
      <c r="O3083" s="5" t="s">
        <v>12101</v>
      </c>
    </row>
    <row r="3084" spans="1:15" ht="165.6" x14ac:dyDescent="0.3">
      <c r="A3084" s="2">
        <v>3083</v>
      </c>
      <c r="B3084" s="3" t="s">
        <v>12102</v>
      </c>
      <c r="C3084" s="3" t="s">
        <v>12103</v>
      </c>
      <c r="D3084" s="3"/>
      <c r="E3084" s="3"/>
      <c r="F3084" s="3" t="s">
        <v>12104</v>
      </c>
      <c r="G3084" s="3" t="s">
        <v>12031</v>
      </c>
      <c r="H3084" s="3" t="s">
        <v>12103</v>
      </c>
      <c r="I3084" s="3" t="s">
        <v>6740</v>
      </c>
      <c r="J3084" s="3">
        <v>2.25</v>
      </c>
      <c r="K3084" s="3" t="s">
        <v>21</v>
      </c>
      <c r="L3084" s="3" t="s">
        <v>12105</v>
      </c>
      <c r="M3084" s="3" t="s">
        <v>12106</v>
      </c>
      <c r="N3084" s="6" t="str">
        <f>HYPERLINK("C:\Users\alexa\YandexDisk\Книги\Художественная литература\Быков\Byikov_Grazhdanin_Poet__31_nomer_hudozhestvennoy_samodeyatelnosti_266642.mobi","Byikov_Grazhdanin_Poet__31_nomer_hudozhestvennoy_samodeyatelnosti_266642.mobi")</f>
        <v>Byikov_Grazhdanin_Poet__31_nomer_hudozhestvennoy_samodeyatelnosti_266642.mobi</v>
      </c>
      <c r="O3084" s="3" t="s">
        <v>12107</v>
      </c>
    </row>
    <row r="3085" spans="1:15" ht="41.4" x14ac:dyDescent="0.3">
      <c r="A3085" s="4">
        <v>3084</v>
      </c>
      <c r="B3085" s="5" t="s">
        <v>12108</v>
      </c>
      <c r="C3085" s="5" t="s">
        <v>12103</v>
      </c>
      <c r="D3085" s="5"/>
      <c r="E3085" s="5"/>
      <c r="F3085" s="5" t="s">
        <v>12104</v>
      </c>
      <c r="G3085" s="5" t="s">
        <v>12031</v>
      </c>
      <c r="H3085" s="5" t="s">
        <v>12103</v>
      </c>
      <c r="I3085" s="5" t="s">
        <v>6740</v>
      </c>
      <c r="J3085" s="5">
        <v>1.01</v>
      </c>
      <c r="K3085" s="5" t="s">
        <v>21</v>
      </c>
      <c r="L3085" s="5" t="s">
        <v>12109</v>
      </c>
      <c r="M3085" s="5" t="s">
        <v>12106</v>
      </c>
      <c r="N3085" s="7" t="str">
        <f>HYPERLINK("C:\Users\alexa\YandexDisk\Книги\Художественная литература\Быков\Byikov_Kak_Putin_stal_prezidentom_SShA_novyie_russkie_skazki_218347.mobi","Byikov_Kak_Putin_stal_prezidentom_SShA_novyie_russkie_skazki_218347.mobi")</f>
        <v>Byikov_Kak_Putin_stal_prezidentom_SShA_novyie_russkie_skazki_218347.mobi</v>
      </c>
      <c r="O3085" s="5" t="s">
        <v>930</v>
      </c>
    </row>
    <row r="3086" spans="1:15" ht="41.4" x14ac:dyDescent="0.3">
      <c r="A3086" s="2">
        <v>3085</v>
      </c>
      <c r="B3086" s="3" t="s">
        <v>12110</v>
      </c>
      <c r="C3086" s="3" t="s">
        <v>12103</v>
      </c>
      <c r="D3086" s="3"/>
      <c r="E3086" s="3"/>
      <c r="F3086" s="3" t="s">
        <v>12104</v>
      </c>
      <c r="G3086" s="3" t="s">
        <v>12031</v>
      </c>
      <c r="H3086" s="3" t="s">
        <v>12103</v>
      </c>
      <c r="I3086" s="3" t="s">
        <v>6740</v>
      </c>
      <c r="J3086" s="3">
        <v>0.01</v>
      </c>
      <c r="K3086" s="3" t="s">
        <v>21</v>
      </c>
      <c r="L3086" s="3" t="s">
        <v>12111</v>
      </c>
      <c r="M3086" s="3" t="s">
        <v>12106</v>
      </c>
      <c r="N3086" s="6" t="str">
        <f>HYPERLINK("C:\Users\alexa\YandexDisk\Книги\Художественная литература\Быков\Byikov_Putin_i_muzhik_265267.mobi","Byikov_Putin_i_muzhik_265267.mobi")</f>
        <v>Byikov_Putin_i_muzhik_265267.mobi</v>
      </c>
      <c r="O3086" s="3" t="s">
        <v>930</v>
      </c>
    </row>
    <row r="3087" spans="1:15" ht="179.4" x14ac:dyDescent="0.3">
      <c r="A3087" s="4">
        <v>3086</v>
      </c>
      <c r="B3087" s="5" t="s">
        <v>12112</v>
      </c>
      <c r="C3087" s="5" t="s">
        <v>12113</v>
      </c>
      <c r="D3087" s="5"/>
      <c r="E3087" s="5"/>
      <c r="F3087" s="5" t="s">
        <v>12114</v>
      </c>
      <c r="G3087" s="5" t="s">
        <v>12031</v>
      </c>
      <c r="H3087" s="5" t="s">
        <v>12115</v>
      </c>
      <c r="I3087" s="5" t="s">
        <v>280</v>
      </c>
      <c r="J3087" s="5">
        <v>0.71</v>
      </c>
      <c r="K3087" s="5" t="s">
        <v>21</v>
      </c>
      <c r="L3087" s="5" t="s">
        <v>12116</v>
      </c>
      <c r="M3087" s="5" t="s">
        <v>12117</v>
      </c>
      <c r="N3087" s="7" t="str">
        <f>HYPERLINK("C:\Users\alexa\YandexDisk\Книги\Художественная литература\ВонгОзеро\Vagner_Vongozero_2_Zhivye-lyudi.347479.fb2.epub","Vagner_Vongozero_2_Zhivye-lyudi.347479.fb2.epub")</f>
        <v>Vagner_Vongozero_2_Zhivye-lyudi.347479.fb2.epub</v>
      </c>
      <c r="O3087" s="5" t="s">
        <v>12118</v>
      </c>
    </row>
    <row r="3088" spans="1:15" ht="165.6" x14ac:dyDescent="0.3">
      <c r="A3088" s="2">
        <v>3087</v>
      </c>
      <c r="B3088" s="3" t="s">
        <v>12119</v>
      </c>
      <c r="C3088" s="3" t="s">
        <v>12120</v>
      </c>
      <c r="D3088" s="3"/>
      <c r="E3088" s="3"/>
      <c r="F3088" s="3" t="s">
        <v>12114</v>
      </c>
      <c r="G3088" s="3" t="s">
        <v>12031</v>
      </c>
      <c r="H3088" s="3" t="s">
        <v>12115</v>
      </c>
      <c r="I3088" s="3" t="s">
        <v>6740</v>
      </c>
      <c r="J3088" s="3">
        <v>1.94</v>
      </c>
      <c r="K3088" s="3" t="s">
        <v>21</v>
      </c>
      <c r="L3088" s="3" t="s">
        <v>12121</v>
      </c>
      <c r="M3088" s="3" t="s">
        <v>12117</v>
      </c>
      <c r="N3088" s="6" t="str">
        <f>HYPERLINK("C:\Users\alexa\YandexDisk\Книги\Художественная литература\ВонгОзеро\Vagner_Vongozero_2_Zhivye-lyudi.347479.fb2.mobi","Vagner_Vongozero_2_Zhivye-lyudi.347479.fb2.mobi")</f>
        <v>Vagner_Vongozero_2_Zhivye-lyudi.347479.fb2.mobi</v>
      </c>
      <c r="O3088" s="3" t="s">
        <v>12122</v>
      </c>
    </row>
    <row r="3089" spans="1:15" ht="193.2" x14ac:dyDescent="0.3">
      <c r="A3089" s="4">
        <v>3088</v>
      </c>
      <c r="B3089" s="5" t="s">
        <v>12123</v>
      </c>
      <c r="C3089" s="5" t="s">
        <v>12124</v>
      </c>
      <c r="D3089" s="5"/>
      <c r="E3089" s="5"/>
      <c r="F3089" s="5" t="s">
        <v>12125</v>
      </c>
      <c r="G3089" s="5" t="s">
        <v>12031</v>
      </c>
      <c r="H3089" s="5" t="s">
        <v>12126</v>
      </c>
      <c r="I3089" s="5" t="s">
        <v>280</v>
      </c>
      <c r="J3089" s="5">
        <v>1.1499999999999999</v>
      </c>
      <c r="K3089" s="5" t="s">
        <v>21</v>
      </c>
      <c r="L3089" s="5" t="s">
        <v>12127</v>
      </c>
      <c r="M3089" s="5" t="s">
        <v>12128</v>
      </c>
      <c r="N3089" s="7" t="str">
        <f>HYPERLINK("C:\Users\alexa\YandexDisk\Книги\Художественная литература\Гранин\Granin_Moy-leytenant.253730.fb2.epub","Granin_Moy-leytenant.253730.fb2.epub")</f>
        <v>Granin_Moy-leytenant.253730.fb2.epub</v>
      </c>
      <c r="O3089" s="5" t="s">
        <v>12129</v>
      </c>
    </row>
    <row r="3090" spans="1:15" ht="165.6" x14ac:dyDescent="0.3">
      <c r="A3090" s="2">
        <v>3089</v>
      </c>
      <c r="B3090" s="3" t="s">
        <v>12123</v>
      </c>
      <c r="C3090" s="3" t="s">
        <v>12126</v>
      </c>
      <c r="D3090" s="3"/>
      <c r="E3090" s="3"/>
      <c r="F3090" s="3" t="s">
        <v>12125</v>
      </c>
      <c r="G3090" s="3" t="s">
        <v>12031</v>
      </c>
      <c r="H3090" s="3" t="s">
        <v>12126</v>
      </c>
      <c r="I3090" s="3" t="s">
        <v>6740</v>
      </c>
      <c r="J3090" s="3">
        <v>2.7</v>
      </c>
      <c r="K3090" s="3" t="s">
        <v>21</v>
      </c>
      <c r="L3090" s="3" t="s">
        <v>12130</v>
      </c>
      <c r="M3090" s="3" t="s">
        <v>12128</v>
      </c>
      <c r="N3090" s="6" t="str">
        <f>HYPERLINK("C:\Users\alexa\YandexDisk\Книги\Художественная литература\Гранин\Granin_Moy-leytenant.253730.fb2.mobi","Granin_Moy-leytenant.253730.fb2.mobi")</f>
        <v>Granin_Moy-leytenant.253730.fb2.mobi</v>
      </c>
      <c r="O3090" s="3" t="s">
        <v>12131</v>
      </c>
    </row>
    <row r="3091" spans="1:15" ht="165.6" x14ac:dyDescent="0.3">
      <c r="A3091" s="4">
        <v>3090</v>
      </c>
      <c r="B3091" s="5" t="s">
        <v>12132</v>
      </c>
      <c r="C3091" s="5" t="s">
        <v>12124</v>
      </c>
      <c r="D3091" s="5"/>
      <c r="E3091" s="5"/>
      <c r="F3091" s="5" t="s">
        <v>12125</v>
      </c>
      <c r="G3091" s="5" t="s">
        <v>12031</v>
      </c>
      <c r="H3091" s="5" t="s">
        <v>12126</v>
      </c>
      <c r="I3091" s="5" t="s">
        <v>280</v>
      </c>
      <c r="J3091" s="5">
        <v>0.08</v>
      </c>
      <c r="K3091" s="5" t="s">
        <v>21</v>
      </c>
      <c r="L3091" s="5" t="s">
        <v>12133</v>
      </c>
      <c r="M3091" s="5" t="s">
        <v>12128</v>
      </c>
      <c r="N3091" s="7" t="str">
        <f>HYPERLINK("C:\Users\alexa\YandexDisk\Книги\Художественная литература\Гранин\Granin_Pevuchiy-tuman.358124.fb2.epub","Granin_Pevuchiy-tuman.358124.fb2.epub")</f>
        <v>Granin_Pevuchiy-tuman.358124.fb2.epub</v>
      </c>
      <c r="O3091" s="5" t="s">
        <v>12134</v>
      </c>
    </row>
    <row r="3092" spans="1:15" ht="55.2" x14ac:dyDescent="0.3">
      <c r="A3092" s="2">
        <v>3091</v>
      </c>
      <c r="B3092" s="3" t="s">
        <v>12135</v>
      </c>
      <c r="C3092" s="3" t="s">
        <v>12126</v>
      </c>
      <c r="D3092" s="3"/>
      <c r="E3092" s="3"/>
      <c r="F3092" s="3" t="s">
        <v>12125</v>
      </c>
      <c r="G3092" s="3" t="s">
        <v>12031</v>
      </c>
      <c r="H3092" s="3" t="s">
        <v>12126</v>
      </c>
      <c r="I3092" s="3" t="s">
        <v>6740</v>
      </c>
      <c r="J3092" s="3">
        <v>0.21</v>
      </c>
      <c r="K3092" s="3" t="s">
        <v>21</v>
      </c>
      <c r="L3092" s="3" t="s">
        <v>12136</v>
      </c>
      <c r="M3092" s="3" t="s">
        <v>12128</v>
      </c>
      <c r="N3092" s="6" t="str">
        <f>HYPERLINK("C:\Users\alexa\YandexDisk\Книги\Художественная литература\Гранин\Granin_Pevuchiy-tuman.358124.fb2.mobi","Granin_Pevuchiy-tuman.358124.fb2.mobi")</f>
        <v>Granin_Pevuchiy-tuman.358124.fb2.mobi</v>
      </c>
      <c r="O3092" s="3" t="s">
        <v>12137</v>
      </c>
    </row>
    <row r="3093" spans="1:15" ht="207" x14ac:dyDescent="0.3">
      <c r="A3093" s="4">
        <v>3092</v>
      </c>
      <c r="B3093" s="5" t="s">
        <v>12138</v>
      </c>
      <c r="C3093" s="5" t="s">
        <v>12139</v>
      </c>
      <c r="D3093" s="5"/>
      <c r="E3093" s="5"/>
      <c r="F3093" s="5" t="s">
        <v>12125</v>
      </c>
      <c r="G3093" s="5" t="s">
        <v>12031</v>
      </c>
      <c r="H3093" s="5" t="s">
        <v>12126</v>
      </c>
      <c r="I3093" s="5" t="s">
        <v>280</v>
      </c>
      <c r="J3093" s="5">
        <v>0.19</v>
      </c>
      <c r="K3093" s="5" t="s">
        <v>21</v>
      </c>
      <c r="L3093" s="5" t="s">
        <v>12140</v>
      </c>
      <c r="M3093" s="5" t="s">
        <v>12128</v>
      </c>
      <c r="N3093" s="7" t="str">
        <f>HYPERLINK("C:\Users\alexa\YandexDisk\Книги\Художественная литература\Гранин\Granin_Vse-bylo-ne-sovsem-tak.193232.fb2.epub","Granin_Vse-bylo-ne-sovsem-tak.193232.fb2.epub")</f>
        <v>Granin_Vse-bylo-ne-sovsem-tak.193232.fb2.epub</v>
      </c>
      <c r="O3093" s="5" t="s">
        <v>12141</v>
      </c>
    </row>
    <row r="3094" spans="1:15" ht="220.8" x14ac:dyDescent="0.3">
      <c r="A3094" s="2">
        <v>3093</v>
      </c>
      <c r="B3094" s="3" t="s">
        <v>12138</v>
      </c>
      <c r="C3094" s="3" t="s">
        <v>12126</v>
      </c>
      <c r="D3094" s="3"/>
      <c r="E3094" s="3"/>
      <c r="F3094" s="3" t="s">
        <v>12125</v>
      </c>
      <c r="G3094" s="3" t="s">
        <v>12031</v>
      </c>
      <c r="H3094" s="3" t="s">
        <v>12126</v>
      </c>
      <c r="I3094" s="3" t="s">
        <v>6740</v>
      </c>
      <c r="J3094" s="3">
        <v>0.64</v>
      </c>
      <c r="K3094" s="3" t="s">
        <v>21</v>
      </c>
      <c r="L3094" s="3" t="s">
        <v>12142</v>
      </c>
      <c r="M3094" s="3" t="s">
        <v>12128</v>
      </c>
      <c r="N3094" s="6" t="str">
        <f>HYPERLINK("C:\Users\alexa\YandexDisk\Книги\Художественная литература\Гранин\Granin_Vse-bylo-ne-sovsem-tak.193232.fb2.mobi","Granin_Vse-bylo-ne-sovsem-tak.193232.fb2.mobi")</f>
        <v>Granin_Vse-bylo-ne-sovsem-tak.193232.fb2.mobi</v>
      </c>
      <c r="O3094" s="3" t="s">
        <v>12143</v>
      </c>
    </row>
    <row r="3095" spans="1:15" ht="151.80000000000001" x14ac:dyDescent="0.3">
      <c r="A3095" s="4">
        <v>3094</v>
      </c>
      <c r="B3095" s="5" t="s">
        <v>12144</v>
      </c>
      <c r="C3095" s="5" t="s">
        <v>12145</v>
      </c>
      <c r="D3095" s="5"/>
      <c r="E3095" s="5"/>
      <c r="F3095" s="5" t="s">
        <v>12146</v>
      </c>
      <c r="G3095" s="5" t="s">
        <v>12031</v>
      </c>
      <c r="H3095" s="5" t="s">
        <v>12147</v>
      </c>
      <c r="I3095" s="5" t="s">
        <v>280</v>
      </c>
      <c r="J3095" s="5">
        <v>0.43</v>
      </c>
      <c r="K3095" s="5" t="s">
        <v>21</v>
      </c>
      <c r="L3095" s="5" t="s">
        <v>12148</v>
      </c>
      <c r="M3095" s="5" t="s">
        <v>12149</v>
      </c>
      <c r="N3095" s="7" t="str">
        <f>HYPERLINK("C:\Users\alexa\YandexDisk\Книги\Художественная литература\Детектив\Hansen_Cvet-boli-belyy.348806.fb2.epub","Hansen_Cvet-boli-belyy.348806.fb2.epub")</f>
        <v>Hansen_Cvet-boli-belyy.348806.fb2.epub</v>
      </c>
      <c r="O3095" s="5" t="s">
        <v>12150</v>
      </c>
    </row>
    <row r="3096" spans="1:15" ht="179.4" x14ac:dyDescent="0.3">
      <c r="A3096" s="2">
        <v>3095</v>
      </c>
      <c r="B3096" s="3" t="s">
        <v>12151</v>
      </c>
      <c r="C3096" s="3" t="s">
        <v>12152</v>
      </c>
      <c r="D3096" s="3"/>
      <c r="E3096" s="3"/>
      <c r="F3096" s="3" t="s">
        <v>12146</v>
      </c>
      <c r="G3096" s="3" t="s">
        <v>12031</v>
      </c>
      <c r="H3096" s="3" t="s">
        <v>12147</v>
      </c>
      <c r="I3096" s="3" t="s">
        <v>4473</v>
      </c>
      <c r="J3096" s="3">
        <v>2.1800000000000002</v>
      </c>
      <c r="K3096" s="3" t="s">
        <v>21</v>
      </c>
      <c r="L3096" s="3" t="s">
        <v>12153</v>
      </c>
      <c r="M3096" s="3" t="s">
        <v>12149</v>
      </c>
      <c r="N3096" s="6" t="str">
        <f>HYPERLINK("C:\Users\alexa\YandexDisk\Книги\Художественная литература\Детектив\Дэн_Браун_-_Точка_обмана.doc","Дэн_Браун_-_Точка_обмана.doc")</f>
        <v>Дэн_Браун_-_Точка_обмана.doc</v>
      </c>
      <c r="O3096" s="3" t="s">
        <v>12154</v>
      </c>
    </row>
    <row r="3097" spans="1:15" ht="151.80000000000001" x14ac:dyDescent="0.3">
      <c r="A3097" s="4">
        <v>3096</v>
      </c>
      <c r="B3097" s="5" t="s">
        <v>12155</v>
      </c>
      <c r="C3097" s="5" t="s">
        <v>12156</v>
      </c>
      <c r="D3097" s="5"/>
      <c r="E3097" s="5"/>
      <c r="F3097" s="5" t="s">
        <v>12146</v>
      </c>
      <c r="G3097" s="5" t="s">
        <v>12031</v>
      </c>
      <c r="H3097" s="5" t="s">
        <v>12147</v>
      </c>
      <c r="I3097" s="5" t="s">
        <v>4473</v>
      </c>
      <c r="J3097" s="5">
        <v>0.16</v>
      </c>
      <c r="K3097" s="5" t="s">
        <v>21</v>
      </c>
      <c r="L3097" s="5" t="s">
        <v>12157</v>
      </c>
      <c r="M3097" s="5" t="s">
        <v>12149</v>
      </c>
      <c r="N3097" s="7" t="str">
        <f>HYPERLINK("C:\Users\alexa\YandexDisk\Книги\Художественная литература\Детектив\Рэкс_Стаут_-_Поваренная_книга_Ниро_Вульфа.doc","Рэкс_Стаут_-_Поваренная_книга_Ниро_Вульфа.doc")</f>
        <v>Рэкс_Стаут_-_Поваренная_книга_Ниро_Вульфа.doc</v>
      </c>
      <c r="O3097" s="5" t="s">
        <v>12158</v>
      </c>
    </row>
    <row r="3098" spans="1:15" ht="41.4" x14ac:dyDescent="0.3">
      <c r="A3098" s="2">
        <v>3097</v>
      </c>
      <c r="B3098" s="3" t="s">
        <v>12159</v>
      </c>
      <c r="C3098" s="3" t="s">
        <v>12160</v>
      </c>
      <c r="D3098" s="3"/>
      <c r="E3098" s="3"/>
      <c r="F3098" s="3" t="s">
        <v>12161</v>
      </c>
      <c r="G3098" s="3" t="s">
        <v>12031</v>
      </c>
      <c r="H3098" s="3" t="s">
        <v>12160</v>
      </c>
      <c r="I3098" s="3" t="s">
        <v>6740</v>
      </c>
      <c r="J3098" s="3">
        <v>3.84</v>
      </c>
      <c r="K3098" s="3" t="s">
        <v>21</v>
      </c>
      <c r="L3098" s="3" t="s">
        <v>12162</v>
      </c>
      <c r="M3098" s="3" t="s">
        <v>12163</v>
      </c>
      <c r="N3098" s="6" t="str">
        <f>HYPERLINK("C:\Users\alexa\YandexDisk\Книги\Художественная литература\Добрынин\Dobryinin_Orden_kurtuaznyih_maneristov_Sbornik__113493.mobi","Dobryinin_Orden_kurtuaznyih_maneristov_Sbornik__113493.mobi")</f>
        <v>Dobryinin_Orden_kurtuaznyih_maneristov_Sbornik__113493.mobi</v>
      </c>
      <c r="O3098" s="3" t="s">
        <v>930</v>
      </c>
    </row>
    <row r="3099" spans="1:15" ht="193.2" x14ac:dyDescent="0.3">
      <c r="A3099" s="4">
        <v>3098</v>
      </c>
      <c r="B3099" s="5" t="s">
        <v>12164</v>
      </c>
      <c r="C3099" s="5" t="s">
        <v>12165</v>
      </c>
      <c r="D3099" s="5" t="s">
        <v>12166</v>
      </c>
      <c r="E3099" s="5"/>
      <c r="F3099" s="5" t="s">
        <v>12167</v>
      </c>
      <c r="G3099" s="5" t="s">
        <v>12031</v>
      </c>
      <c r="H3099" s="5" t="s">
        <v>12168</v>
      </c>
      <c r="I3099" s="5" t="s">
        <v>280</v>
      </c>
      <c r="J3099" s="5">
        <v>1.01</v>
      </c>
      <c r="K3099" s="5" t="s">
        <v>21</v>
      </c>
      <c r="L3099" s="5" t="s">
        <v>12169</v>
      </c>
      <c r="M3099" s="5" t="s">
        <v>12170</v>
      </c>
      <c r="N3099" s="7" t="str">
        <f>HYPERLINK("C:\Users\alexa\YandexDisk\Книги\Художественная литература\Достоевский\Dostoevskiy_F-M-Dostoevskiy-Sobranie-sochineniy-v-pyatnadcati-tomah_6_Tom-6-Idiot.250230.fb2.epub","Dostoevskiy_F-M-Dostoevskiy-Sobranie-sochineniy-v-pyatnadcati-tomah_6_Tom-6-Idiot.250230.fb2.epub")</f>
        <v>Dostoevskiy_F-M-Dostoevskiy-Sobranie-sochineniy-v-pyatnadcati-tomah_6_Tom-6-Idiot.250230.fb2.epub</v>
      </c>
      <c r="O3099" s="5" t="s">
        <v>12171</v>
      </c>
    </row>
    <row r="3100" spans="1:15" ht="165.6" x14ac:dyDescent="0.3">
      <c r="A3100" s="2">
        <v>3099</v>
      </c>
      <c r="B3100" s="3" t="s">
        <v>12172</v>
      </c>
      <c r="C3100" s="3" t="s">
        <v>12173</v>
      </c>
      <c r="D3100" s="3"/>
      <c r="E3100" s="3"/>
      <c r="F3100" s="3" t="s">
        <v>12167</v>
      </c>
      <c r="G3100" s="3" t="s">
        <v>12031</v>
      </c>
      <c r="H3100" s="3" t="s">
        <v>12168</v>
      </c>
      <c r="I3100" s="3" t="s">
        <v>6740</v>
      </c>
      <c r="J3100" s="3">
        <v>4.0199999999999996</v>
      </c>
      <c r="K3100" s="3" t="s">
        <v>21</v>
      </c>
      <c r="L3100" s="3" t="s">
        <v>12174</v>
      </c>
      <c r="M3100" s="3" t="s">
        <v>12170</v>
      </c>
      <c r="N3100" s="6" t="str">
        <f>HYPERLINK("C:\Users\alexa\YandexDisk\Книги\Художественная литература\Достоевский\Dostoevskiy_F-M-Dostoevskiy-Sobranie-sochineniy-v-pyatnadcati-tomah_6_Tom-6-Idiot.250230.fb2.mobi","Dostoevskiy_F-M-Dostoevskiy-Sobranie-sochineniy-v-pyatnadcati-tomah_6_Tom-6-Idiot.250230.fb2.mobi")</f>
        <v>Dostoevskiy_F-M-Dostoevskiy-Sobranie-sochineniy-v-pyatnadcati-tomah_6_Tom-6-Idiot.250230.fb2.mobi</v>
      </c>
      <c r="O3100" s="3" t="s">
        <v>12175</v>
      </c>
    </row>
    <row r="3101" spans="1:15" ht="138" x14ac:dyDescent="0.3">
      <c r="A3101" s="4">
        <v>3100</v>
      </c>
      <c r="B3101" s="5" t="s">
        <v>12176</v>
      </c>
      <c r="C3101" s="5" t="s">
        <v>12165</v>
      </c>
      <c r="D3101" s="5"/>
      <c r="E3101" s="5"/>
      <c r="F3101" s="5" t="s">
        <v>12167</v>
      </c>
      <c r="G3101" s="5" t="s">
        <v>12031</v>
      </c>
      <c r="H3101" s="5" t="s">
        <v>12168</v>
      </c>
      <c r="I3101" s="5" t="s">
        <v>280</v>
      </c>
      <c r="J3101" s="5">
        <v>1.61</v>
      </c>
      <c r="K3101" s="5" t="s">
        <v>21</v>
      </c>
      <c r="L3101" s="5" t="s">
        <v>12177</v>
      </c>
      <c r="M3101" s="5" t="s">
        <v>12170</v>
      </c>
      <c r="N3101" s="7" t="str">
        <f>HYPERLINK("C:\Users\alexa\YandexDisk\Книги\Художественная литература\Достоевский\Dostoevskiy_F-M-Dostoevskiy-Sobranie-sochineniy-v-pyatnadcati-tomah_7_Tom-7-Besy.250231.fb2.epub","Dostoevskiy_F-M-Dostoevskiy-Sobranie-sochineniy-v-pyatnadcati-tomah_7_Tom-7-Besy.250231.fb2.epub")</f>
        <v>Dostoevskiy_F-M-Dostoevskiy-Sobranie-sochineniy-v-pyatnadcati-tomah_7_Tom-7-Besy.250231.fb2.epub</v>
      </c>
      <c r="O3101" s="5" t="s">
        <v>12178</v>
      </c>
    </row>
    <row r="3102" spans="1:15" ht="69" x14ac:dyDescent="0.3">
      <c r="A3102" s="2">
        <v>3101</v>
      </c>
      <c r="B3102" s="3" t="s">
        <v>12179</v>
      </c>
      <c r="C3102" s="3" t="s">
        <v>12180</v>
      </c>
      <c r="D3102" s="3"/>
      <c r="E3102" s="3"/>
      <c r="F3102" s="3" t="s">
        <v>12167</v>
      </c>
      <c r="G3102" s="3" t="s">
        <v>12031</v>
      </c>
      <c r="H3102" s="3" t="s">
        <v>12168</v>
      </c>
      <c r="I3102" s="3" t="s">
        <v>6740</v>
      </c>
      <c r="J3102" s="3">
        <v>5.83</v>
      </c>
      <c r="K3102" s="3" t="s">
        <v>21</v>
      </c>
      <c r="L3102" s="3" t="s">
        <v>12181</v>
      </c>
      <c r="M3102" s="3" t="s">
        <v>12170</v>
      </c>
      <c r="N3102" s="6" t="str">
        <f>HYPERLINK("C:\Users\alexa\YandexDisk\Книги\Художественная литература\Достоевский\Dostoevskiy_F-M-Dostoevskiy-Sobranie-sochineniy-v-pyatnadcati-tomah_7_Tom-7-Besy.250231.fb2.mobi","Dostoevskiy_F-M-Dostoevskiy-Sobranie-sochineniy-v-pyatnadcati-tomah_7_Tom-7-Besy.250231.fb2.mobi")</f>
        <v>Dostoevskiy_F-M-Dostoevskiy-Sobranie-sochineniy-v-pyatnadcati-tomah_7_Tom-7-Besy.250231.fb2.mobi</v>
      </c>
      <c r="O3102" s="3" t="s">
        <v>12182</v>
      </c>
    </row>
    <row r="3103" spans="1:15" ht="179.4" x14ac:dyDescent="0.3">
      <c r="A3103" s="4">
        <v>3102</v>
      </c>
      <c r="B3103" s="5" t="s">
        <v>12183</v>
      </c>
      <c r="C3103" s="5" t="s">
        <v>12184</v>
      </c>
      <c r="D3103" s="5"/>
      <c r="E3103" s="5"/>
      <c r="F3103" s="5" t="s">
        <v>12185</v>
      </c>
      <c r="G3103" s="5" t="s">
        <v>12031</v>
      </c>
      <c r="H3103" s="5" t="s">
        <v>12186</v>
      </c>
      <c r="I3103" s="5" t="s">
        <v>6740</v>
      </c>
      <c r="J3103" s="5">
        <v>2.06</v>
      </c>
      <c r="K3103" s="5" t="s">
        <v>21</v>
      </c>
      <c r="L3103" s="5" t="s">
        <v>12187</v>
      </c>
      <c r="M3103" s="5" t="s">
        <v>12188</v>
      </c>
      <c r="N3103" s="7" t="str">
        <f>HYPERLINK("C:\Users\alexa\YandexDisk\Книги\Художественная литература\Классика\Tolstoy_Voyna-i-mir_1_Voyna-i-mir-Tom-1.175105.fb2.mobi","Tolstoy_Voyna-i-mir_1_Voyna-i-mir-Tom-1.175105.fb2.mobi")</f>
        <v>Tolstoy_Voyna-i-mir_1_Voyna-i-mir-Tom-1.175105.fb2.mobi</v>
      </c>
      <c r="O3103" s="5" t="s">
        <v>12189</v>
      </c>
    </row>
    <row r="3104" spans="1:15" ht="41.4" x14ac:dyDescent="0.3">
      <c r="A3104" s="2">
        <v>3103</v>
      </c>
      <c r="B3104" s="3" t="s">
        <v>12190</v>
      </c>
      <c r="C3104" s="3" t="s">
        <v>12191</v>
      </c>
      <c r="D3104" s="3"/>
      <c r="E3104" s="3"/>
      <c r="F3104" s="3" t="s">
        <v>12185</v>
      </c>
      <c r="G3104" s="3" t="s">
        <v>12031</v>
      </c>
      <c r="H3104" s="3" t="s">
        <v>12186</v>
      </c>
      <c r="I3104" s="3" t="s">
        <v>4473</v>
      </c>
      <c r="J3104" s="3">
        <v>1.45</v>
      </c>
      <c r="K3104" s="3" t="s">
        <v>21</v>
      </c>
      <c r="L3104" s="3" t="s">
        <v>12192</v>
      </c>
      <c r="M3104" s="3" t="s">
        <v>12188</v>
      </c>
      <c r="N3104" s="6" t="str">
        <f>HYPERLINK("C:\Users\alexa\YandexDisk\Книги\Художественная литература\Классика\Джон Стейнбек_-_Заблудившийся_автобус.doc","Джон Стейнбек_-_Заблудившийся_автобус.doc")</f>
        <v>Джон Стейнбек_-_Заблудившийся_автобус.doc</v>
      </c>
      <c r="O3104" s="3" t="s">
        <v>7365</v>
      </c>
    </row>
    <row r="3105" spans="1:15" ht="151.80000000000001" x14ac:dyDescent="0.3">
      <c r="A3105" s="4">
        <v>3104</v>
      </c>
      <c r="B3105" s="5" t="s">
        <v>12193</v>
      </c>
      <c r="C3105" s="5" t="s">
        <v>12194</v>
      </c>
      <c r="D3105" s="5"/>
      <c r="E3105" s="5"/>
      <c r="F3105" s="5" t="s">
        <v>12185</v>
      </c>
      <c r="G3105" s="5" t="s">
        <v>12031</v>
      </c>
      <c r="H3105" s="5" t="s">
        <v>12186</v>
      </c>
      <c r="I3105" s="5" t="s">
        <v>4473</v>
      </c>
      <c r="J3105" s="5">
        <v>1.31</v>
      </c>
      <c r="K3105" s="5" t="s">
        <v>21</v>
      </c>
      <c r="L3105" s="5" t="s">
        <v>12195</v>
      </c>
      <c r="M3105" s="5" t="s">
        <v>12188</v>
      </c>
      <c r="N3105" s="7" t="str">
        <f>HYPERLINK("C:\Users\alexa\YandexDisk\Книги\Художественная литература\Классика\Зигмунд_Фрэйд Введение в психоанализ. Лекции 1-35.doc","Зигмунд_Фрэйд Введение в психоанализ. Лекции 1-35.doc")</f>
        <v>Зигмунд_Фрэйд Введение в психоанализ. Лекции 1-35.doc</v>
      </c>
      <c r="O3105" s="5" t="s">
        <v>12196</v>
      </c>
    </row>
    <row r="3106" spans="1:15" ht="41.4" x14ac:dyDescent="0.3">
      <c r="A3106" s="2">
        <v>3105</v>
      </c>
      <c r="B3106" s="3" t="s">
        <v>12197</v>
      </c>
      <c r="C3106" s="3" t="s">
        <v>12198</v>
      </c>
      <c r="D3106" s="3"/>
      <c r="E3106" s="3"/>
      <c r="F3106" s="3" t="s">
        <v>12185</v>
      </c>
      <c r="G3106" s="3" t="s">
        <v>12031</v>
      </c>
      <c r="H3106" s="3" t="s">
        <v>12186</v>
      </c>
      <c r="I3106" s="3" t="s">
        <v>3154</v>
      </c>
      <c r="J3106" s="3">
        <v>2.59</v>
      </c>
      <c r="K3106" s="3" t="s">
        <v>21</v>
      </c>
      <c r="L3106" s="3" t="s">
        <v>12199</v>
      </c>
      <c r="M3106" s="3" t="s">
        <v>12188</v>
      </c>
      <c r="N3106" s="6" t="str">
        <f>HYPERLINK("C:\Users\alexa\YandexDisk\Книги\Художественная литература\Классика\Михаил_Булгаков_-_Мастер и Маргарита.rtf","Михаил_Булгаков_-_Мастер и Маргарита.rtf")</f>
        <v>Михаил_Булгаков_-_Мастер и Маргарита.rtf</v>
      </c>
      <c r="O3106" s="3" t="s">
        <v>930</v>
      </c>
    </row>
    <row r="3107" spans="1:15" ht="41.4" x14ac:dyDescent="0.3">
      <c r="A3107" s="4">
        <v>3106</v>
      </c>
      <c r="B3107" s="5" t="s">
        <v>12200</v>
      </c>
      <c r="C3107" s="5" t="s">
        <v>12201</v>
      </c>
      <c r="D3107" s="5"/>
      <c r="E3107" s="5"/>
      <c r="F3107" s="5" t="s">
        <v>12185</v>
      </c>
      <c r="G3107" s="5" t="s">
        <v>12031</v>
      </c>
      <c r="H3107" s="5" t="s">
        <v>12186</v>
      </c>
      <c r="I3107" s="5" t="s">
        <v>3154</v>
      </c>
      <c r="J3107" s="5">
        <v>0.25</v>
      </c>
      <c r="K3107" s="5" t="s">
        <v>21</v>
      </c>
      <c r="L3107" s="5" t="s">
        <v>12202</v>
      </c>
      <c r="M3107" s="5" t="s">
        <v>12188</v>
      </c>
      <c r="N3107" s="7" t="str">
        <f>HYPERLINK("C:\Users\alexa\YandexDisk\Книги\Художественная литература\Классика\Ричард_Бах_-_Чайка по имени Джонатан Ливингстон.rtf","Ричард_Бах_-_Чайка по имени Джонатан Ливингстон.rtf")</f>
        <v>Ричард_Бах_-_Чайка по имени Джонатан Ливингстон.rtf</v>
      </c>
      <c r="O3107" s="5" t="s">
        <v>930</v>
      </c>
    </row>
    <row r="3108" spans="1:15" ht="179.4" x14ac:dyDescent="0.3">
      <c r="A3108" s="2">
        <v>3107</v>
      </c>
      <c r="B3108" s="3" t="s">
        <v>12203</v>
      </c>
      <c r="C3108" s="3" t="s">
        <v>12204</v>
      </c>
      <c r="D3108" s="3"/>
      <c r="E3108" s="3"/>
      <c r="F3108" s="3" t="s">
        <v>12185</v>
      </c>
      <c r="G3108" s="3" t="s">
        <v>12031</v>
      </c>
      <c r="H3108" s="3" t="s">
        <v>12186</v>
      </c>
      <c r="I3108" s="3" t="s">
        <v>4473</v>
      </c>
      <c r="J3108" s="3">
        <v>2.4300000000000002</v>
      </c>
      <c r="K3108" s="3" t="s">
        <v>21</v>
      </c>
      <c r="L3108" s="3" t="s">
        <v>12205</v>
      </c>
      <c r="M3108" s="3" t="s">
        <v>12188</v>
      </c>
      <c r="N3108" s="6" t="str">
        <f>HYPERLINK("C:\Users\alexa\YandexDisk\Книги\Художественная литература\Классика\Уильям Фолкнер_-_Город.doc","Уильям Фолкнер_-_Город.doc")</f>
        <v>Уильям Фолкнер_-_Город.doc</v>
      </c>
      <c r="O3108" s="3" t="s">
        <v>12206</v>
      </c>
    </row>
    <row r="3109" spans="1:15" ht="55.2" x14ac:dyDescent="0.3">
      <c r="A3109" s="4">
        <v>3108</v>
      </c>
      <c r="B3109" s="5" t="s">
        <v>12207</v>
      </c>
      <c r="C3109" s="5"/>
      <c r="D3109" s="5"/>
      <c r="E3109" s="5"/>
      <c r="F3109" s="5" t="s">
        <v>12208</v>
      </c>
      <c r="G3109" s="5" t="s">
        <v>12031</v>
      </c>
      <c r="H3109" s="5" t="s">
        <v>12209</v>
      </c>
      <c r="I3109" s="5" t="s">
        <v>4473</v>
      </c>
      <c r="J3109" s="5">
        <v>0.05</v>
      </c>
      <c r="K3109" s="5" t="s">
        <v>21</v>
      </c>
      <c r="L3109" s="5" t="s">
        <v>12207</v>
      </c>
      <c r="M3109" s="5" t="s">
        <v>12210</v>
      </c>
      <c r="N3109" s="7" t="str">
        <f>HYPERLINK("C:\Users\alexa\YandexDisk\Книги\Художественная литература\Книги на французском\Blagues_M.doc","Blagues_M.doc")</f>
        <v>Blagues_M.doc</v>
      </c>
      <c r="O3109" s="5" t="s">
        <v>930</v>
      </c>
    </row>
    <row r="3110" spans="1:15" ht="55.2" x14ac:dyDescent="0.3">
      <c r="A3110" s="2">
        <v>3109</v>
      </c>
      <c r="B3110" s="3" t="s">
        <v>12211</v>
      </c>
      <c r="C3110" s="3"/>
      <c r="D3110" s="3"/>
      <c r="E3110" s="3"/>
      <c r="F3110" s="3" t="s">
        <v>12208</v>
      </c>
      <c r="G3110" s="3" t="s">
        <v>12031</v>
      </c>
      <c r="H3110" s="3" t="s">
        <v>12209</v>
      </c>
      <c r="I3110" s="3" t="s">
        <v>4473</v>
      </c>
      <c r="J3110" s="3">
        <v>0.48</v>
      </c>
      <c r="K3110" s="3" t="s">
        <v>21</v>
      </c>
      <c r="L3110" s="3" t="s">
        <v>12212</v>
      </c>
      <c r="M3110" s="3" t="s">
        <v>12210</v>
      </c>
      <c r="N3110" s="6" t="str">
        <f>HYPERLINK("C:\Users\alexa\YandexDisk\Книги\Художественная литература\Книги на французском\Contes simples_m.doc","Contes simples_m.doc")</f>
        <v>Contes simples_m.doc</v>
      </c>
      <c r="O3110" s="3" t="s">
        <v>930</v>
      </c>
    </row>
    <row r="3111" spans="1:15" ht="179.4" x14ac:dyDescent="0.3">
      <c r="A3111" s="4">
        <v>3110</v>
      </c>
      <c r="B3111" s="5" t="s">
        <v>12213</v>
      </c>
      <c r="C3111" s="5" t="s">
        <v>12214</v>
      </c>
      <c r="D3111" s="5"/>
      <c r="E3111" s="5"/>
      <c r="F3111" s="5" t="s">
        <v>12208</v>
      </c>
      <c r="G3111" s="5" t="s">
        <v>12031</v>
      </c>
      <c r="H3111" s="5" t="s">
        <v>12209</v>
      </c>
      <c r="I3111" s="5" t="s">
        <v>4473</v>
      </c>
      <c r="J3111" s="5">
        <v>1.88</v>
      </c>
      <c r="K3111" s="5" t="s">
        <v>21</v>
      </c>
      <c r="L3111" s="5" t="s">
        <v>12215</v>
      </c>
      <c r="M3111" s="5" t="s">
        <v>12210</v>
      </c>
      <c r="N3111" s="7" t="str">
        <f>HYPERLINK("C:\Users\alexa\YandexDisk\Книги\Художественная литература\Книги на французском\Le_Petit_Prince_m.doc","Le_Petit_Prince_m.doc")</f>
        <v>Le_Petit_Prince_m.doc</v>
      </c>
      <c r="O3111" s="5" t="s">
        <v>12216</v>
      </c>
    </row>
    <row r="3112" spans="1:15" ht="96.6" x14ac:dyDescent="0.3">
      <c r="A3112" s="2">
        <v>3111</v>
      </c>
      <c r="B3112" s="3" t="s">
        <v>12217</v>
      </c>
      <c r="C3112" s="3"/>
      <c r="D3112" s="3"/>
      <c r="E3112" s="3"/>
      <c r="F3112" s="3" t="s">
        <v>12208</v>
      </c>
      <c r="G3112" s="3" t="s">
        <v>12031</v>
      </c>
      <c r="H3112" s="3" t="s">
        <v>12209</v>
      </c>
      <c r="I3112" s="3" t="s">
        <v>20</v>
      </c>
      <c r="J3112" s="3">
        <v>5.59</v>
      </c>
      <c r="K3112" s="3" t="s">
        <v>21</v>
      </c>
      <c r="L3112" s="3" t="s">
        <v>12218</v>
      </c>
      <c r="M3112" s="3" t="s">
        <v>12210</v>
      </c>
      <c r="N3112" s="6" t="str">
        <f>HYPERLINK("C:\Users\alexa\YandexDisk\Книги\Художественная литература\Книги на французском\Mauger_Intensivny_kurs_frantsuzskogo_yazyka.pdf","Mauger_Intensivny_kurs_frantsuzskogo_yazyka.pdf")</f>
        <v>Mauger_Intensivny_kurs_frantsuzskogo_yazyka.pdf</v>
      </c>
      <c r="O3112" s="3" t="s">
        <v>12219</v>
      </c>
    </row>
    <row r="3113" spans="1:15" ht="55.2" x14ac:dyDescent="0.3">
      <c r="A3113" s="4">
        <v>3112</v>
      </c>
      <c r="B3113" s="5" t="s">
        <v>12220</v>
      </c>
      <c r="C3113" s="5" t="s">
        <v>12221</v>
      </c>
      <c r="D3113" s="5"/>
      <c r="E3113" s="5"/>
      <c r="F3113" s="5" t="s">
        <v>12208</v>
      </c>
      <c r="G3113" s="5" t="s">
        <v>12031</v>
      </c>
      <c r="H3113" s="5" t="s">
        <v>12209</v>
      </c>
      <c r="I3113" s="5" t="s">
        <v>4473</v>
      </c>
      <c r="J3113" s="5">
        <v>1.29</v>
      </c>
      <c r="K3113" s="5" t="s">
        <v>21</v>
      </c>
      <c r="L3113" s="5" t="s">
        <v>12222</v>
      </c>
      <c r="M3113" s="5" t="s">
        <v>12210</v>
      </c>
      <c r="N3113" s="7" t="str">
        <f>HYPERLINK("C:\Users\alexa\YandexDisk\Книги\Художественная литература\Книги на французском\Perrault_Contes_M.doc","Perrault_Contes_M.doc")</f>
        <v>Perrault_Contes_M.doc</v>
      </c>
      <c r="O3113" s="5" t="s">
        <v>930</v>
      </c>
    </row>
    <row r="3114" spans="1:15" ht="55.2" x14ac:dyDescent="0.3">
      <c r="A3114" s="2">
        <v>3113</v>
      </c>
      <c r="B3114" s="3" t="s">
        <v>12223</v>
      </c>
      <c r="C3114" s="3" t="s">
        <v>12224</v>
      </c>
      <c r="D3114" s="3"/>
      <c r="E3114" s="3"/>
      <c r="F3114" s="3" t="s">
        <v>12208</v>
      </c>
      <c r="G3114" s="3" t="s">
        <v>12031</v>
      </c>
      <c r="H3114" s="3" t="s">
        <v>12209</v>
      </c>
      <c r="I3114" s="3" t="s">
        <v>4473</v>
      </c>
      <c r="J3114" s="3">
        <v>2.63</v>
      </c>
      <c r="K3114" s="3" t="s">
        <v>21</v>
      </c>
      <c r="L3114" s="3" t="s">
        <v>12225</v>
      </c>
      <c r="M3114" s="3" t="s">
        <v>12210</v>
      </c>
      <c r="N3114" s="6" t="str">
        <f>HYPERLINK("C:\Users\alexa\YandexDisk\Книги\Художественная литература\Книги на французском\Sagan_Bonjour tristesse_M.doc","Sagan_Bonjour tristesse_M.doc")</f>
        <v>Sagan_Bonjour tristesse_M.doc</v>
      </c>
      <c r="O3114" s="3" t="s">
        <v>12226</v>
      </c>
    </row>
    <row r="3115" spans="1:15" ht="55.2" x14ac:dyDescent="0.3">
      <c r="A3115" s="4">
        <v>3114</v>
      </c>
      <c r="B3115" s="5" t="s">
        <v>12227</v>
      </c>
      <c r="C3115" s="5" t="s">
        <v>12228</v>
      </c>
      <c r="D3115" s="5"/>
      <c r="E3115" s="5"/>
      <c r="F3115" s="5" t="s">
        <v>12208</v>
      </c>
      <c r="G3115" s="5" t="s">
        <v>12031</v>
      </c>
      <c r="H3115" s="5" t="s">
        <v>12209</v>
      </c>
      <c r="I3115" s="5" t="s">
        <v>4473</v>
      </c>
      <c r="J3115" s="5">
        <v>0.14000000000000001</v>
      </c>
      <c r="K3115" s="5" t="s">
        <v>21</v>
      </c>
      <c r="L3115" s="5" t="s">
        <v>12229</v>
      </c>
      <c r="M3115" s="5" t="s">
        <v>12210</v>
      </c>
      <c r="N3115" s="7" t="str">
        <f>HYPERLINK("C:\Users\alexa\YandexDisk\Книги\Художественная литература\Книги на французском\Simenon_La_jeune_morte_M.doc","Simenon_La_jeune_morte_M.doc")</f>
        <v>Simenon_La_jeune_morte_M.doc</v>
      </c>
      <c r="O3115" s="5" t="s">
        <v>930</v>
      </c>
    </row>
    <row r="3116" spans="1:15" ht="55.2" x14ac:dyDescent="0.3">
      <c r="A3116" s="2">
        <v>3115</v>
      </c>
      <c r="B3116" s="3" t="s">
        <v>12230</v>
      </c>
      <c r="C3116" s="3" t="s">
        <v>12231</v>
      </c>
      <c r="D3116" s="3"/>
      <c r="E3116" s="3"/>
      <c r="F3116" s="3" t="s">
        <v>12232</v>
      </c>
      <c r="G3116" s="3" t="s">
        <v>12031</v>
      </c>
      <c r="H3116" s="3" t="s">
        <v>12233</v>
      </c>
      <c r="I3116" s="3" t="s">
        <v>6740</v>
      </c>
      <c r="J3116" s="3">
        <v>0.79</v>
      </c>
      <c r="K3116" s="3" t="s">
        <v>21</v>
      </c>
      <c r="L3116" s="3" t="s">
        <v>12234</v>
      </c>
      <c r="M3116" s="3" t="s">
        <v>12235</v>
      </c>
      <c r="N3116" s="6" t="str">
        <f>HYPERLINK("C:\Users\alexa\YandexDisk\Книги\Художественная литература\Современная проза\Fal'shivyie zierkala - Sierghiei Luk'ianienko.mobi","Fal'shivyie zierkala - Sierghiei Luk'ianienko.mobi")</f>
        <v>Fal'shivyie zierkala - Sierghiei Luk'ianienko.mobi</v>
      </c>
      <c r="O3116" s="3" t="s">
        <v>930</v>
      </c>
    </row>
    <row r="3117" spans="1:15" ht="207" x14ac:dyDescent="0.3">
      <c r="A3117" s="4">
        <v>3116</v>
      </c>
      <c r="B3117" s="5" t="s">
        <v>12236</v>
      </c>
      <c r="C3117" s="5" t="s">
        <v>12237</v>
      </c>
      <c r="D3117" s="5"/>
      <c r="E3117" s="5"/>
      <c r="F3117" s="5" t="s">
        <v>12232</v>
      </c>
      <c r="G3117" s="5" t="s">
        <v>12031</v>
      </c>
      <c r="H3117" s="5" t="s">
        <v>12233</v>
      </c>
      <c r="I3117" s="5" t="s">
        <v>6740</v>
      </c>
      <c r="J3117" s="5">
        <v>0.62</v>
      </c>
      <c r="K3117" s="5" t="s">
        <v>21</v>
      </c>
      <c r="L3117" s="5" t="s">
        <v>12238</v>
      </c>
      <c r="M3117" s="5" t="s">
        <v>12235</v>
      </c>
      <c r="N3117" s="7" t="str">
        <f>HYPERLINK("C:\Users\alexa\YandexDisk\Книги\Художественная литература\Современная проза\Napolieon - Edvard Radzinskii.mobi","Napolieon - Edvard Radzinskii.mobi")</f>
        <v>Napolieon - Edvard Radzinskii.mobi</v>
      </c>
      <c r="O3117" s="5" t="s">
        <v>12239</v>
      </c>
    </row>
    <row r="3118" spans="1:15" ht="165.6" x14ac:dyDescent="0.3">
      <c r="A3118" s="2">
        <v>3117</v>
      </c>
      <c r="B3118" s="3" t="s">
        <v>12240</v>
      </c>
      <c r="C3118" s="3" t="s">
        <v>12241</v>
      </c>
      <c r="D3118" s="3"/>
      <c r="E3118" s="3"/>
      <c r="F3118" s="3" t="s">
        <v>12232</v>
      </c>
      <c r="G3118" s="3" t="s">
        <v>12031</v>
      </c>
      <c r="H3118" s="3" t="s">
        <v>12233</v>
      </c>
      <c r="I3118" s="3" t="s">
        <v>280</v>
      </c>
      <c r="J3118" s="3">
        <v>0.06</v>
      </c>
      <c r="K3118" s="3" t="s">
        <v>21</v>
      </c>
      <c r="L3118" s="3" t="s">
        <v>12242</v>
      </c>
      <c r="M3118" s="3" t="s">
        <v>12235</v>
      </c>
      <c r="N3118" s="6" t="str">
        <f>HYPERLINK("C:\Users\alexa\YandexDisk\Книги\Художественная литература\Современная проза\Quick Start Guide - John Schember.epub","Quick Start Guide - John Schember.epub")</f>
        <v>Quick Start Guide - John Schember.epub</v>
      </c>
      <c r="O3118" s="3" t="s">
        <v>12243</v>
      </c>
    </row>
    <row r="3119" spans="1:15" ht="207" x14ac:dyDescent="0.3">
      <c r="A3119" s="4">
        <v>3118</v>
      </c>
      <c r="B3119" s="5" t="s">
        <v>12244</v>
      </c>
      <c r="C3119" s="5" t="s">
        <v>12245</v>
      </c>
      <c r="D3119" s="5" t="s">
        <v>476</v>
      </c>
      <c r="E3119" s="5" t="s">
        <v>1023</v>
      </c>
      <c r="F3119" s="5" t="s">
        <v>12232</v>
      </c>
      <c r="G3119" s="5" t="s">
        <v>12031</v>
      </c>
      <c r="H3119" s="5" t="s">
        <v>12233</v>
      </c>
      <c r="I3119" s="5" t="s">
        <v>20</v>
      </c>
      <c r="J3119" s="5">
        <v>1.89</v>
      </c>
      <c r="K3119" s="5" t="s">
        <v>21</v>
      </c>
      <c r="L3119" s="5" t="s">
        <v>12246</v>
      </c>
      <c r="M3119" s="5" t="s">
        <v>12235</v>
      </c>
      <c r="N3119" s="7" t="str">
        <f>HYPERLINK("C:\Users\alexa\YandexDisk\Книги\Художественная литература\Современная проза\Rollins_D._Otryadsigma9._Glaz_Boga.a4.pdf","Rollins_D._Otryadsigma9._Glaz_Boga.a4.pdf")</f>
        <v>Rollins_D._Otryadsigma9._Glaz_Boga.a4.pdf</v>
      </c>
      <c r="O3119" s="5" t="s">
        <v>12247</v>
      </c>
    </row>
    <row r="3120" spans="1:15" ht="207" x14ac:dyDescent="0.3">
      <c r="A3120" s="2">
        <v>3119</v>
      </c>
      <c r="B3120" s="3" t="s">
        <v>12244</v>
      </c>
      <c r="C3120" s="3" t="s">
        <v>12245</v>
      </c>
      <c r="D3120" s="3" t="s">
        <v>476</v>
      </c>
      <c r="E3120" s="3" t="s">
        <v>1023</v>
      </c>
      <c r="F3120" s="3" t="s">
        <v>12232</v>
      </c>
      <c r="G3120" s="3" t="s">
        <v>12031</v>
      </c>
      <c r="H3120" s="3" t="s">
        <v>12233</v>
      </c>
      <c r="I3120" s="3" t="s">
        <v>280</v>
      </c>
      <c r="J3120" s="3">
        <v>2.02</v>
      </c>
      <c r="K3120" s="3" t="s">
        <v>21</v>
      </c>
      <c r="L3120" s="3" t="s">
        <v>12248</v>
      </c>
      <c r="M3120" s="3" t="s">
        <v>12235</v>
      </c>
      <c r="N3120" s="6" t="str">
        <f>HYPERLINK("C:\Users\alexa\YandexDisk\Книги\Художественная литература\Современная проза\Rollins_D._Otryadsigma9._Glaz_Boga.epub","Rollins_D._Otryadsigma9._Glaz_Boga.epub")</f>
        <v>Rollins_D._Otryadsigma9._Glaz_Boga.epub</v>
      </c>
      <c r="O3120" s="3" t="s">
        <v>12249</v>
      </c>
    </row>
    <row r="3121" spans="1:15" ht="207" x14ac:dyDescent="0.3">
      <c r="A3121" s="4">
        <v>3120</v>
      </c>
      <c r="B3121" s="5" t="s">
        <v>12250</v>
      </c>
      <c r="C3121" s="5" t="s">
        <v>12251</v>
      </c>
      <c r="D3121" s="5" t="s">
        <v>2881</v>
      </c>
      <c r="E3121" s="5" t="s">
        <v>7271</v>
      </c>
      <c r="F3121" s="5" t="s">
        <v>12232</v>
      </c>
      <c r="G3121" s="5" t="s">
        <v>12031</v>
      </c>
      <c r="H3121" s="5" t="s">
        <v>12233</v>
      </c>
      <c r="I3121" s="5" t="s">
        <v>280</v>
      </c>
      <c r="J3121" s="5">
        <v>0.38</v>
      </c>
      <c r="K3121" s="5" t="s">
        <v>21</v>
      </c>
      <c r="L3121" s="5" t="s">
        <v>12252</v>
      </c>
      <c r="M3121" s="5" t="s">
        <v>12235</v>
      </c>
      <c r="N3121" s="7" t="str">
        <f>HYPERLINK("C:\Users\alexa\YandexDisk\Книги\Художественная литература\Современная проза\Sierghiei Gorin, Sierghiei Oghurtsov - Edghar.epub","Sierghiei Gorin, Sierghiei Oghurtsov - Edghar.epub")</f>
        <v>Sierghiei Gorin, Sierghiei Oghurtsov - Edghar.epub</v>
      </c>
      <c r="O3121" s="5" t="s">
        <v>12253</v>
      </c>
    </row>
    <row r="3122" spans="1:15" ht="55.2" x14ac:dyDescent="0.3">
      <c r="A3122" s="2">
        <v>3121</v>
      </c>
      <c r="B3122" s="3" t="s">
        <v>12254</v>
      </c>
      <c r="C3122" s="3" t="s">
        <v>12255</v>
      </c>
      <c r="D3122" s="3"/>
      <c r="E3122" s="3"/>
      <c r="F3122" s="3" t="s">
        <v>12232</v>
      </c>
      <c r="G3122" s="3" t="s">
        <v>12031</v>
      </c>
      <c r="H3122" s="3" t="s">
        <v>12233</v>
      </c>
      <c r="I3122" s="3" t="s">
        <v>6740</v>
      </c>
      <c r="J3122" s="3">
        <v>0.53</v>
      </c>
      <c r="K3122" s="3" t="s">
        <v>21</v>
      </c>
      <c r="L3122" s="3" t="s">
        <v>12256</v>
      </c>
      <c r="M3122" s="3" t="s">
        <v>12235</v>
      </c>
      <c r="N3122" s="6" t="str">
        <f>HYPERLINK("C:\Users\alexa\YandexDisk\Книги\Художественная литература\Современная проза\Sierghiei Gorin, Sierghiei Oghurtsov - Edghar.mobi","Sierghiei Gorin, Sierghiei Oghurtsov - Edghar.mobi")</f>
        <v>Sierghiei Gorin, Sierghiei Oghurtsov - Edghar.mobi</v>
      </c>
      <c r="O3122" s="3" t="s">
        <v>12257</v>
      </c>
    </row>
    <row r="3123" spans="1:15" ht="165.6" x14ac:dyDescent="0.3">
      <c r="A3123" s="4">
        <v>3122</v>
      </c>
      <c r="B3123" s="5" t="s">
        <v>12258</v>
      </c>
      <c r="C3123" s="5" t="s">
        <v>12259</v>
      </c>
      <c r="D3123" s="5" t="s">
        <v>65</v>
      </c>
      <c r="E3123" s="5"/>
      <c r="F3123" s="5" t="s">
        <v>12232</v>
      </c>
      <c r="G3123" s="5" t="s">
        <v>12031</v>
      </c>
      <c r="H3123" s="5" t="s">
        <v>12233</v>
      </c>
      <c r="I3123" s="5" t="s">
        <v>280</v>
      </c>
      <c r="J3123" s="5">
        <v>79.599999999999994</v>
      </c>
      <c r="K3123" s="5" t="s">
        <v>21</v>
      </c>
      <c r="L3123" s="5" t="s">
        <v>12260</v>
      </c>
      <c r="M3123" s="5" t="s">
        <v>12235</v>
      </c>
      <c r="N3123" s="7" t="str">
        <f>HYPERLINK("C:\Users\alexa\YandexDisk\Книги\Художественная литература\Современная проза\U. nforgettable S. tanford A. dventure - by MAKAZONE.epub","U. nforgettable S. tanford A. dventure - by MAKAZONE.epub")</f>
        <v>U. nforgettable S. tanford A. dventure - by MAKAZONE.epub</v>
      </c>
      <c r="O3123" s="5" t="s">
        <v>12261</v>
      </c>
    </row>
    <row r="3124" spans="1:15" ht="165.6" x14ac:dyDescent="0.3">
      <c r="A3124" s="2">
        <v>3123</v>
      </c>
      <c r="B3124" s="3" t="s">
        <v>12262</v>
      </c>
      <c r="C3124" s="3" t="s">
        <v>12263</v>
      </c>
      <c r="D3124" s="3"/>
      <c r="E3124" s="3"/>
      <c r="F3124" s="3" t="s">
        <v>12232</v>
      </c>
      <c r="G3124" s="3" t="s">
        <v>12031</v>
      </c>
      <c r="H3124" s="3" t="s">
        <v>12233</v>
      </c>
      <c r="I3124" s="3" t="s">
        <v>4473</v>
      </c>
      <c r="J3124" s="3">
        <v>2.64</v>
      </c>
      <c r="K3124" s="3" t="s">
        <v>21</v>
      </c>
      <c r="L3124" s="3" t="s">
        <v>12264</v>
      </c>
      <c r="M3124" s="3" t="s">
        <v>12235</v>
      </c>
      <c r="N3124" s="6" t="str">
        <f>HYPERLINK("C:\Users\alexa\YandexDisk\Книги\Художественная литература\Современная проза\Алексей Иванов - Сердце Пармы.doc","Алексей Иванов - Сердце Пармы.doc")</f>
        <v>Алексей Иванов - Сердце Пармы.doc</v>
      </c>
      <c r="O3124" s="3" t="s">
        <v>12265</v>
      </c>
    </row>
    <row r="3125" spans="1:15" ht="179.4" x14ac:dyDescent="0.3">
      <c r="A3125" s="4">
        <v>3124</v>
      </c>
      <c r="B3125" s="5" t="s">
        <v>12266</v>
      </c>
      <c r="C3125" s="5" t="s">
        <v>12267</v>
      </c>
      <c r="D3125" s="5"/>
      <c r="E3125" s="5"/>
      <c r="F3125" s="5" t="s">
        <v>12232</v>
      </c>
      <c r="G3125" s="5" t="s">
        <v>12031</v>
      </c>
      <c r="H3125" s="5" t="s">
        <v>12233</v>
      </c>
      <c r="I3125" s="5" t="s">
        <v>4473</v>
      </c>
      <c r="J3125" s="5">
        <v>0.33</v>
      </c>
      <c r="K3125" s="5" t="s">
        <v>21</v>
      </c>
      <c r="L3125" s="5" t="s">
        <v>12268</v>
      </c>
      <c r="M3125" s="5" t="s">
        <v>12235</v>
      </c>
      <c r="N3125" s="7" t="str">
        <f>HYPERLINK("C:\Users\alexa\YandexDisk\Книги\Художественная литература\Современная проза\Василий Аксенов - Мой дедушка - памятник.doc","Василий Аксенов - Мой дедушка - памятник.doc")</f>
        <v>Василий Аксенов - Мой дедушка - памятник.doc</v>
      </c>
      <c r="O3125" s="5" t="s">
        <v>12269</v>
      </c>
    </row>
    <row r="3126" spans="1:15" ht="165.6" x14ac:dyDescent="0.3">
      <c r="A3126" s="2">
        <v>3125</v>
      </c>
      <c r="B3126" s="3" t="s">
        <v>12270</v>
      </c>
      <c r="C3126" s="3" t="s">
        <v>12271</v>
      </c>
      <c r="D3126" s="3"/>
      <c r="E3126" s="3"/>
      <c r="F3126" s="3" t="s">
        <v>12232</v>
      </c>
      <c r="G3126" s="3" t="s">
        <v>12031</v>
      </c>
      <c r="H3126" s="3" t="s">
        <v>12233</v>
      </c>
      <c r="I3126" s="3" t="s">
        <v>4473</v>
      </c>
      <c r="J3126" s="3">
        <v>2.08</v>
      </c>
      <c r="K3126" s="3" t="s">
        <v>21</v>
      </c>
      <c r="L3126" s="3" t="s">
        <v>12272</v>
      </c>
      <c r="M3126" s="3" t="s">
        <v>12235</v>
      </c>
      <c r="N3126" s="6" t="str">
        <f>HYPERLINK("C:\Users\alexa\YandexDisk\Книги\Художественная литература\Современная проза\Виктор Суворов_Аквариум.doc","Виктор Суворов_Аквариум.doc")</f>
        <v>Виктор Суворов_Аквариум.doc</v>
      </c>
      <c r="O3126" s="3" t="s">
        <v>12273</v>
      </c>
    </row>
    <row r="3127" spans="1:15" ht="55.2" x14ac:dyDescent="0.3">
      <c r="A3127" s="4">
        <v>3126</v>
      </c>
      <c r="B3127" s="5" t="s">
        <v>12274</v>
      </c>
      <c r="C3127" s="5" t="s">
        <v>12275</v>
      </c>
      <c r="D3127" s="5"/>
      <c r="E3127" s="5"/>
      <c r="F3127" s="5" t="s">
        <v>12232</v>
      </c>
      <c r="G3127" s="5" t="s">
        <v>12031</v>
      </c>
      <c r="H3127" s="5" t="s">
        <v>12233</v>
      </c>
      <c r="I3127" s="5" t="s">
        <v>4473</v>
      </c>
      <c r="J3127" s="5">
        <v>1.66</v>
      </c>
      <c r="K3127" s="5" t="s">
        <v>21</v>
      </c>
      <c r="L3127" s="5" t="s">
        <v>12276</v>
      </c>
      <c r="M3127" s="5" t="s">
        <v>12235</v>
      </c>
      <c r="N3127" s="7" t="str">
        <f>HYPERLINK("C:\Users\alexa\YandexDisk\Книги\Художественная литература\Современная проза\Денис Гуцко - Без пути-следа.doc","Денис Гуцко - Без пути-следа.doc")</f>
        <v>Денис Гуцко - Без пути-следа.doc</v>
      </c>
      <c r="O3127" s="5" t="s">
        <v>1735</v>
      </c>
    </row>
    <row r="3128" spans="1:15" ht="165.6" x14ac:dyDescent="0.3">
      <c r="A3128" s="2">
        <v>3127</v>
      </c>
      <c r="B3128" s="3" t="s">
        <v>12277</v>
      </c>
      <c r="C3128" s="3" t="s">
        <v>12278</v>
      </c>
      <c r="D3128" s="3"/>
      <c r="E3128" s="3"/>
      <c r="F3128" s="3" t="s">
        <v>12232</v>
      </c>
      <c r="G3128" s="3" t="s">
        <v>12031</v>
      </c>
      <c r="H3128" s="3" t="s">
        <v>12233</v>
      </c>
      <c r="I3128" s="3" t="s">
        <v>4473</v>
      </c>
      <c r="J3128" s="3">
        <v>1.95</v>
      </c>
      <c r="K3128" s="3" t="s">
        <v>21</v>
      </c>
      <c r="L3128" s="3" t="s">
        <v>12279</v>
      </c>
      <c r="M3128" s="3" t="s">
        <v>12235</v>
      </c>
      <c r="N3128" s="6" t="str">
        <f>HYPERLINK("C:\Users\alexa\YandexDisk\Книги\Художественная литература\Современная проза\Джон Апдайк_-_Кролик_беги.doc","Джон Апдайк_-_Кролик_беги.doc")</f>
        <v>Джон Апдайк_-_Кролик_беги.doc</v>
      </c>
      <c r="O3128" s="3" t="s">
        <v>12280</v>
      </c>
    </row>
    <row r="3129" spans="1:15" ht="55.2" x14ac:dyDescent="0.3">
      <c r="A3129" s="4">
        <v>3128</v>
      </c>
      <c r="B3129" s="5" t="s">
        <v>12190</v>
      </c>
      <c r="C3129" s="5" t="s">
        <v>12191</v>
      </c>
      <c r="D3129" s="5"/>
      <c r="E3129" s="5"/>
      <c r="F3129" s="5" t="s">
        <v>12185</v>
      </c>
      <c r="G3129" s="5" t="s">
        <v>12031</v>
      </c>
      <c r="H3129" s="5" t="s">
        <v>12186</v>
      </c>
      <c r="I3129" s="5" t="s">
        <v>4473</v>
      </c>
      <c r="J3129" s="5">
        <v>1.45</v>
      </c>
      <c r="K3129" s="5" t="s">
        <v>21</v>
      </c>
      <c r="L3129" s="5" t="s">
        <v>12192</v>
      </c>
      <c r="M3129" s="5" t="s">
        <v>12235</v>
      </c>
      <c r="N3129" s="7" t="str">
        <f>HYPERLINK("C:\Users\alexa\YandexDisk\Книги\Художественная литература\Современная проза\Джон Стейнбек_-_Заблудившийся_автобус.doc","Джон Стейнбек_-_Заблудившийся_автобус.doc")</f>
        <v>Джон Стейнбек_-_Заблудившийся_автобус.doc</v>
      </c>
      <c r="O3129" s="5" t="s">
        <v>7365</v>
      </c>
    </row>
    <row r="3130" spans="1:15" ht="179.4" x14ac:dyDescent="0.3">
      <c r="A3130" s="2">
        <v>3129</v>
      </c>
      <c r="B3130" s="3" t="s">
        <v>12151</v>
      </c>
      <c r="C3130" s="3" t="s">
        <v>12152</v>
      </c>
      <c r="D3130" s="3"/>
      <c r="E3130" s="3"/>
      <c r="F3130" s="3" t="s">
        <v>12146</v>
      </c>
      <c r="G3130" s="3" t="s">
        <v>12031</v>
      </c>
      <c r="H3130" s="3" t="s">
        <v>12147</v>
      </c>
      <c r="I3130" s="3" t="s">
        <v>4473</v>
      </c>
      <c r="J3130" s="3">
        <v>2.1800000000000002</v>
      </c>
      <c r="K3130" s="3" t="s">
        <v>21</v>
      </c>
      <c r="L3130" s="3" t="s">
        <v>12153</v>
      </c>
      <c r="M3130" s="3" t="s">
        <v>12235</v>
      </c>
      <c r="N3130" s="6" t="str">
        <f>HYPERLINK("C:\Users\alexa\YandexDisk\Книги\Художественная литература\Современная проза\Дэн_Браун_-_Точка_обмана.doc","Дэн_Браун_-_Точка_обмана.doc")</f>
        <v>Дэн_Браун_-_Точка_обмана.doc</v>
      </c>
      <c r="O3130" s="3" t="s">
        <v>12154</v>
      </c>
    </row>
    <row r="3131" spans="1:15" ht="165.6" x14ac:dyDescent="0.3">
      <c r="A3131" s="4">
        <v>3130</v>
      </c>
      <c r="B3131" s="5" t="s">
        <v>12281</v>
      </c>
      <c r="C3131" s="5" t="s">
        <v>12282</v>
      </c>
      <c r="D3131" s="5"/>
      <c r="E3131" s="5"/>
      <c r="F3131" s="5" t="s">
        <v>12232</v>
      </c>
      <c r="G3131" s="5" t="s">
        <v>12031</v>
      </c>
      <c r="H3131" s="5" t="s">
        <v>12233</v>
      </c>
      <c r="I3131" s="5" t="s">
        <v>4473</v>
      </c>
      <c r="J3131" s="5">
        <v>4.78</v>
      </c>
      <c r="K3131" s="5" t="s">
        <v>21</v>
      </c>
      <c r="L3131" s="5" t="s">
        <v>12283</v>
      </c>
      <c r="M3131" s="5" t="s">
        <v>12235</v>
      </c>
      <c r="N3131" s="7" t="str">
        <f>HYPERLINK("C:\Users\alexa\YandexDisk\Книги\Художественная литература\Современная проза\Евгения_Гинзбург_-_Крутой_маршрут.doc","Евгения_Гинзбург_-_Крутой_маршрут.doc")</f>
        <v>Евгения_Гинзбург_-_Крутой_маршрут.doc</v>
      </c>
      <c r="O3131" s="5" t="s">
        <v>12284</v>
      </c>
    </row>
    <row r="3132" spans="1:15" ht="151.80000000000001" x14ac:dyDescent="0.3">
      <c r="A3132" s="2">
        <v>3131</v>
      </c>
      <c r="B3132" s="3" t="s">
        <v>12193</v>
      </c>
      <c r="C3132" s="3" t="s">
        <v>12194</v>
      </c>
      <c r="D3132" s="3"/>
      <c r="E3132" s="3"/>
      <c r="F3132" s="3" t="s">
        <v>12185</v>
      </c>
      <c r="G3132" s="3" t="s">
        <v>12031</v>
      </c>
      <c r="H3132" s="3" t="s">
        <v>12186</v>
      </c>
      <c r="I3132" s="3" t="s">
        <v>4473</v>
      </c>
      <c r="J3132" s="3">
        <v>1.31</v>
      </c>
      <c r="K3132" s="3" t="s">
        <v>21</v>
      </c>
      <c r="L3132" s="3" t="s">
        <v>12195</v>
      </c>
      <c r="M3132" s="3" t="s">
        <v>12235</v>
      </c>
      <c r="N3132" s="6" t="str">
        <f>HYPERLINK("C:\Users\alexa\YandexDisk\Книги\Художественная литература\Современная проза\Зигмунд_Фрэйд Введение в психоанализ. Лекции 1-35.doc","Зигмунд_Фрэйд Введение в психоанализ. Лекции 1-35.doc")</f>
        <v>Зигмунд_Фрэйд Введение в психоанализ. Лекции 1-35.doc</v>
      </c>
      <c r="O3132" s="3" t="s">
        <v>12196</v>
      </c>
    </row>
    <row r="3133" spans="1:15" ht="165.6" x14ac:dyDescent="0.3">
      <c r="A3133" s="4">
        <v>3132</v>
      </c>
      <c r="B3133" s="5" t="s">
        <v>12285</v>
      </c>
      <c r="C3133" s="5" t="s">
        <v>12286</v>
      </c>
      <c r="D3133" s="5"/>
      <c r="E3133" s="5"/>
      <c r="F3133" s="5" t="s">
        <v>12232</v>
      </c>
      <c r="G3133" s="5" t="s">
        <v>12031</v>
      </c>
      <c r="H3133" s="5" t="s">
        <v>12233</v>
      </c>
      <c r="I3133" s="5" t="s">
        <v>4473</v>
      </c>
      <c r="J3133" s="5">
        <v>1.1499999999999999</v>
      </c>
      <c r="K3133" s="5" t="s">
        <v>21</v>
      </c>
      <c r="L3133" s="5" t="s">
        <v>12287</v>
      </c>
      <c r="M3133" s="5" t="s">
        <v>12235</v>
      </c>
      <c r="N3133" s="7" t="str">
        <f>HYPERLINK("C:\Users\alexa\YandexDisk\Книги\Художественная литература\Современная проза\Идрис_Шах_-_Сказки_дервишей.doc","Идрис_Шах_-_Сказки_дервишей.doc")</f>
        <v>Идрис_Шах_-_Сказки_дервишей.doc</v>
      </c>
      <c r="O3133" s="5" t="s">
        <v>12288</v>
      </c>
    </row>
    <row r="3134" spans="1:15" ht="55.2" x14ac:dyDescent="0.3">
      <c r="A3134" s="2">
        <v>3133</v>
      </c>
      <c r="B3134" s="3" t="s">
        <v>12289</v>
      </c>
      <c r="C3134" s="3" t="s">
        <v>12290</v>
      </c>
      <c r="D3134" s="3"/>
      <c r="E3134" s="3"/>
      <c r="F3134" s="3" t="s">
        <v>12232</v>
      </c>
      <c r="G3134" s="3" t="s">
        <v>12031</v>
      </c>
      <c r="H3134" s="3" t="s">
        <v>12233</v>
      </c>
      <c r="I3134" s="3" t="s">
        <v>4473</v>
      </c>
      <c r="J3134" s="3">
        <v>0.12</v>
      </c>
      <c r="K3134" s="3" t="s">
        <v>21</v>
      </c>
      <c r="L3134" s="3" t="s">
        <v>12291</v>
      </c>
      <c r="M3134" s="3" t="s">
        <v>12235</v>
      </c>
      <c r="N3134" s="6" t="str">
        <f>HYPERLINK("C:\Users\alexa\YandexDisk\Книги\Художественная литература\Современная проза\Клиффорд_Саймак_-_Плацдарм.doc","Клиффорд_Саймак_-_Плацдарм.doc")</f>
        <v>Клиффорд_Саймак_-_Плацдарм.doc</v>
      </c>
      <c r="O3134" s="3" t="s">
        <v>12292</v>
      </c>
    </row>
    <row r="3135" spans="1:15" ht="193.2" x14ac:dyDescent="0.3">
      <c r="A3135" s="4">
        <v>3134</v>
      </c>
      <c r="B3135" s="5" t="s">
        <v>12293</v>
      </c>
      <c r="C3135" s="5" t="s">
        <v>12294</v>
      </c>
      <c r="D3135" s="5"/>
      <c r="E3135" s="5"/>
      <c r="F3135" s="5" t="s">
        <v>12232</v>
      </c>
      <c r="G3135" s="5" t="s">
        <v>12031</v>
      </c>
      <c r="H3135" s="5" t="s">
        <v>12233</v>
      </c>
      <c r="I3135" s="5" t="s">
        <v>4473</v>
      </c>
      <c r="J3135" s="5">
        <v>0.97</v>
      </c>
      <c r="K3135" s="5" t="s">
        <v>21</v>
      </c>
      <c r="L3135" s="5" t="s">
        <v>12295</v>
      </c>
      <c r="M3135" s="5" t="s">
        <v>12235</v>
      </c>
      <c r="N3135" s="7" t="str">
        <f>HYPERLINK("C:\Users\alexa\YandexDisk\Книги\Художественная литература\Современная проза\Леонид Кербер - Туполевская шарага.doc","Леонид Кербер - Туполевская шарага.doc")</f>
        <v>Леонид Кербер - Туполевская шарага.doc</v>
      </c>
      <c r="O3135" s="5" t="s">
        <v>12296</v>
      </c>
    </row>
    <row r="3136" spans="1:15" ht="55.2" x14ac:dyDescent="0.3">
      <c r="A3136" s="2">
        <v>3135</v>
      </c>
      <c r="B3136" s="3" t="s">
        <v>12197</v>
      </c>
      <c r="C3136" s="3" t="s">
        <v>12198</v>
      </c>
      <c r="D3136" s="3"/>
      <c r="E3136" s="3"/>
      <c r="F3136" s="3" t="s">
        <v>12185</v>
      </c>
      <c r="G3136" s="3" t="s">
        <v>12031</v>
      </c>
      <c r="H3136" s="3" t="s">
        <v>12186</v>
      </c>
      <c r="I3136" s="3" t="s">
        <v>3154</v>
      </c>
      <c r="J3136" s="3">
        <v>2.59</v>
      </c>
      <c r="K3136" s="3" t="s">
        <v>21</v>
      </c>
      <c r="L3136" s="3" t="s">
        <v>12199</v>
      </c>
      <c r="M3136" s="3" t="s">
        <v>12235</v>
      </c>
      <c r="N3136" s="6" t="str">
        <f>HYPERLINK("C:\Users\alexa\YandexDisk\Книги\Художественная литература\Современная проза\Михаил_Булгаков_-_Мастер и Маргарита.rtf","Михаил_Булгаков_-_Мастер и Маргарита.rtf")</f>
        <v>Михаил_Булгаков_-_Мастер и Маргарита.rtf</v>
      </c>
      <c r="O3136" s="3" t="s">
        <v>930</v>
      </c>
    </row>
    <row r="3137" spans="1:15" ht="55.2" x14ac:dyDescent="0.3">
      <c r="A3137" s="4">
        <v>3136</v>
      </c>
      <c r="B3137" s="5" t="s">
        <v>12297</v>
      </c>
      <c r="C3137" s="5" t="s">
        <v>12298</v>
      </c>
      <c r="D3137" s="5"/>
      <c r="E3137" s="5"/>
      <c r="F3137" s="5" t="s">
        <v>12232</v>
      </c>
      <c r="G3137" s="5" t="s">
        <v>12031</v>
      </c>
      <c r="H3137" s="5" t="s">
        <v>12233</v>
      </c>
      <c r="I3137" s="5" t="s">
        <v>4473</v>
      </c>
      <c r="J3137" s="5">
        <v>0.32</v>
      </c>
      <c r="K3137" s="5" t="s">
        <v>21</v>
      </c>
      <c r="L3137" s="5" t="s">
        <v>12299</v>
      </c>
      <c r="M3137" s="5" t="s">
        <v>12235</v>
      </c>
      <c r="N3137" s="7" t="str">
        <f>HYPERLINK("C:\Users\alexa\YandexDisk\Книги\Художественная литература\Современная проза\Норберт_Винер_-_Творец_и_робот.doc","Норберт_Винер_-_Творец_и_робот.doc")</f>
        <v>Норберт_Винер_-_Творец_и_робот.doc</v>
      </c>
      <c r="O3137" s="5" t="s">
        <v>1735</v>
      </c>
    </row>
    <row r="3138" spans="1:15" ht="165.6" x14ac:dyDescent="0.3">
      <c r="A3138" s="2">
        <v>3137</v>
      </c>
      <c r="B3138" s="3" t="s">
        <v>12300</v>
      </c>
      <c r="C3138" s="3" t="s">
        <v>12301</v>
      </c>
      <c r="D3138" s="3"/>
      <c r="E3138" s="3"/>
      <c r="F3138" s="3" t="s">
        <v>12232</v>
      </c>
      <c r="G3138" s="3" t="s">
        <v>12031</v>
      </c>
      <c r="H3138" s="3" t="s">
        <v>12233</v>
      </c>
      <c r="I3138" s="3" t="s">
        <v>4473</v>
      </c>
      <c r="J3138" s="3">
        <v>2.04</v>
      </c>
      <c r="K3138" s="3" t="s">
        <v>21</v>
      </c>
      <c r="L3138" s="3" t="s">
        <v>12302</v>
      </c>
      <c r="M3138" s="3" t="s">
        <v>12235</v>
      </c>
      <c r="N3138" s="6" t="str">
        <f>HYPERLINK("C:\Users\alexa\YandexDisk\Книги\Художественная литература\Современная проза\Олег Дивов - Выбраковка.doc","Олег Дивов - Выбраковка.doc")</f>
        <v>Олег Дивов - Выбраковка.doc</v>
      </c>
      <c r="O3138" s="3" t="s">
        <v>12303</v>
      </c>
    </row>
    <row r="3139" spans="1:15" ht="55.2" x14ac:dyDescent="0.3">
      <c r="A3139" s="4">
        <v>3138</v>
      </c>
      <c r="B3139" s="5" t="s">
        <v>12304</v>
      </c>
      <c r="C3139" s="5" t="s">
        <v>12305</v>
      </c>
      <c r="D3139" s="5"/>
      <c r="E3139" s="5"/>
      <c r="F3139" s="5" t="s">
        <v>12232</v>
      </c>
      <c r="G3139" s="5" t="s">
        <v>12031</v>
      </c>
      <c r="H3139" s="5" t="s">
        <v>12233</v>
      </c>
      <c r="I3139" s="5" t="s">
        <v>3154</v>
      </c>
      <c r="J3139" s="5">
        <v>0.66</v>
      </c>
      <c r="K3139" s="5" t="s">
        <v>21</v>
      </c>
      <c r="L3139" s="5" t="s">
        <v>12306</v>
      </c>
      <c r="M3139" s="5" t="s">
        <v>12235</v>
      </c>
      <c r="N3139" s="7" t="str">
        <f>HYPERLINK("C:\Users\alexa\YandexDisk\Книги\Художественная литература\Современная проза\Пауло Коэльо - Алхимик.rtf","Пауло Коэльо - Алхимик.rtf")</f>
        <v>Пауло Коэльо - Алхимик.rtf</v>
      </c>
      <c r="O3139" s="5" t="s">
        <v>930</v>
      </c>
    </row>
    <row r="3140" spans="1:15" ht="55.2" x14ac:dyDescent="0.3">
      <c r="A3140" s="2">
        <v>3139</v>
      </c>
      <c r="B3140" s="3" t="s">
        <v>12200</v>
      </c>
      <c r="C3140" s="3" t="s">
        <v>12201</v>
      </c>
      <c r="D3140" s="3"/>
      <c r="E3140" s="3"/>
      <c r="F3140" s="3" t="s">
        <v>12185</v>
      </c>
      <c r="G3140" s="3" t="s">
        <v>12031</v>
      </c>
      <c r="H3140" s="3" t="s">
        <v>12186</v>
      </c>
      <c r="I3140" s="3" t="s">
        <v>3154</v>
      </c>
      <c r="J3140" s="3">
        <v>0.25</v>
      </c>
      <c r="K3140" s="3" t="s">
        <v>21</v>
      </c>
      <c r="L3140" s="3" t="s">
        <v>12202</v>
      </c>
      <c r="M3140" s="3" t="s">
        <v>12235</v>
      </c>
      <c r="N3140" s="6" t="str">
        <f>HYPERLINK("C:\Users\alexa\YandexDisk\Книги\Художественная литература\Современная проза\Ричард_Бах_-_Чайка по имени Джонатан Ливингстон.rtf","Ричард_Бах_-_Чайка по имени Джонатан Ливингстон.rtf")</f>
        <v>Ричард_Бах_-_Чайка по имени Джонатан Ливингстон.rtf</v>
      </c>
      <c r="O3140" s="3" t="s">
        <v>930</v>
      </c>
    </row>
    <row r="3141" spans="1:15" ht="151.80000000000001" x14ac:dyDescent="0.3">
      <c r="A3141" s="4">
        <v>3140</v>
      </c>
      <c r="B3141" s="5" t="s">
        <v>12155</v>
      </c>
      <c r="C3141" s="5" t="s">
        <v>12156</v>
      </c>
      <c r="D3141" s="5"/>
      <c r="E3141" s="5"/>
      <c r="F3141" s="5" t="s">
        <v>12146</v>
      </c>
      <c r="G3141" s="5" t="s">
        <v>12031</v>
      </c>
      <c r="H3141" s="5" t="s">
        <v>12147</v>
      </c>
      <c r="I3141" s="5" t="s">
        <v>4473</v>
      </c>
      <c r="J3141" s="5">
        <v>0.16</v>
      </c>
      <c r="K3141" s="5" t="s">
        <v>21</v>
      </c>
      <c r="L3141" s="5" t="s">
        <v>12157</v>
      </c>
      <c r="M3141" s="5" t="s">
        <v>12235</v>
      </c>
      <c r="N3141" s="7" t="str">
        <f>HYPERLINK("C:\Users\alexa\YandexDisk\Книги\Художественная литература\Современная проза\Рэкс_Стаут_-_Поваренная_книга_Ниро_Вульфа.doc","Рэкс_Стаут_-_Поваренная_книга_Ниро_Вульфа.doc")</f>
        <v>Рэкс_Стаут_-_Поваренная_книга_Ниро_Вульфа.doc</v>
      </c>
      <c r="O3141" s="5" t="s">
        <v>12158</v>
      </c>
    </row>
    <row r="3142" spans="1:15" ht="151.80000000000001" x14ac:dyDescent="0.3">
      <c r="A3142" s="2">
        <v>3141</v>
      </c>
      <c r="B3142" s="3" t="s">
        <v>12061</v>
      </c>
      <c r="C3142" s="3" t="s">
        <v>12062</v>
      </c>
      <c r="D3142" s="3"/>
      <c r="E3142" s="3"/>
      <c r="F3142" s="3" t="s">
        <v>12055</v>
      </c>
      <c r="G3142" s="3" t="s">
        <v>12031</v>
      </c>
      <c r="H3142" s="3" t="s">
        <v>12054</v>
      </c>
      <c r="I3142" s="3" t="s">
        <v>4473</v>
      </c>
      <c r="J3142" s="3">
        <v>0.52</v>
      </c>
      <c r="K3142" s="3" t="s">
        <v>21</v>
      </c>
      <c r="L3142" s="3" t="s">
        <v>12063</v>
      </c>
      <c r="M3142" s="3" t="s">
        <v>12235</v>
      </c>
      <c r="N3142" s="6" t="str">
        <f>HYPERLINK("C:\Users\alexa\YandexDisk\Книги\Художественная литература\Современная проза\Стивен Кинг - Худеющий.doc","Стивен Кинг - Худеющий.doc")</f>
        <v>Стивен Кинг - Худеющий.doc</v>
      </c>
      <c r="O3142" s="3" t="s">
        <v>12064</v>
      </c>
    </row>
    <row r="3143" spans="1:15" ht="179.4" x14ac:dyDescent="0.3">
      <c r="A3143" s="4">
        <v>3142</v>
      </c>
      <c r="B3143" s="5" t="s">
        <v>12203</v>
      </c>
      <c r="C3143" s="5" t="s">
        <v>12204</v>
      </c>
      <c r="D3143" s="5"/>
      <c r="E3143" s="5"/>
      <c r="F3143" s="5" t="s">
        <v>12185</v>
      </c>
      <c r="G3143" s="5" t="s">
        <v>12031</v>
      </c>
      <c r="H3143" s="5" t="s">
        <v>12186</v>
      </c>
      <c r="I3143" s="5" t="s">
        <v>4473</v>
      </c>
      <c r="J3143" s="5">
        <v>2.4300000000000002</v>
      </c>
      <c r="K3143" s="5" t="s">
        <v>21</v>
      </c>
      <c r="L3143" s="5" t="s">
        <v>12205</v>
      </c>
      <c r="M3143" s="5" t="s">
        <v>12235</v>
      </c>
      <c r="N3143" s="7" t="str">
        <f>HYPERLINK("C:\Users\alexa\YandexDisk\Книги\Художественная литература\Современная проза\Уильям Фолкнер_-_Город.doc","Уильям Фолкнер_-_Город.doc")</f>
        <v>Уильям Фолкнер_-_Город.doc</v>
      </c>
      <c r="O3143" s="5" t="s">
        <v>12206</v>
      </c>
    </row>
    <row r="3144" spans="1:15" ht="55.2" x14ac:dyDescent="0.3">
      <c r="A3144" s="2">
        <v>3143</v>
      </c>
      <c r="B3144" s="3" t="s">
        <v>12307</v>
      </c>
      <c r="C3144" s="3" t="s">
        <v>12308</v>
      </c>
      <c r="D3144" s="3"/>
      <c r="E3144" s="3"/>
      <c r="F3144" s="3" t="s">
        <v>12232</v>
      </c>
      <c r="G3144" s="3" t="s">
        <v>12031</v>
      </c>
      <c r="H3144" s="3" t="s">
        <v>12233</v>
      </c>
      <c r="I3144" s="3" t="s">
        <v>3154</v>
      </c>
      <c r="J3144" s="3">
        <v>0.37</v>
      </c>
      <c r="K3144" s="3" t="s">
        <v>21</v>
      </c>
      <c r="L3144" s="3" t="s">
        <v>12309</v>
      </c>
      <c r="M3144" s="3" t="s">
        <v>12235</v>
      </c>
      <c r="N3144" s="6" t="str">
        <f>HYPERLINK("C:\Users\alexa\YandexDisk\Книги\Художественная литература\Современная проза\Фредерик Бегбедер_-_99_франков.rtf","Фредерик Бегбедер_-_99_франков.rtf")</f>
        <v>Фредерик Бегбедер_-_99_франков.rtf</v>
      </c>
      <c r="O3144" s="3" t="s">
        <v>930</v>
      </c>
    </row>
    <row r="3145" spans="1:15" ht="179.4" x14ac:dyDescent="0.3">
      <c r="A3145" s="4">
        <v>3144</v>
      </c>
      <c r="B3145" s="5" t="s">
        <v>12310</v>
      </c>
      <c r="C3145" s="5" t="s">
        <v>12311</v>
      </c>
      <c r="D3145" s="5"/>
      <c r="E3145" s="5"/>
      <c r="F3145" s="5" t="s">
        <v>12232</v>
      </c>
      <c r="G3145" s="5" t="s">
        <v>12031</v>
      </c>
      <c r="H3145" s="5" t="s">
        <v>12233</v>
      </c>
      <c r="I3145" s="5" t="s">
        <v>4473</v>
      </c>
      <c r="J3145" s="5">
        <v>0.91</v>
      </c>
      <c r="K3145" s="5" t="s">
        <v>21</v>
      </c>
      <c r="L3145" s="5" t="s">
        <v>12312</v>
      </c>
      <c r="M3145" s="5" t="s">
        <v>12235</v>
      </c>
      <c r="N3145" s="7" t="str">
        <f>HYPERLINK("C:\Users\alexa\YandexDisk\Книги\Художественная литература\Современная проза\Хаксли_-_О дивный новый мир.doc","Хаксли_-_О дивный новый мир.doc")</f>
        <v>Хаксли_-_О дивный новый мир.doc</v>
      </c>
      <c r="O3145" s="5" t="s">
        <v>12313</v>
      </c>
    </row>
    <row r="3146" spans="1:15" ht="303.60000000000002" x14ac:dyDescent="0.3">
      <c r="A3146" s="2">
        <v>3145</v>
      </c>
      <c r="B3146" s="3" t="s">
        <v>12314</v>
      </c>
      <c r="C3146" s="3" t="s">
        <v>12315</v>
      </c>
      <c r="D3146" s="3"/>
      <c r="E3146" s="3"/>
      <c r="F3146" s="3" t="s">
        <v>12232</v>
      </c>
      <c r="G3146" s="3" t="s">
        <v>12031</v>
      </c>
      <c r="H3146" s="3" t="s">
        <v>12233</v>
      </c>
      <c r="I3146" s="3" t="s">
        <v>3154</v>
      </c>
      <c r="J3146" s="3">
        <v>0.28000000000000003</v>
      </c>
      <c r="K3146" s="3" t="s">
        <v>21</v>
      </c>
      <c r="L3146" s="3" t="s">
        <v>12316</v>
      </c>
      <c r="M3146" s="3" t="s">
        <v>12235</v>
      </c>
      <c r="N3146" s="6" t="str">
        <f>HYPERLINK("C:\Users\alexa\YandexDisk\Книги\Художественная литература\Современная проза\Шен_Бекасов_-_Банковская_тайна.rtf","Шен_Бекасов_-_Банковская_тайна.rtf")</f>
        <v>Шен_Бекасов_-_Банковская_тайна.rtf</v>
      </c>
      <c r="O3146" s="3" t="s">
        <v>12317</v>
      </c>
    </row>
    <row r="3147" spans="1:15" ht="179.4" x14ac:dyDescent="0.3">
      <c r="A3147" s="4">
        <v>3146</v>
      </c>
      <c r="B3147" s="5" t="s">
        <v>12318</v>
      </c>
      <c r="C3147" s="5" t="s">
        <v>12319</v>
      </c>
      <c r="D3147" s="5"/>
      <c r="E3147" s="5"/>
      <c r="F3147" s="5" t="s">
        <v>12320</v>
      </c>
      <c r="G3147" s="5" t="s">
        <v>12031</v>
      </c>
      <c r="H3147" s="5" t="s">
        <v>12321</v>
      </c>
      <c r="I3147" s="5" t="s">
        <v>280</v>
      </c>
      <c r="J3147" s="5">
        <v>0.25</v>
      </c>
      <c r="K3147" s="5" t="s">
        <v>21</v>
      </c>
      <c r="L3147" s="5" t="s">
        <v>12322</v>
      </c>
      <c r="M3147" s="5" t="s">
        <v>12323</v>
      </c>
      <c r="N3147" s="7" t="str">
        <f>HYPERLINK("C:\Users\alexa\YandexDisk\Книги\Художественная литература\Толстой\Tolstoy_Sevastopolskie-rasskazy.78452.fb2.epub","Tolstoy_Sevastopolskie-rasskazy.78452.fb2.epub")</f>
        <v>Tolstoy_Sevastopolskie-rasskazy.78452.fb2.epub</v>
      </c>
      <c r="O3147" s="5" t="s">
        <v>12324</v>
      </c>
    </row>
    <row r="3148" spans="1:15" ht="138" x14ac:dyDescent="0.3">
      <c r="A3148" s="2">
        <v>3147</v>
      </c>
      <c r="B3148" s="3" t="s">
        <v>12325</v>
      </c>
      <c r="C3148" s="3" t="s">
        <v>12321</v>
      </c>
      <c r="D3148" s="3"/>
      <c r="E3148" s="3"/>
      <c r="F3148" s="3" t="s">
        <v>12320</v>
      </c>
      <c r="G3148" s="3" t="s">
        <v>12031</v>
      </c>
      <c r="H3148" s="3" t="s">
        <v>12321</v>
      </c>
      <c r="I3148" s="3" t="s">
        <v>6740</v>
      </c>
      <c r="J3148" s="3">
        <v>0.85</v>
      </c>
      <c r="K3148" s="3" t="s">
        <v>21</v>
      </c>
      <c r="L3148" s="3" t="s">
        <v>12326</v>
      </c>
      <c r="M3148" s="3" t="s">
        <v>12323</v>
      </c>
      <c r="N3148" s="6" t="str">
        <f>HYPERLINK("C:\Users\alexa\YandexDisk\Книги\Художественная литература\Толстой\Tolstoy_Sevastopolskie-rasskazy.78452.fb2.mobi","Tolstoy_Sevastopolskie-rasskazy.78452.fb2.mobi")</f>
        <v>Tolstoy_Sevastopolskie-rasskazy.78452.fb2.mobi</v>
      </c>
      <c r="O3148" s="3" t="s">
        <v>12327</v>
      </c>
    </row>
    <row r="3149" spans="1:15" ht="234.6" x14ac:dyDescent="0.3">
      <c r="A3149" s="4">
        <v>3148</v>
      </c>
      <c r="B3149" s="5" t="s">
        <v>12328</v>
      </c>
      <c r="C3149" s="5" t="s">
        <v>12319</v>
      </c>
      <c r="D3149" s="5"/>
      <c r="E3149" s="5"/>
      <c r="F3149" s="5" t="s">
        <v>12320</v>
      </c>
      <c r="G3149" s="5" t="s">
        <v>12031</v>
      </c>
      <c r="H3149" s="5" t="s">
        <v>12321</v>
      </c>
      <c r="I3149" s="5" t="s">
        <v>280</v>
      </c>
      <c r="J3149" s="5">
        <v>0.59</v>
      </c>
      <c r="K3149" s="5" t="s">
        <v>21</v>
      </c>
      <c r="L3149" s="5" t="s">
        <v>12329</v>
      </c>
      <c r="M3149" s="5" t="s">
        <v>12323</v>
      </c>
      <c r="N3149" s="7" t="str">
        <f>HYPERLINK("C:\Users\alexa\YandexDisk\Книги\Художественная литература\Толстой\Tolstoy_Soedinenie-i-perevod-chetyreh-Evangeliy.78450.fb2.epub","Tolstoy_Soedinenie-i-perevod-chetyreh-Evangeliy.78450.fb2.epub")</f>
        <v>Tolstoy_Soedinenie-i-perevod-chetyreh-Evangeliy.78450.fb2.epub</v>
      </c>
      <c r="O3149" s="5" t="s">
        <v>12330</v>
      </c>
    </row>
    <row r="3150" spans="1:15" ht="179.4" x14ac:dyDescent="0.3">
      <c r="A3150" s="2">
        <v>3149</v>
      </c>
      <c r="B3150" s="3" t="s">
        <v>12331</v>
      </c>
      <c r="C3150" s="3" t="s">
        <v>12321</v>
      </c>
      <c r="D3150" s="3"/>
      <c r="E3150" s="3"/>
      <c r="F3150" s="3" t="s">
        <v>12320</v>
      </c>
      <c r="G3150" s="3" t="s">
        <v>12031</v>
      </c>
      <c r="H3150" s="3" t="s">
        <v>12321</v>
      </c>
      <c r="I3150" s="3" t="s">
        <v>6740</v>
      </c>
      <c r="J3150" s="3">
        <v>2.3199999999999998</v>
      </c>
      <c r="K3150" s="3" t="s">
        <v>21</v>
      </c>
      <c r="L3150" s="3" t="s">
        <v>12332</v>
      </c>
      <c r="M3150" s="3" t="s">
        <v>12323</v>
      </c>
      <c r="N3150" s="6" t="str">
        <f>HYPERLINK("C:\Users\alexa\YandexDisk\Книги\Художественная литература\Толстой\Tolstoy_Soedinenie-i-perevod-chetyreh-Evangeliy.78450.fb2.mobi","Tolstoy_Soedinenie-i-perevod-chetyreh-Evangeliy.78450.fb2.mobi")</f>
        <v>Tolstoy_Soedinenie-i-perevod-chetyreh-Evangeliy.78450.fb2.mobi</v>
      </c>
      <c r="O3150" s="3" t="s">
        <v>12333</v>
      </c>
    </row>
    <row r="3151" spans="1:15" ht="151.80000000000001" x14ac:dyDescent="0.3">
      <c r="A3151" s="4">
        <v>3150</v>
      </c>
      <c r="B3151" s="5" t="s">
        <v>12334</v>
      </c>
      <c r="C3151" s="5" t="s">
        <v>12319</v>
      </c>
      <c r="D3151" s="5"/>
      <c r="E3151" s="5"/>
      <c r="F3151" s="5" t="s">
        <v>12320</v>
      </c>
      <c r="G3151" s="5" t="s">
        <v>12031</v>
      </c>
      <c r="H3151" s="5" t="s">
        <v>12321</v>
      </c>
      <c r="I3151" s="5" t="s">
        <v>280</v>
      </c>
      <c r="J3151" s="5">
        <v>0.53</v>
      </c>
      <c r="K3151" s="5" t="s">
        <v>21</v>
      </c>
      <c r="L3151" s="5" t="s">
        <v>12335</v>
      </c>
      <c r="M3151" s="5" t="s">
        <v>12323</v>
      </c>
      <c r="N3151" s="7" t="str">
        <f>HYPERLINK("C:\Users\alexa\YandexDisk\Книги\Художественная литература\Толстой\Tolstoy_Voyna-i-mir_1_Voyna-i-mir-Tom-1.175105.fb2.epub","Tolstoy_Voyna-i-mir_1_Voyna-i-mir-Tom-1.175105.fb2.epub")</f>
        <v>Tolstoy_Voyna-i-mir_1_Voyna-i-mir-Tom-1.175105.fb2.epub</v>
      </c>
      <c r="O3151" s="5" t="s">
        <v>12336</v>
      </c>
    </row>
    <row r="3152" spans="1:15" ht="179.4" x14ac:dyDescent="0.3">
      <c r="A3152" s="2">
        <v>3151</v>
      </c>
      <c r="B3152" s="3" t="s">
        <v>12337</v>
      </c>
      <c r="C3152" s="3" t="s">
        <v>12319</v>
      </c>
      <c r="D3152" s="3"/>
      <c r="E3152" s="3"/>
      <c r="F3152" s="3" t="s">
        <v>12320</v>
      </c>
      <c r="G3152" s="3" t="s">
        <v>12031</v>
      </c>
      <c r="H3152" s="3" t="s">
        <v>12321</v>
      </c>
      <c r="I3152" s="3" t="s">
        <v>280</v>
      </c>
      <c r="J3152" s="3">
        <v>0.54</v>
      </c>
      <c r="K3152" s="3" t="s">
        <v>21</v>
      </c>
      <c r="L3152" s="3" t="s">
        <v>12338</v>
      </c>
      <c r="M3152" s="3" t="s">
        <v>12323</v>
      </c>
      <c r="N3152" s="6" t="str">
        <f>HYPERLINK("C:\Users\alexa\YandexDisk\Книги\Художественная литература\Толстой\Tolstoy_Voyna-i-mir_2_Voyna-i-mir-Tom-2.175143.fb2.epub","Tolstoy_Voyna-i-mir_2_Voyna-i-mir-Tom-2.175143.fb2.epub")</f>
        <v>Tolstoy_Voyna-i-mir_2_Voyna-i-mir-Tom-2.175143.fb2.epub</v>
      </c>
      <c r="O3152" s="3" t="s">
        <v>12339</v>
      </c>
    </row>
    <row r="3153" spans="1:15" ht="193.2" x14ac:dyDescent="0.3">
      <c r="A3153" s="4">
        <v>3152</v>
      </c>
      <c r="B3153" s="5" t="s">
        <v>12340</v>
      </c>
      <c r="C3153" s="5" t="s">
        <v>12341</v>
      </c>
      <c r="D3153" s="5"/>
      <c r="E3153" s="5"/>
      <c r="F3153" s="5" t="s">
        <v>12320</v>
      </c>
      <c r="G3153" s="5" t="s">
        <v>12031</v>
      </c>
      <c r="H3153" s="5" t="s">
        <v>12321</v>
      </c>
      <c r="I3153" s="5" t="s">
        <v>6740</v>
      </c>
      <c r="J3153" s="5">
        <v>2.12</v>
      </c>
      <c r="K3153" s="5" t="s">
        <v>21</v>
      </c>
      <c r="L3153" s="5" t="s">
        <v>12342</v>
      </c>
      <c r="M3153" s="5" t="s">
        <v>12323</v>
      </c>
      <c r="N3153" s="7" t="str">
        <f>HYPERLINK("C:\Users\alexa\YandexDisk\Книги\Художественная литература\Толстой\Tolstoy_Voyna-i-mir_2_Voyna-i-mir-Tom-2.175143.fb2.mobi","Tolstoy_Voyna-i-mir_2_Voyna-i-mir-Tom-2.175143.fb2.mobi")</f>
        <v>Tolstoy_Voyna-i-mir_2_Voyna-i-mir-Tom-2.175143.fb2.mobi</v>
      </c>
      <c r="O3153" s="5" t="s">
        <v>12343</v>
      </c>
    </row>
    <row r="3154" spans="1:15" ht="179.4" x14ac:dyDescent="0.3">
      <c r="A3154" s="2">
        <v>3153</v>
      </c>
      <c r="B3154" s="3" t="s">
        <v>12344</v>
      </c>
      <c r="C3154" s="3" t="s">
        <v>12319</v>
      </c>
      <c r="D3154" s="3"/>
      <c r="E3154" s="3"/>
      <c r="F3154" s="3" t="s">
        <v>12320</v>
      </c>
      <c r="G3154" s="3" t="s">
        <v>12031</v>
      </c>
      <c r="H3154" s="3" t="s">
        <v>12321</v>
      </c>
      <c r="I3154" s="3" t="s">
        <v>280</v>
      </c>
      <c r="J3154" s="3">
        <v>0.59</v>
      </c>
      <c r="K3154" s="3" t="s">
        <v>21</v>
      </c>
      <c r="L3154" s="3" t="s">
        <v>12345</v>
      </c>
      <c r="M3154" s="3" t="s">
        <v>12323</v>
      </c>
      <c r="N3154" s="6" t="str">
        <f>HYPERLINK("C:\Users\alexa\YandexDisk\Книги\Художественная литература\Толстой\Tolstoy_Voyna-i-mir_3_Voyna-i-mir-Tom-3.175746.fb2.epub","Tolstoy_Voyna-i-mir_3_Voyna-i-mir-Tom-3.175746.fb2.epub")</f>
        <v>Tolstoy_Voyna-i-mir_3_Voyna-i-mir-Tom-3.175746.fb2.epub</v>
      </c>
      <c r="O3154" s="3" t="s">
        <v>12346</v>
      </c>
    </row>
    <row r="3155" spans="1:15" ht="179.4" x14ac:dyDescent="0.3">
      <c r="A3155" s="4">
        <v>3154</v>
      </c>
      <c r="B3155" s="5" t="s">
        <v>12347</v>
      </c>
      <c r="C3155" s="5" t="s">
        <v>12321</v>
      </c>
      <c r="D3155" s="5"/>
      <c r="E3155" s="5"/>
      <c r="F3155" s="5" t="s">
        <v>12320</v>
      </c>
      <c r="G3155" s="5" t="s">
        <v>12031</v>
      </c>
      <c r="H3155" s="5" t="s">
        <v>12321</v>
      </c>
      <c r="I3155" s="5" t="s">
        <v>6740</v>
      </c>
      <c r="J3155" s="5">
        <v>2.35</v>
      </c>
      <c r="K3155" s="5" t="s">
        <v>21</v>
      </c>
      <c r="L3155" s="5" t="s">
        <v>12348</v>
      </c>
      <c r="M3155" s="5" t="s">
        <v>12323</v>
      </c>
      <c r="N3155" s="7" t="str">
        <f>HYPERLINK("C:\Users\alexa\YandexDisk\Книги\Художественная литература\Толстой\Tolstoy_Voyna-i-mir_3_Voyna-i-mir-Tom-3.175746.fb2.mobi","Tolstoy_Voyna-i-mir_3_Voyna-i-mir-Tom-3.175746.fb2.mobi")</f>
        <v>Tolstoy_Voyna-i-mir_3_Voyna-i-mir-Tom-3.175746.fb2.mobi</v>
      </c>
      <c r="O3155" s="5" t="s">
        <v>12349</v>
      </c>
    </row>
    <row r="3156" spans="1:15" ht="234.6" x14ac:dyDescent="0.3">
      <c r="A3156" s="2">
        <v>3155</v>
      </c>
      <c r="B3156" s="3" t="s">
        <v>12350</v>
      </c>
      <c r="C3156" s="3" t="s">
        <v>12319</v>
      </c>
      <c r="D3156" s="3"/>
      <c r="E3156" s="3"/>
      <c r="F3156" s="3" t="s">
        <v>12320</v>
      </c>
      <c r="G3156" s="3" t="s">
        <v>12031</v>
      </c>
      <c r="H3156" s="3" t="s">
        <v>12321</v>
      </c>
      <c r="I3156" s="3" t="s">
        <v>280</v>
      </c>
      <c r="J3156" s="3">
        <v>0.47</v>
      </c>
      <c r="K3156" s="3" t="s">
        <v>21</v>
      </c>
      <c r="L3156" s="3" t="s">
        <v>12351</v>
      </c>
      <c r="M3156" s="3" t="s">
        <v>12323</v>
      </c>
      <c r="N3156" s="6" t="str">
        <f>HYPERLINK("C:\Users\alexa\YandexDisk\Книги\Художественная литература\Толстой\Tolstoy_Voyna-i-mir_4_Voyna-i-mir-Tom-4.175747.fb2.epub","Tolstoy_Voyna-i-mir_4_Voyna-i-mir-Tom-4.175747.fb2.epub")</f>
        <v>Tolstoy_Voyna-i-mir_4_Voyna-i-mir-Tom-4.175747.fb2.epub</v>
      </c>
      <c r="O3156" s="3" t="s">
        <v>12352</v>
      </c>
    </row>
    <row r="3157" spans="1:15" ht="151.80000000000001" x14ac:dyDescent="0.3">
      <c r="A3157" s="4">
        <v>3156</v>
      </c>
      <c r="B3157" s="5" t="s">
        <v>12353</v>
      </c>
      <c r="C3157" s="5" t="s">
        <v>12341</v>
      </c>
      <c r="D3157" s="5"/>
      <c r="E3157" s="5"/>
      <c r="F3157" s="5" t="s">
        <v>12320</v>
      </c>
      <c r="G3157" s="5" t="s">
        <v>12031</v>
      </c>
      <c r="H3157" s="5" t="s">
        <v>12321</v>
      </c>
      <c r="I3157" s="5" t="s">
        <v>6740</v>
      </c>
      <c r="J3157" s="5">
        <v>1.88</v>
      </c>
      <c r="K3157" s="5" t="s">
        <v>21</v>
      </c>
      <c r="L3157" s="5" t="s">
        <v>12354</v>
      </c>
      <c r="M3157" s="5" t="s">
        <v>12323</v>
      </c>
      <c r="N3157" s="7" t="str">
        <f>HYPERLINK("C:\Users\alexa\YandexDisk\Книги\Художественная литература\Толстой\Tolstoy_Voyna-i-mir_4_Voyna-i-mir-Tom-4.175747.fb2.mobi","Tolstoy_Voyna-i-mir_4_Voyna-i-mir-Tom-4.175747.fb2.mobi")</f>
        <v>Tolstoy_Voyna-i-mir_4_Voyna-i-mir-Tom-4.175747.fb2.mobi</v>
      </c>
      <c r="O3157" s="5" t="s">
        <v>12355</v>
      </c>
    </row>
    <row r="3158" spans="1:15" ht="179.4" x14ac:dyDescent="0.3">
      <c r="A3158" s="2">
        <v>3157</v>
      </c>
      <c r="B3158" s="3" t="s">
        <v>12266</v>
      </c>
      <c r="C3158" s="3" t="s">
        <v>12267</v>
      </c>
      <c r="D3158" s="3"/>
      <c r="E3158" s="3"/>
      <c r="F3158" s="3" t="s">
        <v>12232</v>
      </c>
      <c r="G3158" s="3" t="s">
        <v>12031</v>
      </c>
      <c r="H3158" s="3" t="s">
        <v>12233</v>
      </c>
      <c r="I3158" s="3" t="s">
        <v>4473</v>
      </c>
      <c r="J3158" s="3">
        <v>0.33</v>
      </c>
      <c r="K3158" s="3" t="s">
        <v>21</v>
      </c>
      <c r="L3158" s="3" t="s">
        <v>12268</v>
      </c>
      <c r="M3158" s="3" t="s">
        <v>12356</v>
      </c>
      <c r="N3158" s="6" t="str">
        <f>HYPERLINK("C:\Users\alexa\YandexDisk\Книги\Художественная литература\Фантастика\Василий Аксенов - Мой дедушка - памятник.doc","Василий Аксенов - Мой дедушка - памятник.doc")</f>
        <v>Василий Аксенов - Мой дедушка - памятник.doc</v>
      </c>
      <c r="O3158" s="3" t="s">
        <v>12269</v>
      </c>
    </row>
    <row r="3159" spans="1:15" ht="41.4" x14ac:dyDescent="0.3">
      <c r="A3159" s="4">
        <v>3158</v>
      </c>
      <c r="B3159" s="5" t="s">
        <v>12289</v>
      </c>
      <c r="C3159" s="5" t="s">
        <v>12290</v>
      </c>
      <c r="D3159" s="5"/>
      <c r="E3159" s="5"/>
      <c r="F3159" s="5" t="s">
        <v>12232</v>
      </c>
      <c r="G3159" s="5" t="s">
        <v>12031</v>
      </c>
      <c r="H3159" s="5" t="s">
        <v>12233</v>
      </c>
      <c r="I3159" s="5" t="s">
        <v>4473</v>
      </c>
      <c r="J3159" s="5">
        <v>0.12</v>
      </c>
      <c r="K3159" s="5" t="s">
        <v>21</v>
      </c>
      <c r="L3159" s="5" t="s">
        <v>12291</v>
      </c>
      <c r="M3159" s="5" t="s">
        <v>12356</v>
      </c>
      <c r="N3159" s="7" t="str">
        <f>HYPERLINK("C:\Users\alexa\YandexDisk\Книги\Художественная литература\Фантастика\Клиффорд_Саймак_-_Плацдарм.doc","Клиффорд_Саймак_-_Плацдарм.doc")</f>
        <v>Клиффорд_Саймак_-_Плацдарм.doc</v>
      </c>
      <c r="O3159" s="5" t="s">
        <v>12292</v>
      </c>
    </row>
    <row r="3160" spans="1:15" ht="41.4" x14ac:dyDescent="0.3">
      <c r="A3160" s="2">
        <v>3159</v>
      </c>
      <c r="B3160" s="3" t="s">
        <v>12297</v>
      </c>
      <c r="C3160" s="3" t="s">
        <v>12298</v>
      </c>
      <c r="D3160" s="3"/>
      <c r="E3160" s="3"/>
      <c r="F3160" s="3" t="s">
        <v>12232</v>
      </c>
      <c r="G3160" s="3" t="s">
        <v>12031</v>
      </c>
      <c r="H3160" s="3" t="s">
        <v>12233</v>
      </c>
      <c r="I3160" s="3" t="s">
        <v>4473</v>
      </c>
      <c r="J3160" s="3">
        <v>0.32</v>
      </c>
      <c r="K3160" s="3" t="s">
        <v>21</v>
      </c>
      <c r="L3160" s="3" t="s">
        <v>12299</v>
      </c>
      <c r="M3160" s="3" t="s">
        <v>12356</v>
      </c>
      <c r="N3160" s="6" t="str">
        <f>HYPERLINK("C:\Users\alexa\YandexDisk\Книги\Художественная литература\Фантастика\Норберт_Винер_-_Творец_и_робот.doc","Норберт_Винер_-_Творец_и_робот.doc")</f>
        <v>Норберт_Винер_-_Творец_и_робот.doc</v>
      </c>
      <c r="O3160" s="3" t="s">
        <v>1735</v>
      </c>
    </row>
    <row r="3161" spans="1:15" ht="165.6" x14ac:dyDescent="0.3">
      <c r="A3161" s="4">
        <v>3160</v>
      </c>
      <c r="B3161" s="5" t="s">
        <v>12300</v>
      </c>
      <c r="C3161" s="5" t="s">
        <v>12301</v>
      </c>
      <c r="D3161" s="5"/>
      <c r="E3161" s="5"/>
      <c r="F3161" s="5" t="s">
        <v>12232</v>
      </c>
      <c r="G3161" s="5" t="s">
        <v>12031</v>
      </c>
      <c r="H3161" s="5" t="s">
        <v>12233</v>
      </c>
      <c r="I3161" s="5" t="s">
        <v>4473</v>
      </c>
      <c r="J3161" s="5">
        <v>2.04</v>
      </c>
      <c r="K3161" s="5" t="s">
        <v>21</v>
      </c>
      <c r="L3161" s="5" t="s">
        <v>12302</v>
      </c>
      <c r="M3161" s="5" t="s">
        <v>12356</v>
      </c>
      <c r="N3161" s="7" t="str">
        <f>HYPERLINK("C:\Users\alexa\YandexDisk\Книги\Художественная литература\Фантастика\Олег Дивов - Выбраковка.doc","Олег Дивов - Выбраковка.doc")</f>
        <v>Олег Дивов - Выбраковка.doc</v>
      </c>
      <c r="O3161" s="5" t="s">
        <v>12303</v>
      </c>
    </row>
    <row r="3162" spans="1:15" ht="179.4" x14ac:dyDescent="0.3">
      <c r="A3162" s="2">
        <v>3161</v>
      </c>
      <c r="B3162" s="3" t="s">
        <v>12310</v>
      </c>
      <c r="C3162" s="3" t="s">
        <v>12311</v>
      </c>
      <c r="D3162" s="3"/>
      <c r="E3162" s="3"/>
      <c r="F3162" s="3" t="s">
        <v>12232</v>
      </c>
      <c r="G3162" s="3" t="s">
        <v>12031</v>
      </c>
      <c r="H3162" s="3" t="s">
        <v>12233</v>
      </c>
      <c r="I3162" s="3" t="s">
        <v>4473</v>
      </c>
      <c r="J3162" s="3">
        <v>0.91</v>
      </c>
      <c r="K3162" s="3" t="s">
        <v>21</v>
      </c>
      <c r="L3162" s="3" t="s">
        <v>12312</v>
      </c>
      <c r="M3162" s="3" t="s">
        <v>12356</v>
      </c>
      <c r="N3162" s="6" t="str">
        <f>HYPERLINK("C:\Users\alexa\YandexDisk\Книги\Художественная литература\Фантастика\Хаксли_-_О дивный новый мир.doc","Хаксли_-_О дивный новый мир.doc")</f>
        <v>Хаксли_-_О дивный новый мир.doc</v>
      </c>
      <c r="O3162" s="3" t="s">
        <v>12313</v>
      </c>
    </row>
    <row r="3163" spans="1:15" ht="41.4" x14ac:dyDescent="0.3">
      <c r="A3163" s="4">
        <v>3162</v>
      </c>
      <c r="B3163" s="5" t="s">
        <v>12357</v>
      </c>
      <c r="C3163" s="5" t="s">
        <v>12358</v>
      </c>
      <c r="D3163" s="5"/>
      <c r="E3163" s="5"/>
      <c r="F3163" s="5" t="s">
        <v>12359</v>
      </c>
      <c r="G3163" s="5" t="s">
        <v>12031</v>
      </c>
      <c r="H3163" s="5" t="s">
        <v>12358</v>
      </c>
      <c r="I3163" s="5" t="s">
        <v>6740</v>
      </c>
      <c r="J3163" s="5">
        <v>1.46</v>
      </c>
      <c r="K3163" s="5" t="s">
        <v>21</v>
      </c>
      <c r="L3163" s="5" t="s">
        <v>12360</v>
      </c>
      <c r="M3163" s="5" t="s">
        <v>12361</v>
      </c>
      <c r="N3163" s="7" t="str">
        <f>HYPERLINK("C:\Users\alexa\YandexDisk\Книги\Художественная литература\Хансен\Hansen_Cvet-boli-belyy.348806.fb2.mobi","Hansen_Cvet-boli-belyy.348806.fb2.mobi")</f>
        <v>Hansen_Cvet-boli-belyy.348806.fb2.mobi</v>
      </c>
      <c r="O3163" s="5" t="s">
        <v>12362</v>
      </c>
    </row>
    <row r="3164" spans="1:15" ht="193.2" x14ac:dyDescent="0.3">
      <c r="A3164" s="2">
        <v>3163</v>
      </c>
      <c r="B3164" s="3" t="s">
        <v>12363</v>
      </c>
      <c r="C3164" s="3" t="s">
        <v>12145</v>
      </c>
      <c r="D3164" s="3"/>
      <c r="E3164" s="3"/>
      <c r="F3164" s="3" t="s">
        <v>12359</v>
      </c>
      <c r="G3164" s="3" t="s">
        <v>12031</v>
      </c>
      <c r="H3164" s="3" t="s">
        <v>12358</v>
      </c>
      <c r="I3164" s="3" t="s">
        <v>280</v>
      </c>
      <c r="J3164" s="3">
        <v>0.47</v>
      </c>
      <c r="K3164" s="3" t="s">
        <v>21</v>
      </c>
      <c r="L3164" s="3" t="s">
        <v>12364</v>
      </c>
      <c r="M3164" s="3" t="s">
        <v>12361</v>
      </c>
      <c r="N3164" s="6" t="str">
        <f>HYPERLINK("C:\Users\alexa\YandexDisk\Книги\Художественная литература\Хансен\Hansen_Cvet-boli-chernyy.334096.fb2.epub","Hansen_Cvet-boli-chernyy.334096.fb2.epub")</f>
        <v>Hansen_Cvet-boli-chernyy.334096.fb2.epub</v>
      </c>
      <c r="O3164" s="3" t="s">
        <v>12365</v>
      </c>
    </row>
    <row r="3165" spans="1:15" ht="41.4" x14ac:dyDescent="0.3">
      <c r="A3165" s="4">
        <v>3164</v>
      </c>
      <c r="B3165" s="5" t="s">
        <v>12366</v>
      </c>
      <c r="C3165" s="5" t="s">
        <v>12358</v>
      </c>
      <c r="D3165" s="5"/>
      <c r="E3165" s="5"/>
      <c r="F3165" s="5" t="s">
        <v>12359</v>
      </c>
      <c r="G3165" s="5" t="s">
        <v>12031</v>
      </c>
      <c r="H3165" s="5" t="s">
        <v>12358</v>
      </c>
      <c r="I3165" s="5" t="s">
        <v>6740</v>
      </c>
      <c r="J3165" s="5">
        <v>1.82</v>
      </c>
      <c r="K3165" s="5" t="s">
        <v>21</v>
      </c>
      <c r="L3165" s="5" t="s">
        <v>12367</v>
      </c>
      <c r="M3165" s="5" t="s">
        <v>12361</v>
      </c>
      <c r="N3165" s="7" t="str">
        <f>HYPERLINK("C:\Users\alexa\YandexDisk\Книги\Художественная литература\Хансен\Hansen_Cvet-boli-chernyy.334096.fb2.mobi","Hansen_Cvet-boli-chernyy.334096.fb2.mobi")</f>
        <v>Hansen_Cvet-boli-chernyy.334096.fb2.mobi</v>
      </c>
      <c r="O3165" s="5" t="s">
        <v>12362</v>
      </c>
    </row>
    <row r="3166" spans="1:15" ht="207" x14ac:dyDescent="0.3">
      <c r="A3166" s="2">
        <v>3165</v>
      </c>
      <c r="B3166" s="3" t="s">
        <v>12368</v>
      </c>
      <c r="C3166" s="3" t="s">
        <v>12145</v>
      </c>
      <c r="D3166" s="3"/>
      <c r="E3166" s="3"/>
      <c r="F3166" s="3" t="s">
        <v>12359</v>
      </c>
      <c r="G3166" s="3" t="s">
        <v>12031</v>
      </c>
      <c r="H3166" s="3" t="s">
        <v>12358</v>
      </c>
      <c r="I3166" s="3" t="s">
        <v>280</v>
      </c>
      <c r="J3166" s="3">
        <v>0.54</v>
      </c>
      <c r="K3166" s="3" t="s">
        <v>21</v>
      </c>
      <c r="L3166" s="3" t="s">
        <v>12369</v>
      </c>
      <c r="M3166" s="3" t="s">
        <v>12361</v>
      </c>
      <c r="N3166" s="6" t="str">
        <f>HYPERLINK("C:\Users\alexa\YandexDisk\Книги\Художественная литература\Хансен\Hansen_Cvet-boli-Krasnyy.323665.fb2.epub","Hansen_Cvet-boli-Krasnyy.323665.fb2.epub")</f>
        <v>Hansen_Cvet-boli-Krasnyy.323665.fb2.epub</v>
      </c>
      <c r="O3166" s="3" t="s">
        <v>12370</v>
      </c>
    </row>
    <row r="3167" spans="1:15" ht="41.4" x14ac:dyDescent="0.3">
      <c r="A3167" s="4">
        <v>3166</v>
      </c>
      <c r="B3167" s="5" t="s">
        <v>12371</v>
      </c>
      <c r="C3167" s="5" t="s">
        <v>12358</v>
      </c>
      <c r="D3167" s="5"/>
      <c r="E3167" s="5"/>
      <c r="F3167" s="5" t="s">
        <v>12359</v>
      </c>
      <c r="G3167" s="5" t="s">
        <v>12031</v>
      </c>
      <c r="H3167" s="5" t="s">
        <v>12358</v>
      </c>
      <c r="I3167" s="5" t="s">
        <v>6740</v>
      </c>
      <c r="J3167" s="5">
        <v>2.2200000000000002</v>
      </c>
      <c r="K3167" s="5" t="s">
        <v>21</v>
      </c>
      <c r="L3167" s="5" t="s">
        <v>12372</v>
      </c>
      <c r="M3167" s="5" t="s">
        <v>12361</v>
      </c>
      <c r="N3167" s="7" t="str">
        <f>HYPERLINK("C:\Users\alexa\YandexDisk\Книги\Художественная литература\Хансен\Hansen_Cvet-boli-Krasnyy.323665.fb2.mobi","Hansen_Cvet-boli-Krasnyy.323665.fb2.mobi")</f>
        <v>Hansen_Cvet-boli-Krasnyy.323665.fb2.mobi</v>
      </c>
      <c r="O3167" s="5" t="s">
        <v>12362</v>
      </c>
    </row>
    <row r="3168" spans="1:15" ht="110.4" x14ac:dyDescent="0.3">
      <c r="A3168" s="2">
        <v>3167</v>
      </c>
      <c r="B3168" s="3" t="s">
        <v>12373</v>
      </c>
      <c r="C3168" s="3" t="s">
        <v>12374</v>
      </c>
      <c r="D3168" s="3"/>
      <c r="E3168" s="3"/>
      <c r="F3168" s="3" t="s">
        <v>12375</v>
      </c>
      <c r="G3168" s="3" t="s">
        <v>12031</v>
      </c>
      <c r="H3168" s="3" t="s">
        <v>12374</v>
      </c>
      <c r="I3168" s="3" t="s">
        <v>4473</v>
      </c>
      <c r="J3168" s="3">
        <v>0.33</v>
      </c>
      <c r="K3168" s="3" t="s">
        <v>21</v>
      </c>
      <c r="L3168" s="3" t="s">
        <v>12376</v>
      </c>
      <c r="M3168" s="3" t="s">
        <v>12377</v>
      </c>
      <c r="N3168" s="6" t="str">
        <f>HYPERLINK("C:\Users\alexa\YandexDisk\Книги\Художественная литература\Цицерон\Ciceron-orator.doc","Ciceron-orator.doc")</f>
        <v>Ciceron-orator.doc</v>
      </c>
      <c r="O3168" s="3" t="s">
        <v>12378</v>
      </c>
    </row>
    <row r="3169" spans="1:15" ht="138" x14ac:dyDescent="0.3">
      <c r="A3169" s="4">
        <v>3168</v>
      </c>
      <c r="B3169" s="5" t="s">
        <v>12379</v>
      </c>
      <c r="C3169" s="5"/>
      <c r="D3169" s="5"/>
      <c r="E3169" s="5"/>
      <c r="F3169" s="5" t="s">
        <v>12375</v>
      </c>
      <c r="G3169" s="5" t="s">
        <v>12031</v>
      </c>
      <c r="H3169" s="5" t="s">
        <v>12374</v>
      </c>
      <c r="I3169" s="5" t="s">
        <v>4473</v>
      </c>
      <c r="J3169" s="5">
        <v>0.31</v>
      </c>
      <c r="K3169" s="5" t="s">
        <v>21</v>
      </c>
      <c r="L3169" s="5" t="s">
        <v>12379</v>
      </c>
      <c r="M3169" s="5" t="s">
        <v>12377</v>
      </c>
      <c r="N3169" s="7" t="str">
        <f>HYPERLINK("C:\Users\alexa\YandexDisk\Книги\Художественная литература\Цицерон\ciceronoboratore.doc","ciceronoboratore.doc")</f>
        <v>ciceronoboratore.doc</v>
      </c>
      <c r="O3169" s="5" t="s">
        <v>12380</v>
      </c>
    </row>
    <row r="3170" spans="1:15" ht="151.80000000000001" x14ac:dyDescent="0.3">
      <c r="A3170" s="2">
        <v>3169</v>
      </c>
      <c r="B3170" s="3" t="s">
        <v>12381</v>
      </c>
      <c r="C3170" s="3" t="s">
        <v>12374</v>
      </c>
      <c r="D3170" s="3"/>
      <c r="E3170" s="3"/>
      <c r="F3170" s="3" t="s">
        <v>12375</v>
      </c>
      <c r="G3170" s="3" t="s">
        <v>12031</v>
      </c>
      <c r="H3170" s="3" t="s">
        <v>12374</v>
      </c>
      <c r="I3170" s="3" t="s">
        <v>4473</v>
      </c>
      <c r="J3170" s="3">
        <v>0.46</v>
      </c>
      <c r="K3170" s="3" t="s">
        <v>21</v>
      </c>
      <c r="L3170" s="3" t="s">
        <v>12381</v>
      </c>
      <c r="M3170" s="3" t="s">
        <v>12377</v>
      </c>
      <c r="N3170" s="6" t="str">
        <f>HYPERLINK("C:\Users\alexa\YandexDisk\Книги\Художественная литература\Цицерон\ciceronoboratoreII.doc","ciceronoboratoreII.doc")</f>
        <v>ciceronoboratoreII.doc</v>
      </c>
      <c r="O3170" s="3" t="s">
        <v>12382</v>
      </c>
    </row>
    <row r="3171" spans="1:15" ht="220.8" x14ac:dyDescent="0.3">
      <c r="A3171" s="4">
        <v>3170</v>
      </c>
      <c r="B3171" s="5" t="s">
        <v>12383</v>
      </c>
      <c r="C3171" s="5" t="s">
        <v>12384</v>
      </c>
      <c r="D3171" s="5"/>
      <c r="E3171" s="5"/>
      <c r="F3171" s="5" t="s">
        <v>12385</v>
      </c>
      <c r="G3171" s="5" t="s">
        <v>12386</v>
      </c>
      <c r="H3171" s="5" t="s">
        <v>12387</v>
      </c>
      <c r="I3171" s="5" t="s">
        <v>20</v>
      </c>
      <c r="J3171" s="5">
        <v>2.71</v>
      </c>
      <c r="K3171" s="5" t="s">
        <v>21</v>
      </c>
      <c r="L3171" s="5" t="s">
        <v>12388</v>
      </c>
      <c r="M3171" s="5" t="s">
        <v>12389</v>
      </c>
      <c r="N3171" s="7" t="str">
        <f>HYPERLINK("C:\Users\alexa\YandexDisk\Книги\Экономика\Макроэкономика\Vikinomika. Kak massovoie sotru - Don Tapskott.pdf","Vikinomika. Kak massovoie sotru - Don Tapskott.pdf")</f>
        <v>Vikinomika. Kak massovoie sotru - Don Tapskott.pdf</v>
      </c>
      <c r="O3171" s="5" t="s">
        <v>12390</v>
      </c>
    </row>
    <row r="3172" spans="1:15" ht="179.4" x14ac:dyDescent="0.3">
      <c r="A3172" s="2">
        <v>3171</v>
      </c>
      <c r="B3172" s="3" t="s">
        <v>12391</v>
      </c>
      <c r="C3172" s="3"/>
      <c r="D3172" s="3" t="s">
        <v>32</v>
      </c>
      <c r="E3172" s="3" t="s">
        <v>12392</v>
      </c>
      <c r="F3172" s="3" t="s">
        <v>12385</v>
      </c>
      <c r="G3172" s="3" t="s">
        <v>12386</v>
      </c>
      <c r="H3172" s="3" t="s">
        <v>12387</v>
      </c>
      <c r="I3172" s="3" t="s">
        <v>20</v>
      </c>
      <c r="J3172" s="3">
        <v>3.95</v>
      </c>
      <c r="K3172" s="3" t="s">
        <v>21</v>
      </c>
      <c r="L3172" s="3" t="s">
        <v>12393</v>
      </c>
      <c r="M3172" s="3" t="s">
        <v>12389</v>
      </c>
      <c r="N3172" s="6" t="str">
        <f>HYPERLINK("C:\Users\alexa\YandexDisk\Книги\Экономика\Макроэкономика\_PWC_macroeconomic-impact-of-ai-technical-report-feb-18.pdf","_PWC_macroeconomic-impact-of-ai-technical-report-feb-18.pdf")</f>
        <v>_PWC_macroeconomic-impact-of-ai-technical-report-feb-18.pdf</v>
      </c>
      <c r="O3172" s="3" t="s">
        <v>12394</v>
      </c>
    </row>
    <row r="3173" spans="1:15" ht="207" x14ac:dyDescent="0.3">
      <c r="A3173" s="4">
        <v>3172</v>
      </c>
      <c r="B3173" s="5" t="s">
        <v>12395</v>
      </c>
      <c r="C3173" s="5" t="s">
        <v>12396</v>
      </c>
      <c r="D3173" s="5" t="s">
        <v>12397</v>
      </c>
      <c r="E3173" s="5" t="s">
        <v>12398</v>
      </c>
      <c r="F3173" s="5" t="s">
        <v>12385</v>
      </c>
      <c r="G3173" s="5" t="s">
        <v>12386</v>
      </c>
      <c r="H3173" s="5" t="s">
        <v>12387</v>
      </c>
      <c r="I3173" s="5" t="s">
        <v>20</v>
      </c>
      <c r="J3173" s="5">
        <v>17.350000000000001</v>
      </c>
      <c r="K3173" s="5" t="s">
        <v>21</v>
      </c>
      <c r="L3173" s="5" t="s">
        <v>12399</v>
      </c>
      <c r="M3173" s="5" t="s">
        <v>12389</v>
      </c>
      <c r="N3173" s="7" t="str">
        <f>HYPERLINK("C:\Users\alexa\YandexDisk\Книги\Экономика\Макроэкономика\Изобразительная_статистика_и_венский_метод_1.pdf","Изобразительная_статистика_и_венский_метод_1.pdf")</f>
        <v>Изобразительная_статистика_и_венский_метод_1.pdf</v>
      </c>
      <c r="O3173" s="5" t="s">
        <v>12400</v>
      </c>
    </row>
    <row r="3174" spans="1:15" ht="179.4" x14ac:dyDescent="0.3">
      <c r="A3174" s="2">
        <v>3173</v>
      </c>
      <c r="B3174" s="3" t="s">
        <v>12401</v>
      </c>
      <c r="C3174" s="3" t="s">
        <v>12402</v>
      </c>
      <c r="D3174" s="3"/>
      <c r="E3174" s="3"/>
      <c r="F3174" s="3" t="s">
        <v>12385</v>
      </c>
      <c r="G3174" s="3" t="s">
        <v>12386</v>
      </c>
      <c r="H3174" s="3" t="s">
        <v>12387</v>
      </c>
      <c r="I3174" s="3" t="s">
        <v>20</v>
      </c>
      <c r="J3174" s="3">
        <v>13.9</v>
      </c>
      <c r="K3174" s="3" t="s">
        <v>21</v>
      </c>
      <c r="L3174" s="3" t="s">
        <v>12403</v>
      </c>
      <c r="M3174" s="3" t="s">
        <v>12389</v>
      </c>
      <c r="N3174" s="6" t="str">
        <f>HYPERLINK("C:\Users\alexa\YandexDisk\Книги\Экономика\Макроэкономика\Капитал_Маркса_в_комиксах_Критика_политической_экономии_ДэвидСмит.pdf","Капитал_Маркса_в_комиксах_Критика_политической_экономии_ДэвидСмит.pdf")</f>
        <v>Капитал_Маркса_в_комиксах_Критика_политической_экономии_ДэвидСмит.pdf</v>
      </c>
      <c r="O3174" s="3" t="s">
        <v>12404</v>
      </c>
    </row>
    <row r="3175" spans="1:15" ht="193.2" x14ac:dyDescent="0.3">
      <c r="A3175" s="4">
        <v>3174</v>
      </c>
      <c r="B3175" s="5" t="s">
        <v>12405</v>
      </c>
      <c r="C3175" s="5" t="s">
        <v>7430</v>
      </c>
      <c r="D3175" s="5" t="s">
        <v>71</v>
      </c>
      <c r="E3175" s="5" t="s">
        <v>303</v>
      </c>
      <c r="F3175" s="5" t="s">
        <v>12385</v>
      </c>
      <c r="G3175" s="5" t="s">
        <v>12386</v>
      </c>
      <c r="H3175" s="5" t="s">
        <v>12387</v>
      </c>
      <c r="I3175" s="5" t="s">
        <v>20</v>
      </c>
      <c r="J3175" s="5">
        <v>10.74</v>
      </c>
      <c r="K3175" s="5" t="s">
        <v>21</v>
      </c>
      <c r="L3175" s="5" t="s">
        <v>12406</v>
      </c>
      <c r="M3175" s="5" t="s">
        <v>12389</v>
      </c>
      <c r="N3175" s="7" t="str">
        <f>HYPERLINK("C:\Users\alexa\YandexDisk\Книги\Экономика\Макроэкономика\Рэй Далио-Принципы изменения мирового порядка.pdf","Рэй Далио-Принципы изменения мирового порядка.pdf")</f>
        <v>Рэй Далио-Принципы изменения мирового порядка.pdf</v>
      </c>
      <c r="O3175" s="5" t="s">
        <v>12407</v>
      </c>
    </row>
    <row r="3176" spans="1:15" ht="331.2" x14ac:dyDescent="0.3">
      <c r="A3176" s="2">
        <v>3175</v>
      </c>
      <c r="B3176" s="3" t="s">
        <v>12408</v>
      </c>
      <c r="C3176" s="3" t="s">
        <v>12409</v>
      </c>
      <c r="D3176" s="3" t="s">
        <v>17</v>
      </c>
      <c r="E3176" s="3" t="s">
        <v>12410</v>
      </c>
      <c r="F3176" s="3" t="s">
        <v>12385</v>
      </c>
      <c r="G3176" s="3" t="s">
        <v>12386</v>
      </c>
      <c r="H3176" s="3" t="s">
        <v>12387</v>
      </c>
      <c r="I3176" s="3" t="s">
        <v>20</v>
      </c>
      <c r="J3176" s="3">
        <v>12.46</v>
      </c>
      <c r="K3176" s="3" t="s">
        <v>21</v>
      </c>
      <c r="L3176" s="3" t="s">
        <v>12411</v>
      </c>
      <c r="M3176" s="3" t="s">
        <v>12389</v>
      </c>
      <c r="N3176" s="6" t="str">
        <f>HYPERLINK("C:\Users\alexa\YandexDisk\Книги\Экономика\Макроэкономика\Цифровая трансформация - ВШЭ-Полный текст доклада.pdf","Цифровая трансформация - ВШЭ-Полный текст доклада.pdf")</f>
        <v>Цифровая трансформация - ВШЭ-Полный текст доклада.pdf</v>
      </c>
      <c r="O3176" s="3" t="s">
        <v>12412</v>
      </c>
    </row>
    <row r="3177" spans="1:15" ht="248.4" x14ac:dyDescent="0.3">
      <c r="A3177" s="4">
        <v>3176</v>
      </c>
      <c r="B3177" s="5" t="s">
        <v>12413</v>
      </c>
      <c r="C3177" s="5" t="s">
        <v>12414</v>
      </c>
      <c r="D3177" s="5" t="s">
        <v>17</v>
      </c>
      <c r="E3177" s="5" t="s">
        <v>303</v>
      </c>
      <c r="F3177" s="5" t="s">
        <v>12415</v>
      </c>
      <c r="G3177" s="5" t="s">
        <v>12386</v>
      </c>
      <c r="H3177" s="5" t="s">
        <v>12416</v>
      </c>
      <c r="I3177" s="5" t="s">
        <v>20</v>
      </c>
      <c r="J3177" s="5">
        <v>36.03</v>
      </c>
      <c r="K3177" s="5" t="s">
        <v>21</v>
      </c>
      <c r="L3177" s="5" t="s">
        <v>12417</v>
      </c>
      <c r="M3177" s="5" t="s">
        <v>12418</v>
      </c>
      <c r="N3177" s="7" t="str">
        <f>HYPERLINK("C:\Users\alexa\YandexDisk\Книги\Экономика\Микроэкономика\umnye-resheniya-book.pdf","umnye-resheniya-book.pdf")</f>
        <v>umnye-resheniya-book.pdf</v>
      </c>
      <c r="O3177" s="5" t="s">
        <v>12419</v>
      </c>
    </row>
    <row r="3178" spans="1:15" ht="193.2" x14ac:dyDescent="0.3">
      <c r="A3178" s="2">
        <v>3177</v>
      </c>
      <c r="B3178" s="3" t="s">
        <v>12420</v>
      </c>
      <c r="C3178" s="3"/>
      <c r="D3178" s="3"/>
      <c r="E3178" s="3"/>
      <c r="F3178" s="3" t="s">
        <v>12415</v>
      </c>
      <c r="G3178" s="3" t="s">
        <v>12386</v>
      </c>
      <c r="H3178" s="3" t="s">
        <v>12416</v>
      </c>
      <c r="I3178" s="3" t="s">
        <v>20</v>
      </c>
      <c r="J3178" s="3">
        <v>30.7</v>
      </c>
      <c r="K3178" s="3" t="s">
        <v>21</v>
      </c>
      <c r="L3178" s="3" t="s">
        <v>12421</v>
      </c>
      <c r="M3178" s="3" t="s">
        <v>12418</v>
      </c>
      <c r="N3178" s="6" t="str">
        <f>HYPERLINK("C:\Users\alexa\YandexDisk\Книги\Экономика\Микроэкономика\Финансовые_рынки_Нейронные_сети,_хаос_и_нелинейная_динамика_PDFDrive.pdf","Финансовые_рынки_Нейронные_сети,_хаос_и_нелинейная_динамика_PDFDrive.pdf")</f>
        <v>Финансовые_рынки_Нейронные_сети,_хаос_и_нелинейная_динамика_PDFDrive.pdf</v>
      </c>
      <c r="O3178" s="3" t="s">
        <v>12422</v>
      </c>
    </row>
    <row r="3179" spans="1:15" ht="179.4" x14ac:dyDescent="0.3">
      <c r="A3179" s="4">
        <v>3178</v>
      </c>
      <c r="B3179" s="5" t="s">
        <v>12423</v>
      </c>
      <c r="C3179" s="5" t="s">
        <v>12424</v>
      </c>
      <c r="D3179" s="5"/>
      <c r="E3179" s="5"/>
      <c r="F3179" s="5" t="s">
        <v>12425</v>
      </c>
      <c r="G3179" s="5" t="s">
        <v>12386</v>
      </c>
      <c r="H3179" s="5" t="s">
        <v>199</v>
      </c>
      <c r="I3179" s="5" t="s">
        <v>280</v>
      </c>
      <c r="J3179" s="5">
        <v>0.8</v>
      </c>
      <c r="K3179" s="5" t="s">
        <v>21</v>
      </c>
      <c r="L3179" s="5" t="s">
        <v>12426</v>
      </c>
      <c r="M3179" s="5" t="s">
        <v>12427</v>
      </c>
      <c r="N3179" s="7" t="str">
        <f>HYPERLINK("C:\Users\alexa\YandexDisk\Книги\Экономика\Общие вопросы\Ekonomist pod prikrytiiem - Tim Kharford.epub","Ekonomist pod prikrytiiem - Tim Kharford.epub")</f>
        <v>Ekonomist pod prikrytiiem - Tim Kharford.epub</v>
      </c>
      <c r="O3179" s="5" t="s">
        <v>12428</v>
      </c>
    </row>
    <row r="3180" spans="1:15" ht="193.2" x14ac:dyDescent="0.3">
      <c r="A3180" s="2">
        <v>3179</v>
      </c>
      <c r="B3180" s="3" t="s">
        <v>12423</v>
      </c>
      <c r="C3180" s="3" t="s">
        <v>12424</v>
      </c>
      <c r="D3180" s="3"/>
      <c r="E3180" s="3"/>
      <c r="F3180" s="3" t="s">
        <v>12425</v>
      </c>
      <c r="G3180" s="3" t="s">
        <v>12386</v>
      </c>
      <c r="H3180" s="3" t="s">
        <v>199</v>
      </c>
      <c r="I3180" s="3" t="s">
        <v>20</v>
      </c>
      <c r="J3180" s="3">
        <v>2.0499999999999998</v>
      </c>
      <c r="K3180" s="3" t="s">
        <v>21</v>
      </c>
      <c r="L3180" s="3" t="s">
        <v>12429</v>
      </c>
      <c r="M3180" s="3" t="s">
        <v>12427</v>
      </c>
      <c r="N3180" s="6" t="str">
        <f>HYPERLINK("C:\Users\alexa\YandexDisk\Книги\Экономика\Общие вопросы\Ekonomist pod prikrytiiem - Tim Kharford.pdf","Ekonomist pod prikrytiiem - Tim Kharford.pdf")</f>
        <v>Ekonomist pod prikrytiiem - Tim Kharford.pdf</v>
      </c>
      <c r="O3180" s="3" t="s">
        <v>12430</v>
      </c>
    </row>
    <row r="3181" spans="1:15" ht="276" x14ac:dyDescent="0.3">
      <c r="A3181" s="4">
        <v>3180</v>
      </c>
      <c r="B3181" s="5" t="s">
        <v>12383</v>
      </c>
      <c r="C3181" s="5" t="s">
        <v>12384</v>
      </c>
      <c r="D3181" s="5"/>
      <c r="E3181" s="5"/>
      <c r="F3181" s="5" t="s">
        <v>12425</v>
      </c>
      <c r="G3181" s="5" t="s">
        <v>12386</v>
      </c>
      <c r="H3181" s="5" t="s">
        <v>199</v>
      </c>
      <c r="I3181" s="5" t="s">
        <v>280</v>
      </c>
      <c r="J3181" s="5">
        <v>0.79</v>
      </c>
      <c r="K3181" s="5" t="s">
        <v>21</v>
      </c>
      <c r="L3181" s="5" t="s">
        <v>12431</v>
      </c>
      <c r="M3181" s="5" t="s">
        <v>12427</v>
      </c>
      <c r="N3181" s="7" t="str">
        <f>HYPERLINK("C:\Users\alexa\YandexDisk\Книги\Экономика\Общие вопросы\Vikinomika. Kak massovoie sotru - Don Tapskott.epub","Vikinomika. Kak massovoie sotru - Don Tapskott.epub")</f>
        <v>Vikinomika. Kak massovoie sotru - Don Tapskott.epub</v>
      </c>
      <c r="O3181" s="5" t="s">
        <v>12432</v>
      </c>
    </row>
  </sheetData>
  <autoFilter ref="A1:O3181"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Каталог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Александр Андреев</cp:lastModifiedBy>
  <dcterms:created xsi:type="dcterms:W3CDTF">2026-05-13T13:39:15Z</dcterms:created>
  <dcterms:modified xsi:type="dcterms:W3CDTF">2026-05-13T13:41:47Z</dcterms:modified>
</cp:coreProperties>
</file>