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FRJ\ArqComp\EEL580_Arq_Comp_DGEMM\"/>
    </mc:Choice>
  </mc:AlternateContent>
  <xr:revisionPtr revIDLastSave="0" documentId="13_ncr:1_{4929150F-60C7-494C-9573-E87251BD7D24}" xr6:coauthVersionLast="47" xr6:coauthVersionMax="47" xr10:uidLastSave="{00000000-0000-0000-0000-000000000000}"/>
  <bookViews>
    <workbookView xWindow="-108" yWindow="-108" windowWidth="23256" windowHeight="12456" activeTab="6" xr2:uid="{7E55C500-F38A-4AFD-AD85-C7A4B6CA1215}"/>
  </bookViews>
  <sheets>
    <sheet name="GCC" sheetId="5" r:id="rId1"/>
    <sheet name="AVX" sheetId="6" r:id="rId2"/>
    <sheet name="ILP" sheetId="3" r:id="rId3"/>
    <sheet name="CB" sheetId="4" r:id="rId4"/>
    <sheet name="Fortran" sheetId="7" r:id="rId5"/>
    <sheet name="Python" sheetId="8" r:id="rId6"/>
    <sheet name="Nump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  <c r="J10" i="9"/>
  <c r="K10" i="9"/>
  <c r="L10" i="9"/>
  <c r="H10" i="9"/>
  <c r="I8" i="9"/>
  <c r="J8" i="9"/>
  <c r="K8" i="9"/>
  <c r="L8" i="9"/>
  <c r="H8" i="9"/>
  <c r="I4" i="8"/>
  <c r="J4" i="8"/>
  <c r="K4" i="8"/>
  <c r="H4" i="8"/>
  <c r="L4" i="3"/>
  <c r="L5" i="3"/>
  <c r="L6" i="3" s="1"/>
  <c r="I9" i="8"/>
  <c r="J9" i="8"/>
  <c r="K9" i="8"/>
  <c r="H9" i="8"/>
  <c r="F13" i="9"/>
  <c r="L9" i="9" s="1"/>
  <c r="E13" i="9"/>
  <c r="K4" i="9" s="1"/>
  <c r="D13" i="9"/>
  <c r="J9" i="9" s="1"/>
  <c r="C13" i="9"/>
  <c r="I9" i="9" s="1"/>
  <c r="B13" i="9"/>
  <c r="H9" i="9" s="1"/>
  <c r="E13" i="8"/>
  <c r="K3" i="9" s="1"/>
  <c r="K5" i="9" s="1"/>
  <c r="D13" i="8"/>
  <c r="J3" i="8" s="1"/>
  <c r="J5" i="8" s="1"/>
  <c r="C13" i="8"/>
  <c r="I3" i="8" s="1"/>
  <c r="I5" i="8" s="1"/>
  <c r="B13" i="8"/>
  <c r="H3" i="8" s="1"/>
  <c r="I9" i="7"/>
  <c r="J9" i="7"/>
  <c r="K9" i="7"/>
  <c r="K10" i="7" s="1"/>
  <c r="H9" i="7"/>
  <c r="L8" i="7"/>
  <c r="K8" i="7"/>
  <c r="J8" i="7"/>
  <c r="I8" i="7"/>
  <c r="H8" i="7"/>
  <c r="I3" i="7"/>
  <c r="I5" i="7" s="1"/>
  <c r="J3" i="7"/>
  <c r="K3" i="7"/>
  <c r="K5" i="7" s="1"/>
  <c r="L3" i="7"/>
  <c r="L5" i="7" s="1"/>
  <c r="H3" i="7"/>
  <c r="H5" i="7" s="1"/>
  <c r="J5" i="7"/>
  <c r="L4" i="7"/>
  <c r="K4" i="7"/>
  <c r="J4" i="7"/>
  <c r="I4" i="7"/>
  <c r="H4" i="7"/>
  <c r="F13" i="7"/>
  <c r="E13" i="7"/>
  <c r="D13" i="7"/>
  <c r="C13" i="7"/>
  <c r="B13" i="7"/>
  <c r="I9" i="4"/>
  <c r="I11" i="4" s="1"/>
  <c r="J9" i="4"/>
  <c r="J11" i="4" s="1"/>
  <c r="K9" i="4"/>
  <c r="L9" i="4"/>
  <c r="H9" i="4"/>
  <c r="K11" i="4"/>
  <c r="L10" i="4"/>
  <c r="K10" i="4"/>
  <c r="J10" i="4"/>
  <c r="I10" i="4"/>
  <c r="H10" i="4"/>
  <c r="L11" i="4"/>
  <c r="L7" i="6"/>
  <c r="H9" i="6"/>
  <c r="I4" i="4"/>
  <c r="I6" i="4" s="1"/>
  <c r="J4" i="4"/>
  <c r="J6" i="4" s="1"/>
  <c r="K4" i="4"/>
  <c r="K6" i="4" s="1"/>
  <c r="L4" i="4"/>
  <c r="L6" i="4" s="1"/>
  <c r="H4" i="4"/>
  <c r="H6" i="4" s="1"/>
  <c r="I5" i="4"/>
  <c r="J5" i="4"/>
  <c r="K5" i="4"/>
  <c r="L5" i="4"/>
  <c r="H5" i="4"/>
  <c r="F13" i="4"/>
  <c r="E13" i="4"/>
  <c r="D13" i="4"/>
  <c r="C13" i="4"/>
  <c r="B13" i="4"/>
  <c r="H4" i="3"/>
  <c r="K4" i="3"/>
  <c r="J4" i="3"/>
  <c r="I4" i="3"/>
  <c r="F13" i="3"/>
  <c r="L9" i="7" s="1"/>
  <c r="E13" i="3"/>
  <c r="K5" i="3" s="1"/>
  <c r="K6" i="3" s="1"/>
  <c r="D13" i="3"/>
  <c r="J5" i="3" s="1"/>
  <c r="J6" i="3" s="1"/>
  <c r="C13" i="3"/>
  <c r="I5" i="3" s="1"/>
  <c r="I6" i="3" s="1"/>
  <c r="B13" i="3"/>
  <c r="H5" i="3" s="1"/>
  <c r="H6" i="3" s="1"/>
  <c r="I7" i="6"/>
  <c r="J7" i="6"/>
  <c r="K7" i="6"/>
  <c r="H7" i="6"/>
  <c r="I5" i="6"/>
  <c r="J5" i="6"/>
  <c r="K5" i="6"/>
  <c r="L5" i="6"/>
  <c r="H5" i="6"/>
  <c r="J6" i="6"/>
  <c r="K6" i="6"/>
  <c r="L6" i="6"/>
  <c r="F13" i="6"/>
  <c r="E13" i="6"/>
  <c r="D13" i="6"/>
  <c r="C13" i="6"/>
  <c r="I6" i="6" s="1"/>
  <c r="B13" i="6"/>
  <c r="H6" i="6" s="1"/>
  <c r="X13" i="5"/>
  <c r="W13" i="5"/>
  <c r="V13" i="5"/>
  <c r="U13" i="5"/>
  <c r="T13" i="5"/>
  <c r="R13" i="5"/>
  <c r="Q13" i="5"/>
  <c r="P13" i="5"/>
  <c r="O13" i="5"/>
  <c r="N13" i="5"/>
  <c r="L13" i="5"/>
  <c r="K13" i="5"/>
  <c r="J13" i="5"/>
  <c r="I13" i="5"/>
  <c r="H13" i="5"/>
  <c r="C13" i="5"/>
  <c r="D13" i="5"/>
  <c r="E13" i="5"/>
  <c r="F13" i="5"/>
  <c r="B13" i="5"/>
  <c r="L4" i="9" l="1"/>
  <c r="J4" i="9"/>
  <c r="K9" i="9"/>
  <c r="I4" i="9"/>
  <c r="H4" i="9"/>
  <c r="H3" i="9"/>
  <c r="L3" i="9"/>
  <c r="L5" i="9" s="1"/>
  <c r="H8" i="8"/>
  <c r="H10" i="8" s="1"/>
  <c r="I3" i="9"/>
  <c r="I5" i="9" s="1"/>
  <c r="I8" i="8"/>
  <c r="I10" i="8" s="1"/>
  <c r="J3" i="9"/>
  <c r="J5" i="9" s="1"/>
  <c r="J8" i="8"/>
  <c r="J10" i="8" s="1"/>
  <c r="I10" i="7"/>
  <c r="K8" i="8"/>
  <c r="K10" i="8" s="1"/>
  <c r="K3" i="8"/>
  <c r="K5" i="8" s="1"/>
  <c r="H5" i="8"/>
  <c r="J10" i="7"/>
  <c r="L10" i="7"/>
  <c r="H10" i="7"/>
  <c r="H11" i="4"/>
  <c r="H5" i="9" l="1"/>
</calcChain>
</file>

<file path=xl/sharedStrings.xml><?xml version="1.0" encoding="utf-8"?>
<sst xmlns="http://schemas.openxmlformats.org/spreadsheetml/2006/main" count="97" uniqueCount="5">
  <si>
    <t>256</t>
  </si>
  <si>
    <t>1000</t>
  </si>
  <si>
    <t>2000</t>
  </si>
  <si>
    <t>4000</t>
  </si>
  <si>
    <t>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</si>
</sst>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O0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GCC!$B$2:$F$2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GCC!$B$13:$F$13</c:f>
              <c:numCache>
                <c:formatCode>General</c:formatCode>
                <c:ptCount val="5"/>
                <c:pt idx="0">
                  <c:v>80</c:v>
                </c:pt>
                <c:pt idx="1">
                  <c:v>6478.5</c:v>
                </c:pt>
                <c:pt idx="2">
                  <c:v>86946.8</c:v>
                </c:pt>
                <c:pt idx="3">
                  <c:v>766364.4</c:v>
                </c:pt>
                <c:pt idx="4">
                  <c:v>6701024.7999999998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7-44DA-9EFC-C326B59D15D1}"/>
            </c:ext>
          </c:extLst>
        </c:ser>
        <c:ser>
          <c:idx val="0"/>
          <c:order val="1"/>
          <c:tx>
            <c:v>O1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GCC!$H$13:$L$13</c:f>
              <c:numCache>
                <c:formatCode>General</c:formatCode>
                <c:ptCount val="5"/>
                <c:pt idx="0">
                  <c:v>33.4</c:v>
                </c:pt>
                <c:pt idx="1">
                  <c:v>2620.3000000000002</c:v>
                </c:pt>
                <c:pt idx="2">
                  <c:v>57239.9</c:v>
                </c:pt>
                <c:pt idx="3">
                  <c:v>585086.4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7-44DA-9EFC-C326B59D15D1}"/>
            </c:ext>
          </c:extLst>
        </c:ser>
        <c:ser>
          <c:idx val="2"/>
          <c:order val="2"/>
          <c:tx>
            <c:v>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GCC!$N$13:$R$13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2055.1999999999998</c:v>
                </c:pt>
                <c:pt idx="2">
                  <c:v>54438.5</c:v>
                </c:pt>
                <c:pt idx="3">
                  <c:v>590768.5</c:v>
                </c:pt>
                <c:pt idx="4">
                  <c:v>4740360.2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7-44DA-9EFC-C326B59D15D1}"/>
            </c:ext>
          </c:extLst>
        </c:ser>
        <c:ser>
          <c:idx val="3"/>
          <c:order val="3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7-44DA-9EFC-C326B59D1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AVX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O3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C9-4BAE-A816-623EDEB55FBA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C9-4BAE-A816-623EDEB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ILP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8-4928-B1AA-A8B802E46920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8-4928-B1AA-A8B802E46920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8-4928-B1AA-A8B802E4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com cache</a:t>
            </a:r>
            <a:r>
              <a:rPr lang="pt-BR" baseline="0"/>
              <a:t> blocking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5-4E04-BFFE-808860C7E758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5-4E04-BFFE-808860C7E758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5-4E04-BFFE-808860C7E758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5-4E04-BFFE-808860C7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DGEMM x</a:t>
            </a:r>
            <a:r>
              <a:rPr lang="pt-BR" baseline="0"/>
              <a:t> Fortran</a:t>
            </a:r>
            <a:r>
              <a:rPr lang="pt-BR"/>
              <a:t>(matmul)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GCC!$T$13:$X$13</c:f>
              <c:numCache>
                <c:formatCode>General</c:formatCode>
                <c:ptCount val="5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  <c:pt idx="4">
                  <c:v>4587716.5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0-41A8-8A7F-3097C372E337}"/>
            </c:ext>
          </c:extLst>
        </c:ser>
        <c:ser>
          <c:idx val="0"/>
          <c:order val="1"/>
          <c:tx>
            <c:v>AVX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AVX!$B$2:$F$2</c:f>
              <c:strCache>
                <c:ptCount val="5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</c:strCache>
            </c:strRef>
          </c:cat>
          <c:val>
            <c:numRef>
              <c:f>AVX!$B$13:$F$13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819.2</c:v>
                </c:pt>
                <c:pt idx="2">
                  <c:v>15314.4</c:v>
                </c:pt>
                <c:pt idx="3">
                  <c:v>152389.20000000001</c:v>
                </c:pt>
                <c:pt idx="4">
                  <c:v>1805662.3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0-41A8-8A7F-3097C372E337}"/>
            </c:ext>
          </c:extLst>
        </c:ser>
        <c:ser>
          <c:idx val="1"/>
          <c:order val="2"/>
          <c:tx>
            <c:v>ILP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ILP!$B$13:$F$13</c:f>
              <c:numCache>
                <c:formatCode>General</c:formatCode>
                <c:ptCount val="5"/>
                <c:pt idx="0">
                  <c:v>4.7</c:v>
                </c:pt>
                <c:pt idx="1">
                  <c:v>432.4</c:v>
                </c:pt>
                <c:pt idx="2">
                  <c:v>5348.9</c:v>
                </c:pt>
                <c:pt idx="3">
                  <c:v>47988.5</c:v>
                </c:pt>
                <c:pt idx="4">
                  <c:v>520734.7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0-41A8-8A7F-3097C372E337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'CB'!$B$13:$F$13</c:f>
              <c:numCache>
                <c:formatCode>General</c:formatCode>
                <c:ptCount val="5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  <c:pt idx="4">
                  <c:v>60972.7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0-41A8-8A7F-3097C372E337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Fortran!$B$13:$F$13</c:f>
              <c:numCache>
                <c:formatCode>General</c:formatCode>
                <c:ptCount val="5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  <c:pt idx="4">
                  <c:v>514486.9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0-41A8-8A7F-3097C372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C,</a:t>
            </a:r>
            <a:r>
              <a:rPr lang="pt-BR" baseline="0"/>
              <a:t> Fortran e Python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GCC -O3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GCC!$T$13:$X$13</c15:sqref>
                  </c15:fullRef>
                </c:ext>
              </c:extLst>
              <c:f>GCC!$T$13:$W$13</c:f>
              <c:numCache>
                <c:formatCode>General</c:formatCode>
                <c:ptCount val="4"/>
                <c:pt idx="0">
                  <c:v>19</c:v>
                </c:pt>
                <c:pt idx="1">
                  <c:v>1952</c:v>
                </c:pt>
                <c:pt idx="2">
                  <c:v>55084.2</c:v>
                </c:pt>
                <c:pt idx="3">
                  <c:v>593303.30000000005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B-4987-B2FB-AA73DB6B1FCC}"/>
            </c:ext>
          </c:extLst>
        </c:ser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'CB'!$B$13:$F$13</c15:sqref>
                  </c15:fullRef>
                </c:ext>
              </c:extLst>
              <c:f>'CB'!$B$13:$E$13</c:f>
              <c:numCache>
                <c:formatCode>General</c:formatCode>
                <c:ptCount val="4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B-4987-B2FB-AA73DB6B1FCC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Fortran!$B$13:$F$13</c15:sqref>
                  </c15:fullRef>
                </c:ext>
              </c:extLst>
              <c:f>Fortran!$B$13:$E$13</c:f>
              <c:numCache>
                <c:formatCode>General</c:formatCode>
                <c:ptCount val="4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FB-4987-B2FB-AA73DB6B1FCC}"/>
            </c:ext>
          </c:extLst>
        </c:ser>
        <c:ser>
          <c:idx val="5"/>
          <c:order val="5"/>
          <c:tx>
            <c:v>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Python!$B$13:$E$13</c15:sqref>
                  </c15:fullRef>
                </c:ext>
              </c:extLst>
              <c:f>Python!$B$13:$E$13</c:f>
              <c:numCache>
                <c:formatCode>General</c:formatCode>
                <c:ptCount val="4"/>
                <c:pt idx="0">
                  <c:v>1626.6</c:v>
                </c:pt>
                <c:pt idx="1">
                  <c:v>159059.6</c:v>
                </c:pt>
                <c:pt idx="2">
                  <c:v>1420854.6</c:v>
                </c:pt>
                <c:pt idx="3">
                  <c:v>12103160.6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B-4987-B2FB-AA73DB6B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v>AVX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AVX!$B$13:$F$13</c15:sqref>
                        </c15:fullRef>
                        <c15:formulaRef>
                          <c15:sqref>AVX!$B$13:$E$13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8.3000000000000007</c:v>
                      </c:pt>
                      <c:pt idx="1">
                        <c:v>819.2</c:v>
                      </c:pt>
                      <c:pt idx="2">
                        <c:v>15314.4</c:v>
                      </c:pt>
                      <c:pt idx="3">
                        <c:v>152389.20000000001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FB-4987-B2FB-AA73DB6B1FCC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ILP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ILP!$B$13:$F$13</c15:sqref>
                        </c15:fullRef>
                        <c15:formulaRef>
                          <c15:sqref>ILP!$B$13:$E$13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</c:v>
                      </c:pt>
                      <c:pt idx="1">
                        <c:v>432.4</c:v>
                      </c:pt>
                      <c:pt idx="2">
                        <c:v>5348.9</c:v>
                      </c:pt>
                      <c:pt idx="3">
                        <c:v>47988.5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FB-4987-B2FB-AA73DB6B1FCC}"/>
                  </c:ext>
                </c:extLst>
              </c15:ser>
            </c15:filteredBarSeries>
          </c:ext>
        </c:extLst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Performance C com CB,</a:t>
            </a:r>
            <a:r>
              <a:rPr lang="pt-BR" baseline="0"/>
              <a:t> Fortran, Python e Numpy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CB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'CB'!$B$13:$F$13</c15:sqref>
                  </c15:fullRef>
                </c:ext>
              </c:extLst>
              <c:f>'CB'!$B$13:$E$13</c:f>
              <c:numCache>
                <c:formatCode>General</c:formatCode>
                <c:ptCount val="4"/>
                <c:pt idx="0">
                  <c:v>0.8</c:v>
                </c:pt>
                <c:pt idx="1">
                  <c:v>91</c:v>
                </c:pt>
                <c:pt idx="2">
                  <c:v>713.4</c:v>
                </c:pt>
                <c:pt idx="3">
                  <c:v>6947.7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B-4286-986C-3BAFE2D7CA7D}"/>
            </c:ext>
          </c:extLst>
        </c:ser>
        <c:ser>
          <c:idx val="4"/>
          <c:order val="4"/>
          <c:tx>
            <c:v>Fortran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Fortran!$B$13:$F$13</c15:sqref>
                  </c15:fullRef>
                </c:ext>
              </c:extLst>
              <c:f>Fortran!$B$13:$E$13</c:f>
              <c:numCache>
                <c:formatCode>General</c:formatCode>
                <c:ptCount val="4"/>
                <c:pt idx="0">
                  <c:v>3.3</c:v>
                </c:pt>
                <c:pt idx="1">
                  <c:v>388.8</c:v>
                </c:pt>
                <c:pt idx="2">
                  <c:v>5300.3</c:v>
                </c:pt>
                <c:pt idx="3">
                  <c:v>48253.1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31B-4286-986C-3BAFE2D7CA7D}"/>
            </c:ext>
          </c:extLst>
        </c:ser>
        <c:ser>
          <c:idx val="5"/>
          <c:order val="5"/>
          <c:tx>
            <c:v>Python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Python!$B$2:$E$2</c15:sqref>
                  </c15:fullRef>
                </c:ext>
              </c:extLst>
              <c:f>Python!$B$2:$E$2</c:f>
              <c:strCache>
                <c:ptCount val="4"/>
                <c:pt idx="0">
                  <c:v>256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Python!$B$13:$E$13</c15:sqref>
                  </c15:fullRef>
                </c:ext>
              </c:extLst>
              <c:f>Python!$B$13:$E$13</c:f>
              <c:numCache>
                <c:formatCode>General</c:formatCode>
                <c:ptCount val="4"/>
                <c:pt idx="0">
                  <c:v>1626.6</c:v>
                </c:pt>
                <c:pt idx="1">
                  <c:v>159059.6</c:v>
                </c:pt>
                <c:pt idx="2">
                  <c:v>1420854.6</c:v>
                </c:pt>
                <c:pt idx="3">
                  <c:v>12103160.6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B-4286-986C-3BAFE2D7CA7D}"/>
            </c:ext>
          </c:extLst>
        </c:ser>
        <c:ser>
          <c:idx val="6"/>
          <c:order val="6"/>
          <c:tx>
            <c:v>Numpy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256</c:v>
              </c:pt>
              <c:pt idx="1">
                <c:v>1000</c:v>
              </c:pt>
              <c:pt idx="2">
                <c:v>2000</c:v>
              </c:pt>
              <c:pt idx="3">
                <c:v>4000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Numpy!$B$13:$F$13</c15:sqref>
                  </c15:fullRef>
                </c:ext>
              </c:extLst>
              <c:f>Numpy!$B$13:$E$13</c:f>
              <c:numCache>
                <c:formatCode>General</c:formatCode>
                <c:ptCount val="4"/>
                <c:pt idx="0">
                  <c:v>0.5</c:v>
                </c:pt>
                <c:pt idx="1">
                  <c:v>20.9</c:v>
                </c:pt>
                <c:pt idx="2">
                  <c:v>156.19999999999999</c:v>
                </c:pt>
                <c:pt idx="3">
                  <c:v>1572.7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1B-4286-986C-3BAFE2D7C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38624"/>
        <c:axId val="51676355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GCC -O3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GCC!$T$13:$X$13</c15:sqref>
                        </c15:fullRef>
                        <c15:formulaRef>
                          <c15:sqref>GCC!$T$13:$W$13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1952</c:v>
                      </c:pt>
                      <c:pt idx="2">
                        <c:v>55084.2</c:v>
                      </c:pt>
                      <c:pt idx="3">
                        <c:v>593303.30000000005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1B-4286-986C-3BAFE2D7CA7D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AVX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AVX!$B$13:$F$13</c15:sqref>
                        </c15:fullRef>
                        <c15:formulaRef>
                          <c15:sqref>AVX!$B$13:$E$13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8.3000000000000007</c:v>
                      </c:pt>
                      <c:pt idx="1">
                        <c:v>819.2</c:v>
                      </c:pt>
                      <c:pt idx="2">
                        <c:v>15314.4</c:v>
                      </c:pt>
                      <c:pt idx="3">
                        <c:v>152389.20000000001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1B-4286-986C-3BAFE2D7CA7D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v>ILP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Python!$B$2:$E$2</c15:sqref>
                        </c15:fullRef>
                        <c15:formulaRef>
                          <c15:sqref>Python!$B$2:$E$2</c15:sqref>
                        </c15:formulaRef>
                      </c:ext>
                    </c:extLst>
                    <c:strCache>
                      <c:ptCount val="4"/>
                      <c:pt idx="0">
                        <c:v>256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4000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ILP!$B$13:$F$13</c15:sqref>
                        </c15:fullRef>
                        <c15:formulaRef>
                          <c15:sqref>ILP!$B$13:$E$13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4.7</c:v>
                      </c:pt>
                      <c:pt idx="1">
                        <c:v>432.4</c:v>
                      </c:pt>
                      <c:pt idx="2">
                        <c:v>5348.9</c:v>
                      </c:pt>
                      <c:pt idx="3">
                        <c:v>47988.5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1B-4286-986C-3BAFE2D7CA7D}"/>
                  </c:ext>
                </c:extLst>
              </c15:ser>
            </c15:filteredBarSeries>
          </c:ext>
        </c:extLst>
      </c:barChart>
      <c:catAx>
        <c:axId val="3804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da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3551"/>
        <c:crosses val="autoZero"/>
        <c:auto val="1"/>
        <c:lblAlgn val="ctr"/>
        <c:lblOffset val="100"/>
        <c:noMultiLvlLbl val="0"/>
      </c:catAx>
      <c:valAx>
        <c:axId val="516763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log(Tempo em milissegundos)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4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598169</xdr:colOff>
      <xdr:row>13</xdr:row>
      <xdr:rowOff>174307</xdr:rowOff>
    </xdr:from>
    <xdr:to>
      <xdr:col>7</xdr:col>
      <xdr:colOff>485774</xdr:colOff>
      <xdr:row>30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DD1A3-933E-4E41-7885-16D524062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575310</xdr:colOff>
      <xdr:row>30</xdr:row>
      <xdr:rowOff>101918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1D42A-3E39-4AAC-AC65-7C1128DBD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577215</xdr:colOff>
      <xdr:row>30</xdr:row>
      <xdr:rowOff>98108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55E472-A1B7-473F-8FFC-A23EFA4F1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579120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6DE98C-7B68-4544-99D6-2AFEA8E9A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26140-9C0F-4A65-B3A3-A8C7011A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8E188-69A0-4DE8-B89E-5C23F71BB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93345</xdr:colOff>
      <xdr:row>30</xdr:row>
      <xdr:rowOff>94298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9C15E2-F718-476A-8093-9132A779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25D17-9F6E-403C-B292-151E70526D2F}" name="O_0" displayName="O_0" ref="B2:F13" totalsRowCount="1">
  <autoFilter ref="B2:F12" xr:uid="{B8325D17-9F6E-403C-B292-151E70526D2F}"/>
  <tableColumns count="5">
    <tableColumn id="1" xr3:uid="{9AFB5D40-7BCA-420D-93EA-2D9297045F10}" name="256" totalsRowFunction="average"/>
    <tableColumn id="2" xr3:uid="{38B281F7-4532-4313-8CC9-0F64E0CB8DC8}" name="1000" totalsRowFunction="average"/>
    <tableColumn id="3" xr3:uid="{E467B3ED-834A-4927-AE83-59D10190B3DB}" name="2000" totalsRowFunction="average"/>
    <tableColumn id="4" xr3:uid="{644A76E5-43DA-4D2C-8727-42DC77F92C9A}" name="4000" totalsRowFunction="average"/>
    <tableColumn id="5" xr3:uid="{C3EC2FE0-EF92-4459-9507-FE62DF8CEF2D}" name="8000" totalsRowFunction="averag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8BA1E6-D280-4D23-8C3D-5F3931C09BF3}" name="Ganho_CB" displayName="Ganho_CB" ref="H3:L6" totalsRowCount="1">
  <autoFilter ref="H3:L5" xr:uid="{0F8BA1E6-D280-4D23-8C3D-5F3931C09BF3}"/>
  <tableColumns count="5">
    <tableColumn id="1" xr3:uid="{17A3CD07-364F-4DF9-8D2B-2F2A7AF8907B}" name="256" totalsRowFunction="custom" dataDxfId="7">
      <calculatedColumnFormula>ILP[[#Totals],[256]]</calculatedColumnFormula>
      <totalsRowFormula>H4/H5</totalsRowFormula>
    </tableColumn>
    <tableColumn id="2" xr3:uid="{F3802DD0-ADFB-4BF4-A51C-15D3F67422AB}" name="1000" totalsRowFunction="custom">
      <calculatedColumnFormula>AVX[[#Totals],[1000]]</calculatedColumnFormula>
      <totalsRowFormula>I4/I5</totalsRowFormula>
    </tableColumn>
    <tableColumn id="3" xr3:uid="{96931E58-E9E0-42CD-A136-A0458F070600}" name="2000" totalsRowFunction="custom">
      <calculatedColumnFormula>AVX[[#Totals],[2000]]</calculatedColumnFormula>
      <totalsRowFormula>J4/J5</totalsRowFormula>
    </tableColumn>
    <tableColumn id="4" xr3:uid="{BD7C9999-93E3-4D05-A24B-7EECB1065D15}" name="4000" totalsRowFunction="custom">
      <calculatedColumnFormula>AVX[[#Totals],[4000]]</calculatedColumnFormula>
      <totalsRowFormula>K4/K5</totalsRowFormula>
    </tableColumn>
    <tableColumn id="5" xr3:uid="{D9CA7F60-2045-4DA5-9BDC-336382397113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0C7CD6-4BC3-420D-9159-41227AC42198}" name="Ganho_Geral" displayName="Ganho_Geral" ref="H8:L11" totalsRowCount="1">
  <autoFilter ref="H8:L10" xr:uid="{B60C7CD6-4BC3-420D-9159-41227AC42198}"/>
  <tableColumns count="5">
    <tableColumn id="1" xr3:uid="{5F26D2BF-C1C4-46FA-9D29-86B0081DD5DF}" name="256" totalsRowFunction="custom" dataDxfId="6">
      <calculatedColumnFormula>ILP[[#Totals],[256]]</calculatedColumnFormula>
      <totalsRowFormula>H9/H10</totalsRowFormula>
    </tableColumn>
    <tableColumn id="2" xr3:uid="{51353699-4996-4CE2-A2E1-11A495060B7E}" name="1000" totalsRowFunction="custom">
      <calculatedColumnFormula>AVX[[#Totals],[1000]]</calculatedColumnFormula>
      <totalsRowFormula>I9/I10</totalsRowFormula>
    </tableColumn>
    <tableColumn id="3" xr3:uid="{8DE9DDAB-60EB-4208-8046-E1F3057C333B}" name="2000" totalsRowFunction="custom">
      <calculatedColumnFormula>AVX[[#Totals],[2000]]</calculatedColumnFormula>
      <totalsRowFormula>J9/J10</totalsRowFormula>
    </tableColumn>
    <tableColumn id="4" xr3:uid="{AA26EEBB-587F-4C50-8507-10A65FA10297}" name="4000" totalsRowFunction="custom">
      <calculatedColumnFormula>AVX[[#Totals],[4000]]</calculatedColumnFormula>
      <totalsRowFormula>K9/K10</totalsRowFormula>
    </tableColumn>
    <tableColumn id="5" xr3:uid="{013C8D56-2D2D-43B5-98AE-59801D23BC25}" name="8000" totalsRowFunction="custom">
      <calculatedColumnFormula>AVX[[#Totals],[8000]]</calculatedColumnFormula>
      <totalsRowFormula>L9/L10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2964D8-0815-4BC7-B7E7-C652F577244E}" name="Fortran" displayName="Fortran" ref="B2:F13" totalsRowCount="1">
  <autoFilter ref="B2:F12" xr:uid="{7F2964D8-0815-4BC7-B7E7-C652F577244E}"/>
  <tableColumns count="5">
    <tableColumn id="1" xr3:uid="{563D6D3B-DA53-4835-B005-95009032F635}" name="256" totalsRowFunction="average"/>
    <tableColumn id="2" xr3:uid="{04FDD5F0-CAC5-44C9-B843-CA70C08E5461}" name="1000" totalsRowFunction="average"/>
    <tableColumn id="3" xr3:uid="{F79D3573-FEBE-46D1-A5E2-3CFCEC9F4805}" name="2000" totalsRowFunction="average"/>
    <tableColumn id="4" xr3:uid="{B29EEAD3-C9A7-4388-829C-9EBC75966164}" name="4000" totalsRowFunction="average"/>
    <tableColumn id="5" xr3:uid="{151B8920-5556-4BC2-AABB-665ED245FC1B}" name="8000" totalsRowFunction="averag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253120-A35B-4717-8AB7-5047DCEF40EF}" name="Ganho_Fortran_CB" displayName="Ganho_Fortran_CB" ref="H2:L5" totalsRowCount="1">
  <autoFilter ref="H2:L4" xr:uid="{95253120-A35B-4717-8AB7-5047DCEF40EF}"/>
  <tableColumns count="5">
    <tableColumn id="1" xr3:uid="{27786BBC-F345-4774-ADEA-ACC3D94BAA84}" name="256" totalsRowFunction="custom" dataDxfId="5">
      <calculatedColumnFormula>ILP[[#Totals],[256]]</calculatedColumnFormula>
      <totalsRowFormula>H3/H4</totalsRowFormula>
    </tableColumn>
    <tableColumn id="2" xr3:uid="{7E5F2966-B635-4B4B-B644-827A000406F9}" name="1000" totalsRowFunction="custom">
      <calculatedColumnFormula>AVX[[#Totals],[1000]]</calculatedColumnFormula>
      <totalsRowFormula>I3/I4</totalsRowFormula>
    </tableColumn>
    <tableColumn id="3" xr3:uid="{A36B8EB0-5725-4CBE-9BD6-40E84B92E8B3}" name="2000" totalsRowFunction="custom">
      <calculatedColumnFormula>AVX[[#Totals],[2000]]</calculatedColumnFormula>
      <totalsRowFormula>J3/J4</totalsRowFormula>
    </tableColumn>
    <tableColumn id="4" xr3:uid="{732B6D93-A4B1-4A2C-A784-33669F097216}" name="4000" totalsRowFunction="custom">
      <calculatedColumnFormula>AVX[[#Totals],[4000]]</calculatedColumnFormula>
      <totalsRowFormula>K3/K4</totalsRowFormula>
    </tableColumn>
    <tableColumn id="5" xr3:uid="{05AEA58E-34CD-4F8C-9B1A-6D4B3D1285A8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E62F8-D0D7-4D87-88D0-702DADA69426}" name="Ganho_Fortran_ILP" displayName="Ganho_Fortran_ILP" ref="H7:L10" totalsRowCount="1">
  <autoFilter ref="H7:L9" xr:uid="{115E62F8-D0D7-4D87-88D0-702DADA69426}"/>
  <tableColumns count="5">
    <tableColumn id="1" xr3:uid="{5F591CC3-A85C-45E4-82CF-D1B419A38A11}" name="256" totalsRowFunction="custom" dataDxfId="4">
      <calculatedColumnFormula>ILP[[#Totals],[256]]</calculatedColumnFormula>
      <totalsRowFormula>H8/H9</totalsRowFormula>
    </tableColumn>
    <tableColumn id="2" xr3:uid="{0766E8B7-233B-4305-95E8-0A5F1EB3DC6B}" name="1000" totalsRowFunction="custom">
      <calculatedColumnFormula>AVX[[#Totals],[1000]]</calculatedColumnFormula>
      <totalsRowFormula>I8/I9</totalsRowFormula>
    </tableColumn>
    <tableColumn id="3" xr3:uid="{340206D2-E980-4C19-B2A4-7806DC952CEF}" name="2000" totalsRowFunction="custom">
      <calculatedColumnFormula>AVX[[#Totals],[2000]]</calculatedColumnFormula>
      <totalsRowFormula>J8/J9</totalsRowFormula>
    </tableColumn>
    <tableColumn id="4" xr3:uid="{1A0B8DA1-BA6D-42C8-B770-8EDAE03ED792}" name="4000" totalsRowFunction="custom">
      <calculatedColumnFormula>AVX[[#Totals],[4000]]</calculatedColumnFormula>
      <totalsRowFormula>K8/K9</totalsRowFormula>
    </tableColumn>
    <tableColumn id="5" xr3:uid="{F226E041-94E9-41B7-8106-E05535FFC72C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C86B2-69D2-4AC8-A7BC-1A1523794DE3}" name="Python" displayName="Python" ref="B2:E13" totalsRowCount="1">
  <autoFilter ref="B2:E12" xr:uid="{8F3C86B2-69D2-4AC8-A7BC-1A1523794DE3}"/>
  <tableColumns count="4">
    <tableColumn id="1" xr3:uid="{7726CC14-8CC6-4B08-B728-CC5B910DA049}" name="256" totalsRowFunction="average"/>
    <tableColumn id="2" xr3:uid="{92997EA3-9C87-46E3-969D-36E41CF20945}" name="1000" totalsRowFunction="average"/>
    <tableColumn id="3" xr3:uid="{4CF3D0B9-EBF4-4285-9AD6-285DF3DEFB24}" name="2000" totalsRowFunction="average"/>
    <tableColumn id="4" xr3:uid="{5FED6BC6-1DF3-4607-9F52-BA309FEF1554}" name="4000" totalsRowFunction="averag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2E78EEE-D5F2-4111-A403-3FC437EDEF2D}" name="Ganho_Python_O_0" displayName="Ganho_Python_O_0" ref="H2:K5" totalsRowCount="1">
  <autoFilter ref="H2:K4" xr:uid="{22E78EEE-D5F2-4111-A403-3FC437EDEF2D}"/>
  <tableColumns count="4">
    <tableColumn id="1" xr3:uid="{3EBD1F08-2CE8-4CB8-AF66-67B7F43F2360}" name="256" totalsRowFunction="custom" dataDxfId="3">
      <calculatedColumnFormula>ILP[[#Totals],[256]]</calculatedColumnFormula>
      <totalsRowFormula>H3/H4</totalsRowFormula>
    </tableColumn>
    <tableColumn id="2" xr3:uid="{CD09BF66-E36B-41CD-8F9D-D3C6D3C8B3D2}" name="1000" totalsRowFunction="custom">
      <calculatedColumnFormula>AVX[[#Totals],[1000]]</calculatedColumnFormula>
      <totalsRowFormula>I3/I4</totalsRowFormula>
    </tableColumn>
    <tableColumn id="3" xr3:uid="{4FA6BD4A-4764-43B2-A2FC-651575CB309E}" name="2000" totalsRowFunction="custom">
      <calculatedColumnFormula>AVX[[#Totals],[2000]]</calculatedColumnFormula>
      <totalsRowFormula>J3/J4</totalsRowFormula>
    </tableColumn>
    <tableColumn id="4" xr3:uid="{6081F60F-0452-42B3-AF80-E6166EF69EBA}" name="4000" totalsRowFunction="custom">
      <calculatedColumnFormula>AVX[[#Totals],[4000]]</calculatedColumnFormula>
      <totalsRowFormula>K3/K4</totalsRow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80A1CE9-D8C3-4559-92D6-072553947C63}" name="Ganho_Python_CB" displayName="Ganho_Python_CB" ref="H7:K10" totalsRowCount="1">
  <autoFilter ref="H7:K9" xr:uid="{280A1CE9-D8C3-4559-92D6-072553947C63}"/>
  <tableColumns count="4">
    <tableColumn id="1" xr3:uid="{B0690336-6E07-485C-90B0-B77127A31431}" name="256" totalsRowFunction="custom" dataDxfId="2">
      <calculatedColumnFormula>CB[[#Totals],[256]]</calculatedColumnFormula>
      <totalsRowFormula>H8/H9</totalsRowFormula>
    </tableColumn>
    <tableColumn id="2" xr3:uid="{D61E6D85-E2CD-41FE-98CD-13BED2651C75}" name="1000" totalsRowFunction="custom">
      <calculatedColumnFormula>AVX[[#Totals],[1000]]</calculatedColumnFormula>
      <totalsRowFormula>I8/I9</totalsRowFormula>
    </tableColumn>
    <tableColumn id="3" xr3:uid="{50152D4F-7454-4C18-B39A-942265DFBC55}" name="2000" totalsRowFunction="custom">
      <calculatedColumnFormula>AVX[[#Totals],[2000]]</calculatedColumnFormula>
      <totalsRowFormula>J8/J9</totalsRowFormula>
    </tableColumn>
    <tableColumn id="4" xr3:uid="{BB17E9C7-CF49-4456-8BF3-E6F102624CCF}" name="4000" totalsRowFunction="custom">
      <calculatedColumnFormula>AVX[[#Totals],[4000]]</calculatedColumnFormula>
      <totalsRowFormula>K8/K9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7A0BEF6-E1F7-4B9A-B129-C7458A3A26DC}" name="Numpy" displayName="Numpy" ref="B2:F13" totalsRowCount="1">
  <autoFilter ref="B2:F12" xr:uid="{F7A0BEF6-E1F7-4B9A-B129-C7458A3A26DC}"/>
  <tableColumns count="5">
    <tableColumn id="1" xr3:uid="{1E579301-878E-4B76-A50F-5FAAB3445271}" name="256" totalsRowFunction="average"/>
    <tableColumn id="2" xr3:uid="{1AC56F97-C3B1-47C6-BEF0-1605306B36AE}" name="1000" totalsRowFunction="average"/>
    <tableColumn id="3" xr3:uid="{A460DA46-D526-4F9A-B810-4C991F4D72EA}" name="2000" totalsRowFunction="average"/>
    <tableColumn id="4" xr3:uid="{44437CD3-C99C-4389-A992-3A1597AF26DA}" name="4000" totalsRowFunction="average"/>
    <tableColumn id="5" xr3:uid="{283DCF42-87C0-49BF-8071-06FBD85BBBF8}" name="8000" totalsRowFunction="averag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964EBA-8873-454D-ADB6-E12004BC59D4}" name="Ganho_Numpy_Python" displayName="Ganho_Numpy_Python" ref="H2:L5" totalsRowCount="1">
  <autoFilter ref="H2:L4" xr:uid="{8F964EBA-8873-454D-ADB6-E12004BC59D4}"/>
  <tableColumns count="5">
    <tableColumn id="1" xr3:uid="{6CBC4708-CE29-431B-8959-FE6082C90EE4}" name="256" totalsRowFunction="custom" dataDxfId="1">
      <calculatedColumnFormula>ILP[[#Totals],[256]]</calculatedColumnFormula>
      <totalsRowFormula>H3/H4</totalsRowFormula>
    </tableColumn>
    <tableColumn id="2" xr3:uid="{99DC2D11-BABF-4DCE-B12D-D269352253EB}" name="1000" totalsRowFunction="custom">
      <calculatedColumnFormula>AVX[[#Totals],[1000]]</calculatedColumnFormula>
      <totalsRowFormula>I3/I4</totalsRowFormula>
    </tableColumn>
    <tableColumn id="3" xr3:uid="{014F0C96-DBF5-4A85-9F1D-D75FC266992E}" name="2000" totalsRowFunction="custom">
      <calculatedColumnFormula>AVX[[#Totals],[2000]]</calculatedColumnFormula>
      <totalsRowFormula>J3/J4</totalsRowFormula>
    </tableColumn>
    <tableColumn id="4" xr3:uid="{B6033053-54C8-4D02-BA49-F29826F31D0D}" name="4000" totalsRowFunction="custom">
      <calculatedColumnFormula>AVX[[#Totals],[4000]]</calculatedColumnFormula>
      <totalsRowFormula>K3/K4</totalsRowFormula>
    </tableColumn>
    <tableColumn id="5" xr3:uid="{754EBA03-3A4E-4915-ABE1-E6146C90FB2C}" name="8000" totalsRowFunction="custom">
      <calculatedColumnFormula>AVX[[#Totals],[8000]]</calculatedColumnFormula>
      <totalsRowFormula>L3/L4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28FF3-C36B-42FF-81E0-DF740CCDE8FA}" name="O_1" displayName="O_1" ref="H2:L13" totalsRowCount="1">
  <autoFilter ref="H2:L12" xr:uid="{E8128FF3-C36B-42FF-81E0-DF740CCDE8FA}"/>
  <tableColumns count="5">
    <tableColumn id="1" xr3:uid="{5AAFDAA1-26EC-4BB3-B857-A8B3CE07DDD0}" name="256" totalsRowFunction="average"/>
    <tableColumn id="2" xr3:uid="{7CE220DB-39C9-44CE-A842-3E89D728CC9F}" name="1000" totalsRowFunction="average"/>
    <tableColumn id="3" xr3:uid="{AD8C9DD5-619F-4CBF-A887-98FC77E757DB}" name="2000" totalsRowFunction="average"/>
    <tableColumn id="4" xr3:uid="{7B66EFA9-B6AB-466B-90B2-0B1FC323BF9F}" name="4000" totalsRowFunction="average"/>
    <tableColumn id="5" xr3:uid="{78F9F588-0869-41E1-BF2D-5E7C6834C2CF}" name="8000" totalsRowFunction="average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FD527BD-85CB-4FFD-903D-2FC83876A67B}" name="Ganho_Numpy_O_3" displayName="Ganho_Numpy_O_3" ref="H7:L10" totalsRowCount="1">
  <autoFilter ref="H7:L9" xr:uid="{FFD527BD-85CB-4FFD-903D-2FC83876A67B}"/>
  <tableColumns count="5">
    <tableColumn id="1" xr3:uid="{6023FD69-1D86-4EDE-BCAB-20CD4D49D38E}" name="256" totalsRowFunction="custom" dataDxfId="0">
      <calculatedColumnFormula>O_3[[#Totals],[256]]</calculatedColumnFormula>
      <totalsRowFormula>H8/H9</totalsRowFormula>
    </tableColumn>
    <tableColumn id="2" xr3:uid="{09390C5B-38B0-4DFA-B5DF-DC122CC747C4}" name="1000" totalsRowFunction="custom">
      <calculatedColumnFormula>AVX[[#Totals],[1000]]</calculatedColumnFormula>
      <totalsRowFormula>I8/I9</totalsRowFormula>
    </tableColumn>
    <tableColumn id="3" xr3:uid="{D276AEBA-CFFB-4D67-A0E3-D6275E45CE03}" name="2000" totalsRowFunction="custom">
      <calculatedColumnFormula>AVX[[#Totals],[2000]]</calculatedColumnFormula>
      <totalsRowFormula>J8/J9</totalsRowFormula>
    </tableColumn>
    <tableColumn id="4" xr3:uid="{8BBB444D-2BB6-486C-8A1D-9CB01DACAF4C}" name="4000" totalsRowFunction="custom">
      <calculatedColumnFormula>AVX[[#Totals],[4000]]</calculatedColumnFormula>
      <totalsRowFormula>K8/K9</totalsRowFormula>
    </tableColumn>
    <tableColumn id="5" xr3:uid="{1439A727-1C9B-4C16-B67C-220696A90A15}" name="8000" totalsRowFunction="custom">
      <calculatedColumnFormula>AVX[[#Totals],[8000]]</calculatedColumnFormula>
      <totalsRowFormula>L8/L9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57EDE-0D52-4575-8932-1A1C6BA734F1}" name="O_2" displayName="O_2" ref="N2:R13" totalsRowCount="1">
  <autoFilter ref="N2:R12" xr:uid="{C4457EDE-0D52-4575-8932-1A1C6BA734F1}"/>
  <tableColumns count="5">
    <tableColumn id="1" xr3:uid="{674B4424-F043-4F19-848C-4EF92BECAA70}" name="256" totalsRowFunction="average"/>
    <tableColumn id="2" xr3:uid="{8099EF41-B99F-438C-9B8F-81B91B03BC8C}" name="1000" totalsRowFunction="average"/>
    <tableColumn id="3" xr3:uid="{9C03DB0A-7EAA-41CA-9453-3EC4070AC3C5}" name="2000" totalsRowFunction="average"/>
    <tableColumn id="4" xr3:uid="{DB76BD50-DFAD-44B8-9C1A-03B53BC12BAC}" name="4000" totalsRowFunction="average"/>
    <tableColumn id="5" xr3:uid="{6A60A4F6-4CE3-4A37-B179-642C4217DF12}" name="8000" totalsRowFunction="aver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496131-94E1-4714-ACCA-43E2041DCA3B}" name="O_3" displayName="O_3" ref="T2:X13" totalsRowCount="1">
  <autoFilter ref="T2:X12" xr:uid="{68496131-94E1-4714-ACCA-43E2041DCA3B}"/>
  <tableColumns count="5">
    <tableColumn id="1" xr3:uid="{68B13B04-C9C7-4F43-9B20-F60C103CF5C9}" name="256" totalsRowFunction="average"/>
    <tableColumn id="2" xr3:uid="{8CC9FDF5-624E-4C1A-ADB0-6E60FE771499}" name="1000" totalsRowFunction="average"/>
    <tableColumn id="3" xr3:uid="{EF6BBC92-3CB2-4D0F-8033-B0AA691123F8}" name="2000" totalsRowFunction="average"/>
    <tableColumn id="4" xr3:uid="{5C010E27-83BD-4B09-83CA-94DC8104FCE9}" name="4000" totalsRowFunction="average"/>
    <tableColumn id="5" xr3:uid="{7DFC15EA-C7A2-4F6D-B446-118BD997C8B6}" name="8000" totalsRowFunction="aver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40287B-0CB0-474E-BCDF-6DA401047E8E}" name="AVX" displayName="AVX" ref="B2:F13" totalsRowCount="1">
  <autoFilter ref="B2:F12" xr:uid="{6C40287B-0CB0-474E-BCDF-6DA401047E8E}"/>
  <tableColumns count="5">
    <tableColumn id="1" xr3:uid="{23C22F14-C6F9-4DA6-9E66-D0EADB1DBEF3}" name="256" totalsRowFunction="average"/>
    <tableColumn id="2" xr3:uid="{454AC218-315D-45F2-98EE-02A95515154C}" name="1000" totalsRowFunction="average"/>
    <tableColumn id="3" xr3:uid="{E0828961-1348-4759-915D-7AE58C00B299}" name="2000" totalsRowFunction="average"/>
    <tableColumn id="4" xr3:uid="{6620AEDC-6CB1-4B7C-BBA8-16574C737A77}" name="4000" totalsRowFunction="average"/>
    <tableColumn id="5" xr3:uid="{9855003B-9052-4051-BE9B-DB55D9AE6A31}" name="8000" totalsRowFunction="aver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BB4C1-D206-4D2A-8567-E8B65F6B41D3}" name="Ganho_AVX" displayName="Ganho_AVX" ref="H4:L7" totalsRowCount="1">
  <autoFilter ref="H4:L6" xr:uid="{769BB4C1-D206-4D2A-8567-E8B65F6B41D3}"/>
  <tableColumns count="5">
    <tableColumn id="1" xr3:uid="{F4810EBD-5E49-4930-BE8D-47042C1F8202}" name="256" totalsRowFunction="custom">
      <calculatedColumnFormula>AVX[[#Totals],[256]]</calculatedColumnFormula>
      <totalsRowFormula>H5/H6</totalsRowFormula>
    </tableColumn>
    <tableColumn id="2" xr3:uid="{5ECC89DF-654D-4FD2-BCF4-94AE20A183CC}" name="1000" totalsRowFunction="custom">
      <calculatedColumnFormula>AVX[[#Totals],[1000]]</calculatedColumnFormula>
      <totalsRowFormula>I5/I6</totalsRowFormula>
    </tableColumn>
    <tableColumn id="3" xr3:uid="{071A6E46-2B96-41AB-B335-0F0E715342B3}" name="2000" totalsRowFunction="custom">
      <calculatedColumnFormula>AVX[[#Totals],[2000]]</calculatedColumnFormula>
      <totalsRowFormula>J5/J6</totalsRowFormula>
    </tableColumn>
    <tableColumn id="4" xr3:uid="{2A27F653-D126-49EC-884A-1A65E1FD8A9C}" name="4000" totalsRowFunction="custom">
      <calculatedColumnFormula>AVX[[#Totals],[4000]]</calculatedColumnFormula>
      <totalsRowFormula>K5/K6</totalsRowFormula>
    </tableColumn>
    <tableColumn id="5" xr3:uid="{586CCB6C-F829-4BBA-AA8C-2936BFE70E12}" name="8000" totalsRowFunction="custom">
      <calculatedColumnFormula>AVX[[#Totals],[8000]]</calculatedColumnFormula>
      <totalsRowFormula>L5/L6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E30326-CF49-43F7-8CB4-A834775B4FDB}" name="ILP" displayName="ILP" ref="B2:F13" totalsRowCount="1">
  <autoFilter ref="B2:F12" xr:uid="{8CE30326-CF49-43F7-8CB4-A834775B4FDB}"/>
  <tableColumns count="5">
    <tableColumn id="1" xr3:uid="{7F17D1E0-F285-4AE4-A31A-2792C680E238}" name="256" totalsRowFunction="average"/>
    <tableColumn id="2" xr3:uid="{DCAFDCD1-C51D-44A7-9752-3698BDD8F667}" name="1000" totalsRowFunction="average"/>
    <tableColumn id="3" xr3:uid="{894DCC37-BC49-42DA-8745-17E3789FD902}" name="2000" totalsRowFunction="average"/>
    <tableColumn id="4" xr3:uid="{787B5F5B-E953-4351-BDCA-CF1A1F77A06D}" name="4000" totalsRowFunction="average"/>
    <tableColumn id="5" xr3:uid="{4388A39A-6AA5-4C7C-A58F-0DD5A9ADEE2D}" name="8000" totalsRowFunction="aver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2ED8B9-C1A3-4A16-B79A-C0FF815CB917}" name="Ganho_ILP" displayName="Ganho_ILP" ref="H3:L6" totalsRowCount="1">
  <autoFilter ref="H3:L5" xr:uid="{212ED8B9-C1A3-4A16-B79A-C0FF815CB917}"/>
  <tableColumns count="5">
    <tableColumn id="1" xr3:uid="{2C2203A2-78EC-404B-B62F-85B6480D328A}" name="256" totalsRowFunction="custom" dataDxfId="8">
      <calculatedColumnFormula>ILP[[#Totals],[256]]</calculatedColumnFormula>
      <totalsRowFormula>H4/H5</totalsRowFormula>
    </tableColumn>
    <tableColumn id="2" xr3:uid="{A5175898-EEB3-4987-B1F9-1DD8699D8170}" name="1000" totalsRowFunction="custom">
      <calculatedColumnFormula>AVX[[#Totals],[1000]]</calculatedColumnFormula>
      <totalsRowFormula>I4/I5</totalsRowFormula>
    </tableColumn>
    <tableColumn id="3" xr3:uid="{3D394E5A-3E2C-45B6-BE52-F2D731C0B09C}" name="2000" totalsRowFunction="custom">
      <calculatedColumnFormula>AVX[[#Totals],[2000]]</calculatedColumnFormula>
      <totalsRowFormula>J4/J5</totalsRowFormula>
    </tableColumn>
    <tableColumn id="4" xr3:uid="{8FAA7275-9975-4992-B2D9-3E782FF772DF}" name="4000" totalsRowFunction="custom">
      <calculatedColumnFormula>AVX[[#Totals],[4000]]</calculatedColumnFormula>
      <totalsRowFormula>K4/K5</totalsRowFormula>
    </tableColumn>
    <tableColumn id="5" xr3:uid="{19AF24C5-E595-41DF-A75F-068488EE7E1D}" name="8000" totalsRowFunction="custom">
      <calculatedColumnFormula>AVX[[#Totals],[8000]]</calculatedColumnFormula>
      <totalsRowFormula>L4/L5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8A38C3-3AEA-4B8B-93B6-457304156AEF}" name="CB" displayName="CB" ref="B2:F13" totalsRowCount="1">
  <autoFilter ref="B2:F12" xr:uid="{718A38C3-3AEA-4B8B-93B6-457304156AEF}"/>
  <tableColumns count="5">
    <tableColumn id="1" xr3:uid="{AB655F55-13C2-4232-86D4-163EE2612B00}" name="256" totalsRowFunction="average"/>
    <tableColumn id="2" xr3:uid="{8A6232F9-BD31-43EA-8052-E633E6B91A1A}" name="1000" totalsRowFunction="average"/>
    <tableColumn id="3" xr3:uid="{C0C07735-2B04-4BDB-A7DD-4125C5781DC4}" name="2000" totalsRowFunction="average"/>
    <tableColumn id="4" xr3:uid="{40E66956-2E25-44CE-91EE-C81928B7F81B}" name="4000" totalsRowFunction="average"/>
    <tableColumn id="5" xr3:uid="{83FB8B4A-ED60-4D67-B92B-C08574A6440C}" name="8000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6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7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A2B9-7416-4431-A447-190C7DDEF432}">
  <dimension ref="B2:X13"/>
  <sheetViews>
    <sheetView workbookViewId="0">
      <selection activeCell="T3" sqref="T3:X13"/>
    </sheetView>
  </sheetViews>
  <sheetFormatPr defaultRowHeight="14.4" x14ac:dyDescent="0.3"/>
  <cols>
    <col min="2" max="24" width="10.5546875" customWidth="1"/>
  </cols>
  <sheetData>
    <row r="2" spans="2:2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T2" t="s">
        <v>0</v>
      </c>
      <c r="U2" t="s">
        <v>1</v>
      </c>
      <c r="V2" t="s">
        <v>2</v>
      </c>
      <c r="W2" t="s">
        <v>3</v>
      </c>
      <c r="X2" t="s">
        <v>4</v>
      </c>
    </row>
    <row r="3" spans="2:24" x14ac:dyDescent="0.3">
      <c r="B3">
        <v>72</v>
      </c>
      <c r="C3">
        <v>6246</v>
      </c>
      <c r="D3">
        <v>85848</v>
      </c>
      <c r="E3">
        <v>777096</v>
      </c>
      <c r="F3">
        <v>6668232</v>
      </c>
      <c r="H3">
        <v>31</v>
      </c>
      <c r="I3">
        <v>2402</v>
      </c>
      <c r="J3">
        <v>56960</v>
      </c>
      <c r="K3">
        <v>590097</v>
      </c>
      <c r="N3">
        <v>15</v>
      </c>
      <c r="O3">
        <v>1994</v>
      </c>
      <c r="P3">
        <v>53629</v>
      </c>
      <c r="Q3">
        <v>581136</v>
      </c>
      <c r="R3">
        <v>4747216</v>
      </c>
      <c r="T3">
        <v>15</v>
      </c>
      <c r="U3">
        <v>1945</v>
      </c>
      <c r="V3">
        <v>55563</v>
      </c>
      <c r="W3">
        <v>644658</v>
      </c>
      <c r="X3">
        <v>4597987</v>
      </c>
    </row>
    <row r="4" spans="2:24" x14ac:dyDescent="0.3">
      <c r="B4">
        <v>78</v>
      </c>
      <c r="C4">
        <v>6247</v>
      </c>
      <c r="D4">
        <v>86845</v>
      </c>
      <c r="E4">
        <v>766771</v>
      </c>
      <c r="F4">
        <v>6617843</v>
      </c>
      <c r="H4">
        <v>31</v>
      </c>
      <c r="I4">
        <v>2513</v>
      </c>
      <c r="J4">
        <v>56898</v>
      </c>
      <c r="K4">
        <v>584462</v>
      </c>
      <c r="N4">
        <v>16</v>
      </c>
      <c r="O4">
        <v>1847</v>
      </c>
      <c r="P4">
        <v>56310</v>
      </c>
      <c r="Q4">
        <v>587028</v>
      </c>
      <c r="R4">
        <v>4882300</v>
      </c>
      <c r="T4">
        <v>15</v>
      </c>
      <c r="U4">
        <v>1886</v>
      </c>
      <c r="V4">
        <v>55415</v>
      </c>
      <c r="W4">
        <v>693941</v>
      </c>
      <c r="X4">
        <v>4593063</v>
      </c>
    </row>
    <row r="5" spans="2:24" x14ac:dyDescent="0.3">
      <c r="B5">
        <v>63</v>
      </c>
      <c r="C5">
        <v>6204</v>
      </c>
      <c r="D5">
        <v>82169</v>
      </c>
      <c r="E5">
        <v>754245</v>
      </c>
      <c r="F5">
        <v>6714248</v>
      </c>
      <c r="H5">
        <v>31</v>
      </c>
      <c r="I5">
        <v>2672</v>
      </c>
      <c r="J5">
        <v>57171</v>
      </c>
      <c r="K5">
        <v>583574</v>
      </c>
      <c r="N5">
        <v>15</v>
      </c>
      <c r="O5">
        <v>1880</v>
      </c>
      <c r="P5">
        <v>54537</v>
      </c>
      <c r="Q5">
        <v>588159</v>
      </c>
      <c r="R5">
        <v>4722924</v>
      </c>
      <c r="T5">
        <v>15</v>
      </c>
      <c r="U5">
        <v>1867</v>
      </c>
      <c r="V5">
        <v>55127</v>
      </c>
      <c r="W5">
        <v>589119</v>
      </c>
      <c r="X5">
        <v>4605850</v>
      </c>
    </row>
    <row r="6" spans="2:24" x14ac:dyDescent="0.3">
      <c r="B6">
        <v>81</v>
      </c>
      <c r="C6">
        <v>6263</v>
      </c>
      <c r="D6">
        <v>86909</v>
      </c>
      <c r="E6">
        <v>766317</v>
      </c>
      <c r="F6">
        <v>6739808</v>
      </c>
      <c r="H6">
        <v>31</v>
      </c>
      <c r="I6">
        <v>2637</v>
      </c>
      <c r="J6">
        <v>57181</v>
      </c>
      <c r="K6">
        <v>583662</v>
      </c>
      <c r="N6">
        <v>15</v>
      </c>
      <c r="O6">
        <v>1833</v>
      </c>
      <c r="P6">
        <v>53583</v>
      </c>
      <c r="Q6">
        <v>588494</v>
      </c>
      <c r="R6">
        <v>4732974</v>
      </c>
      <c r="T6">
        <v>15</v>
      </c>
      <c r="U6">
        <v>1964</v>
      </c>
      <c r="V6">
        <v>54688</v>
      </c>
      <c r="W6">
        <v>572252</v>
      </c>
      <c r="X6">
        <v>4612997</v>
      </c>
    </row>
    <row r="7" spans="2:24" x14ac:dyDescent="0.3">
      <c r="B7">
        <v>80</v>
      </c>
      <c r="C7">
        <v>6651</v>
      </c>
      <c r="D7">
        <v>88319</v>
      </c>
      <c r="E7">
        <v>773648</v>
      </c>
      <c r="F7">
        <v>6780745</v>
      </c>
      <c r="H7">
        <v>32</v>
      </c>
      <c r="I7">
        <v>2624</v>
      </c>
      <c r="J7">
        <v>57634</v>
      </c>
      <c r="K7">
        <v>584953</v>
      </c>
      <c r="N7">
        <v>15</v>
      </c>
      <c r="O7">
        <v>1927</v>
      </c>
      <c r="P7">
        <v>54508</v>
      </c>
      <c r="Q7">
        <v>606851</v>
      </c>
      <c r="R7">
        <v>4711873</v>
      </c>
      <c r="T7">
        <v>15</v>
      </c>
      <c r="U7">
        <v>1916</v>
      </c>
      <c r="V7">
        <v>55038</v>
      </c>
      <c r="W7">
        <v>571890</v>
      </c>
      <c r="X7">
        <v>4614899</v>
      </c>
    </row>
    <row r="8" spans="2:24" x14ac:dyDescent="0.3">
      <c r="B8">
        <v>89</v>
      </c>
      <c r="C8">
        <v>6641</v>
      </c>
      <c r="D8">
        <v>88838</v>
      </c>
      <c r="E8">
        <v>766925</v>
      </c>
      <c r="F8">
        <v>6748182</v>
      </c>
      <c r="H8">
        <v>46</v>
      </c>
      <c r="I8">
        <v>2797</v>
      </c>
      <c r="J8">
        <v>57422</v>
      </c>
      <c r="K8">
        <v>581620</v>
      </c>
      <c r="N8">
        <v>26</v>
      </c>
      <c r="O8">
        <v>2037</v>
      </c>
      <c r="P8">
        <v>54477</v>
      </c>
      <c r="Q8">
        <v>593411</v>
      </c>
      <c r="R8">
        <v>4714214</v>
      </c>
      <c r="T8">
        <v>15</v>
      </c>
      <c r="U8">
        <v>1886</v>
      </c>
      <c r="V8">
        <v>55058</v>
      </c>
      <c r="W8">
        <v>570097</v>
      </c>
      <c r="X8">
        <v>4609190</v>
      </c>
    </row>
    <row r="9" spans="2:24" x14ac:dyDescent="0.3">
      <c r="B9">
        <v>70</v>
      </c>
      <c r="C9">
        <v>6693</v>
      </c>
      <c r="D9">
        <v>88283</v>
      </c>
      <c r="E9">
        <v>775937</v>
      </c>
      <c r="F9">
        <v>6688694</v>
      </c>
      <c r="H9">
        <v>39</v>
      </c>
      <c r="I9">
        <v>2593</v>
      </c>
      <c r="J9">
        <v>57264</v>
      </c>
      <c r="K9">
        <v>583311</v>
      </c>
      <c r="N9">
        <v>22</v>
      </c>
      <c r="O9">
        <v>2037</v>
      </c>
      <c r="P9">
        <v>55025</v>
      </c>
      <c r="Q9">
        <v>590834</v>
      </c>
      <c r="R9">
        <v>4720375</v>
      </c>
      <c r="T9">
        <v>14</v>
      </c>
      <c r="U9">
        <v>2072</v>
      </c>
      <c r="V9">
        <v>54662</v>
      </c>
      <c r="W9">
        <v>569897</v>
      </c>
      <c r="X9">
        <v>4597936</v>
      </c>
    </row>
    <row r="10" spans="2:24" x14ac:dyDescent="0.3">
      <c r="B10">
        <v>104</v>
      </c>
      <c r="C10">
        <v>6605</v>
      </c>
      <c r="D10">
        <v>87538</v>
      </c>
      <c r="E10">
        <v>769105</v>
      </c>
      <c r="F10">
        <v>6670027</v>
      </c>
      <c r="H10">
        <v>31</v>
      </c>
      <c r="I10">
        <v>2656</v>
      </c>
      <c r="J10">
        <v>57318</v>
      </c>
      <c r="K10">
        <v>589703</v>
      </c>
      <c r="N10">
        <v>15</v>
      </c>
      <c r="O10">
        <v>2866</v>
      </c>
      <c r="P10">
        <v>54444</v>
      </c>
      <c r="Q10">
        <v>589296</v>
      </c>
      <c r="R10">
        <v>4722910</v>
      </c>
      <c r="T10">
        <v>31</v>
      </c>
      <c r="U10">
        <v>2088</v>
      </c>
      <c r="V10">
        <v>54956</v>
      </c>
      <c r="W10">
        <v>580473</v>
      </c>
      <c r="X10">
        <v>4605554</v>
      </c>
    </row>
    <row r="11" spans="2:24" x14ac:dyDescent="0.3">
      <c r="B11">
        <v>81</v>
      </c>
      <c r="C11">
        <v>6616</v>
      </c>
      <c r="D11">
        <v>87865</v>
      </c>
      <c r="E11">
        <v>755115</v>
      </c>
      <c r="F11">
        <v>6722520</v>
      </c>
      <c r="H11">
        <v>31</v>
      </c>
      <c r="I11">
        <v>2656</v>
      </c>
      <c r="J11">
        <v>57274</v>
      </c>
      <c r="K11">
        <v>584229</v>
      </c>
      <c r="N11">
        <v>31</v>
      </c>
      <c r="O11">
        <v>2131</v>
      </c>
      <c r="P11">
        <v>53411</v>
      </c>
      <c r="Q11">
        <v>591183</v>
      </c>
      <c r="R11">
        <v>4724579</v>
      </c>
      <c r="T11">
        <v>31</v>
      </c>
      <c r="U11">
        <v>2026</v>
      </c>
      <c r="V11">
        <v>55125</v>
      </c>
      <c r="W11">
        <v>569419</v>
      </c>
      <c r="X11">
        <v>4484159</v>
      </c>
    </row>
    <row r="12" spans="2:24" x14ac:dyDescent="0.3">
      <c r="B12">
        <v>82</v>
      </c>
      <c r="C12">
        <v>6619</v>
      </c>
      <c r="D12">
        <v>86854</v>
      </c>
      <c r="E12">
        <v>758485</v>
      </c>
      <c r="F12">
        <v>6659949</v>
      </c>
      <c r="H12">
        <v>31</v>
      </c>
      <c r="I12">
        <v>2653</v>
      </c>
      <c r="J12">
        <v>57277</v>
      </c>
      <c r="K12">
        <v>585253</v>
      </c>
      <c r="N12">
        <v>31</v>
      </c>
      <c r="O12">
        <v>2000</v>
      </c>
      <c r="P12">
        <v>54461</v>
      </c>
      <c r="Q12">
        <v>591293</v>
      </c>
      <c r="R12">
        <v>4724237</v>
      </c>
      <c r="T12">
        <v>24</v>
      </c>
      <c r="U12">
        <v>1870</v>
      </c>
      <c r="V12">
        <v>55210</v>
      </c>
      <c r="W12">
        <v>571287</v>
      </c>
      <c r="X12">
        <v>4555530</v>
      </c>
    </row>
    <row r="13" spans="2:24" x14ac:dyDescent="0.3">
      <c r="B13">
        <f>SUBTOTAL(101,O_0[256])</f>
        <v>80</v>
      </c>
      <c r="C13">
        <f>SUBTOTAL(101,O_0[1000])</f>
        <v>6478.5</v>
      </c>
      <c r="D13">
        <f>SUBTOTAL(101,O_0[2000])</f>
        <v>86946.8</v>
      </c>
      <c r="E13">
        <f>SUBTOTAL(101,O_0[4000])</f>
        <v>766364.4</v>
      </c>
      <c r="F13">
        <f>SUBTOTAL(101,O_0[8000])</f>
        <v>6701024.7999999998</v>
      </c>
      <c r="H13">
        <f>SUBTOTAL(101,O_1[256])</f>
        <v>33.4</v>
      </c>
      <c r="I13">
        <f>SUBTOTAL(101,O_1[1000])</f>
        <v>2620.3000000000002</v>
      </c>
      <c r="J13">
        <f>SUBTOTAL(101,O_1[2000])</f>
        <v>57239.9</v>
      </c>
      <c r="K13">
        <f>SUBTOTAL(101,O_1[4000])</f>
        <v>585086.4</v>
      </c>
      <c r="L13" t="e">
        <f>SUBTOTAL(101,O_1[8000])</f>
        <v>#DIV/0!</v>
      </c>
      <c r="N13">
        <f>SUBTOTAL(101,O_2[256])</f>
        <v>20.100000000000001</v>
      </c>
      <c r="O13">
        <f>SUBTOTAL(101,O_2[1000])</f>
        <v>2055.1999999999998</v>
      </c>
      <c r="P13">
        <f>SUBTOTAL(101,O_2[2000])</f>
        <v>54438.5</v>
      </c>
      <c r="Q13">
        <f>SUBTOTAL(101,O_2[4000])</f>
        <v>590768.5</v>
      </c>
      <c r="R13">
        <f>SUBTOTAL(101,O_2[8000])</f>
        <v>4740360.2</v>
      </c>
      <c r="T13">
        <f>SUBTOTAL(101,O_3[256])</f>
        <v>19</v>
      </c>
      <c r="U13">
        <f>SUBTOTAL(101,O_3[1000])</f>
        <v>1952</v>
      </c>
      <c r="V13">
        <f>SUBTOTAL(101,O_3[2000])</f>
        <v>55084.2</v>
      </c>
      <c r="W13">
        <f>SUBTOTAL(101,O_3[4000])</f>
        <v>593303.30000000005</v>
      </c>
      <c r="X13">
        <f>SUBTOTAL(101,O_3[8000])</f>
        <v>4587716.5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E21E-F702-43DF-BCC9-674A9C0EF273}">
  <dimension ref="B2:L13"/>
  <sheetViews>
    <sheetView workbookViewId="0">
      <selection activeCell="I13" sqref="I13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6</v>
      </c>
      <c r="C3">
        <v>844</v>
      </c>
      <c r="D3">
        <v>15916</v>
      </c>
      <c r="E3">
        <v>152851</v>
      </c>
      <c r="F3">
        <v>1799857</v>
      </c>
    </row>
    <row r="4" spans="2:12" x14ac:dyDescent="0.3">
      <c r="B4">
        <v>2</v>
      </c>
      <c r="C4">
        <v>829</v>
      </c>
      <c r="D4">
        <v>14920</v>
      </c>
      <c r="E4">
        <v>153291</v>
      </c>
      <c r="F4">
        <v>1805033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2" x14ac:dyDescent="0.3">
      <c r="B5">
        <v>15</v>
      </c>
      <c r="C5">
        <v>905</v>
      </c>
      <c r="D5">
        <v>14801</v>
      </c>
      <c r="E5">
        <v>154260</v>
      </c>
      <c r="F5">
        <v>1801753</v>
      </c>
      <c r="H5">
        <f>O_3[[#Totals],[256]]</f>
        <v>19</v>
      </c>
      <c r="I5">
        <f>O_3[[#Totals],[1000]]</f>
        <v>1952</v>
      </c>
      <c r="J5">
        <f>O_3[[#Totals],[2000]]</f>
        <v>55084.2</v>
      </c>
      <c r="K5">
        <f>O_3[[#Totals],[4000]]</f>
        <v>593303.30000000005</v>
      </c>
      <c r="L5">
        <f>O_3[[#Totals],[8000]]</f>
        <v>4587716.5</v>
      </c>
    </row>
    <row r="6" spans="2:12" x14ac:dyDescent="0.3">
      <c r="B6">
        <v>15</v>
      </c>
      <c r="C6">
        <v>799</v>
      </c>
      <c r="D6">
        <v>14884</v>
      </c>
      <c r="E6">
        <v>152510</v>
      </c>
      <c r="F6">
        <v>1783940</v>
      </c>
      <c r="H6">
        <f>AVX[[#Totals],[256]]</f>
        <v>8.3000000000000007</v>
      </c>
      <c r="I6">
        <f>AVX[[#Totals],[1000]]</f>
        <v>819.2</v>
      </c>
      <c r="J6">
        <f>AVX[[#Totals],[2000]]</f>
        <v>15314.4</v>
      </c>
      <c r="K6">
        <f>AVX[[#Totals],[4000]]</f>
        <v>152389.20000000001</v>
      </c>
      <c r="L6">
        <f>AVX[[#Totals],[8000]]</f>
        <v>1805662.3</v>
      </c>
    </row>
    <row r="7" spans="2:12" x14ac:dyDescent="0.3">
      <c r="B7">
        <v>15</v>
      </c>
      <c r="C7">
        <v>783</v>
      </c>
      <c r="D7">
        <v>15144</v>
      </c>
      <c r="E7">
        <v>152012</v>
      </c>
      <c r="F7">
        <v>1832324</v>
      </c>
      <c r="H7">
        <f>H5/H6</f>
        <v>2.2891566265060237</v>
      </c>
      <c r="I7">
        <f t="shared" ref="I7:K7" si="0">I5/I6</f>
        <v>2.3828125</v>
      </c>
      <c r="J7">
        <f t="shared" si="0"/>
        <v>3.5968892023193857</v>
      </c>
      <c r="K7">
        <f t="shared" si="0"/>
        <v>3.8933421791045562</v>
      </c>
      <c r="L7">
        <f>L5/L6</f>
        <v>2.5407389299759982</v>
      </c>
    </row>
    <row r="8" spans="2:12" x14ac:dyDescent="0.3">
      <c r="B8">
        <v>15</v>
      </c>
      <c r="C8">
        <v>828</v>
      </c>
      <c r="D8">
        <v>15347</v>
      </c>
      <c r="E8">
        <v>151792</v>
      </c>
      <c r="F8">
        <v>1791790</v>
      </c>
    </row>
    <row r="9" spans="2:12" x14ac:dyDescent="0.3">
      <c r="B9">
        <v>15</v>
      </c>
      <c r="C9">
        <v>815</v>
      </c>
      <c r="D9">
        <v>14880</v>
      </c>
      <c r="E9">
        <v>151920</v>
      </c>
      <c r="F9">
        <v>1822138</v>
      </c>
      <c r="H9">
        <f>AVERAGE(Ganho_AVX[#Totals])</f>
        <v>2.9405878875811924</v>
      </c>
    </row>
    <row r="10" spans="2:12" x14ac:dyDescent="0.3">
      <c r="B10">
        <v>0</v>
      </c>
      <c r="C10">
        <v>784</v>
      </c>
      <c r="D10">
        <v>15074</v>
      </c>
      <c r="E10">
        <v>151938</v>
      </c>
      <c r="F10">
        <v>1813662</v>
      </c>
    </row>
    <row r="11" spans="2:12" x14ac:dyDescent="0.3">
      <c r="B11">
        <v>0</v>
      </c>
      <c r="C11">
        <v>799</v>
      </c>
      <c r="D11">
        <v>15785</v>
      </c>
      <c r="E11">
        <v>151565</v>
      </c>
      <c r="F11">
        <v>1797204</v>
      </c>
    </row>
    <row r="12" spans="2:12" x14ac:dyDescent="0.3">
      <c r="B12">
        <v>0</v>
      </c>
      <c r="C12">
        <v>806</v>
      </c>
      <c r="D12">
        <v>16393</v>
      </c>
      <c r="E12">
        <v>151753</v>
      </c>
      <c r="F12">
        <v>1808922</v>
      </c>
    </row>
    <row r="13" spans="2:12" x14ac:dyDescent="0.3">
      <c r="B13">
        <f>SUBTOTAL(101,AVX[256])</f>
        <v>8.3000000000000007</v>
      </c>
      <c r="C13">
        <f>SUBTOTAL(101,AVX[1000])</f>
        <v>819.2</v>
      </c>
      <c r="D13">
        <f>SUBTOTAL(101,AVX[2000])</f>
        <v>15314.4</v>
      </c>
      <c r="E13">
        <f>SUBTOTAL(101,AVX[4000])</f>
        <v>152389.20000000001</v>
      </c>
      <c r="F13">
        <f>SUBTOTAL(101,AVX[8000])</f>
        <v>1805662.3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F470-80DC-481C-A572-AEB1B5C7481B}">
  <dimension ref="B2:L13"/>
  <sheetViews>
    <sheetView topLeftCell="A6" workbookViewId="0">
      <selection activeCell="I11" sqref="I11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12</v>
      </c>
      <c r="C3">
        <v>468</v>
      </c>
      <c r="D3">
        <v>5434</v>
      </c>
      <c r="E3">
        <v>48024</v>
      </c>
      <c r="F3">
        <v>521114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3">
      <c r="B4">
        <v>0</v>
      </c>
      <c r="C4">
        <v>538</v>
      </c>
      <c r="D4">
        <v>5353</v>
      </c>
      <c r="E4">
        <v>47887</v>
      </c>
      <c r="F4">
        <v>520671</v>
      </c>
      <c r="H4">
        <f>AVX[[#Totals],[256]]</f>
        <v>8.3000000000000007</v>
      </c>
      <c r="I4">
        <f>AVX[[#Totals],[1000]]</f>
        <v>819.2</v>
      </c>
      <c r="J4">
        <f>AVX[[#Totals],[2000]]</f>
        <v>15314.4</v>
      </c>
      <c r="K4">
        <f>AVX[[#Totals],[4000]]</f>
        <v>152389.20000000001</v>
      </c>
      <c r="L4">
        <f>AVX[[#Totals],[8000]]</f>
        <v>1805662.3</v>
      </c>
    </row>
    <row r="5" spans="2:12" x14ac:dyDescent="0.3">
      <c r="B5">
        <v>0</v>
      </c>
      <c r="C5">
        <v>424</v>
      </c>
      <c r="D5">
        <v>5333</v>
      </c>
      <c r="E5">
        <v>48665</v>
      </c>
      <c r="F5">
        <v>517295</v>
      </c>
      <c r="H5">
        <f>ILP[[#Totals],[256]]</f>
        <v>4.7</v>
      </c>
      <c r="I5">
        <f>ILP[[#Totals],[1000]]</f>
        <v>432.4</v>
      </c>
      <c r="J5">
        <f>ILP[[#Totals],[2000]]</f>
        <v>5348.9</v>
      </c>
      <c r="K5">
        <f>ILP[[#Totals],[4000]]</f>
        <v>47988.5</v>
      </c>
      <c r="L5">
        <f>ILP[[#Totals],[8000]]</f>
        <v>520734.7</v>
      </c>
    </row>
    <row r="6" spans="2:12" x14ac:dyDescent="0.3">
      <c r="B6">
        <v>15</v>
      </c>
      <c r="C6">
        <v>500</v>
      </c>
      <c r="D6">
        <v>5318</v>
      </c>
      <c r="E6">
        <v>48145</v>
      </c>
      <c r="F6">
        <v>521634</v>
      </c>
      <c r="H6">
        <f>H4/H5</f>
        <v>1.7659574468085106</v>
      </c>
      <c r="I6">
        <f t="shared" ref="I6:L6" si="0">I4/I5</f>
        <v>1.8945420906567996</v>
      </c>
      <c r="J6">
        <f t="shared" si="0"/>
        <v>2.8630933462954999</v>
      </c>
      <c r="K6">
        <f t="shared" si="0"/>
        <v>3.1755358054533902</v>
      </c>
      <c r="L6">
        <f t="shared" si="0"/>
        <v>3.4675282826360525</v>
      </c>
    </row>
    <row r="7" spans="2:12" x14ac:dyDescent="0.3">
      <c r="B7">
        <v>0</v>
      </c>
      <c r="C7">
        <v>390</v>
      </c>
      <c r="D7">
        <v>5345</v>
      </c>
      <c r="E7">
        <v>47910</v>
      </c>
      <c r="F7">
        <v>521405</v>
      </c>
    </row>
    <row r="8" spans="2:12" x14ac:dyDescent="0.3">
      <c r="B8">
        <v>0</v>
      </c>
      <c r="C8">
        <v>397</v>
      </c>
      <c r="D8">
        <v>5368</v>
      </c>
      <c r="E8">
        <v>47920</v>
      </c>
      <c r="F8">
        <v>514730</v>
      </c>
    </row>
    <row r="9" spans="2:12" x14ac:dyDescent="0.3">
      <c r="B9">
        <v>4</v>
      </c>
      <c r="C9">
        <v>388</v>
      </c>
      <c r="D9">
        <v>5355</v>
      </c>
      <c r="E9">
        <v>47618</v>
      </c>
      <c r="F9">
        <v>522181</v>
      </c>
    </row>
    <row r="10" spans="2:12" x14ac:dyDescent="0.3">
      <c r="B10">
        <v>1</v>
      </c>
      <c r="C10">
        <v>412</v>
      </c>
      <c r="D10">
        <v>5331</v>
      </c>
      <c r="E10">
        <v>48059</v>
      </c>
      <c r="F10">
        <v>520235</v>
      </c>
    </row>
    <row r="11" spans="2:12" x14ac:dyDescent="0.3">
      <c r="B11">
        <v>0</v>
      </c>
      <c r="C11">
        <v>391</v>
      </c>
      <c r="D11">
        <v>5333</v>
      </c>
      <c r="E11">
        <v>47680</v>
      </c>
      <c r="F11">
        <v>522562</v>
      </c>
    </row>
    <row r="12" spans="2:12" x14ac:dyDescent="0.3">
      <c r="B12">
        <v>15</v>
      </c>
      <c r="C12">
        <v>416</v>
      </c>
      <c r="D12">
        <v>5319</v>
      </c>
      <c r="E12">
        <v>47977</v>
      </c>
      <c r="F12">
        <v>525520</v>
      </c>
    </row>
    <row r="13" spans="2:12" x14ac:dyDescent="0.3">
      <c r="B13">
        <f>SUBTOTAL(101,ILP[256])</f>
        <v>4.7</v>
      </c>
      <c r="C13">
        <f>SUBTOTAL(101,ILP[1000])</f>
        <v>432.4</v>
      </c>
      <c r="D13">
        <f>SUBTOTAL(101,ILP[2000])</f>
        <v>5348.9</v>
      </c>
      <c r="E13">
        <f>SUBTOTAL(101,ILP[4000])</f>
        <v>47988.5</v>
      </c>
      <c r="F13">
        <f>SUBTOTAL(101,ILP[8000])</f>
        <v>520734.7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6134-031E-48DD-B90C-D6AAC60B9784}">
  <dimension ref="B2:L13"/>
  <sheetViews>
    <sheetView workbookViewId="0">
      <selection activeCell="L18" sqref="L18"/>
    </sheetView>
  </sheetViews>
  <sheetFormatPr defaultRowHeight="14.4" x14ac:dyDescent="0.3"/>
  <cols>
    <col min="8" max="8" width="11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12" x14ac:dyDescent="0.3">
      <c r="B3">
        <v>2</v>
      </c>
      <c r="C3">
        <v>82</v>
      </c>
      <c r="D3">
        <v>707</v>
      </c>
      <c r="E3">
        <v>6848</v>
      </c>
      <c r="F3">
        <v>62448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2:12" x14ac:dyDescent="0.3">
      <c r="B4">
        <v>1</v>
      </c>
      <c r="C4">
        <v>91</v>
      </c>
      <c r="D4">
        <v>706</v>
      </c>
      <c r="E4">
        <v>7100</v>
      </c>
      <c r="F4">
        <v>60432</v>
      </c>
      <c r="H4">
        <f>ILP[[#Totals],[256]]</f>
        <v>4.7</v>
      </c>
      <c r="I4">
        <f>ILP[[#Totals],[1000]]</f>
        <v>432.4</v>
      </c>
      <c r="J4">
        <f>ILP[[#Totals],[2000]]</f>
        <v>5348.9</v>
      </c>
      <c r="K4">
        <f>ILP[[#Totals],[4000]]</f>
        <v>47988.5</v>
      </c>
      <c r="L4">
        <f>ILP[[#Totals],[8000]]</f>
        <v>520734.7</v>
      </c>
    </row>
    <row r="5" spans="2:12" x14ac:dyDescent="0.3">
      <c r="B5">
        <v>0</v>
      </c>
      <c r="C5">
        <v>108</v>
      </c>
      <c r="D5">
        <v>703</v>
      </c>
      <c r="E5">
        <v>6889</v>
      </c>
      <c r="F5">
        <v>61887</v>
      </c>
      <c r="H5">
        <f>CB[[#Totals],[256]]</f>
        <v>0.8</v>
      </c>
      <c r="I5">
        <f>CB[[#Totals],[1000]]</f>
        <v>91</v>
      </c>
      <c r="J5">
        <f>CB[[#Totals],[2000]]</f>
        <v>713.4</v>
      </c>
      <c r="K5">
        <f>CB[[#Totals],[4000]]</f>
        <v>6947.7</v>
      </c>
      <c r="L5">
        <f>CB[[#Totals],[8000]]</f>
        <v>60972.7</v>
      </c>
    </row>
    <row r="6" spans="2:12" x14ac:dyDescent="0.3">
      <c r="B6">
        <v>0</v>
      </c>
      <c r="C6">
        <v>83</v>
      </c>
      <c r="D6">
        <v>713</v>
      </c>
      <c r="E6">
        <v>6867</v>
      </c>
      <c r="F6">
        <v>60961</v>
      </c>
      <c r="H6">
        <f>H4/H5</f>
        <v>5.875</v>
      </c>
      <c r="I6">
        <f t="shared" ref="I6:L6" si="0">I4/I5</f>
        <v>4.7516483516483516</v>
      </c>
      <c r="J6">
        <f t="shared" si="0"/>
        <v>7.4977572189514996</v>
      </c>
      <c r="K6">
        <f t="shared" si="0"/>
        <v>6.9071059487312354</v>
      </c>
      <c r="L6">
        <f t="shared" si="0"/>
        <v>8.5404566305904126</v>
      </c>
    </row>
    <row r="7" spans="2:12" x14ac:dyDescent="0.3">
      <c r="B7">
        <v>0</v>
      </c>
      <c r="C7">
        <v>94</v>
      </c>
      <c r="D7">
        <v>721</v>
      </c>
      <c r="E7">
        <v>6884</v>
      </c>
      <c r="F7">
        <v>60630</v>
      </c>
    </row>
    <row r="8" spans="2:12" x14ac:dyDescent="0.3">
      <c r="B8">
        <v>0</v>
      </c>
      <c r="C8">
        <v>85</v>
      </c>
      <c r="D8">
        <v>718</v>
      </c>
      <c r="E8">
        <v>6879</v>
      </c>
      <c r="F8">
        <v>60838</v>
      </c>
      <c r="H8" t="s">
        <v>0</v>
      </c>
      <c r="I8" t="s">
        <v>1</v>
      </c>
      <c r="J8" t="s">
        <v>2</v>
      </c>
      <c r="K8" t="s">
        <v>3</v>
      </c>
      <c r="L8" t="s">
        <v>4</v>
      </c>
    </row>
    <row r="9" spans="2:12" x14ac:dyDescent="0.3">
      <c r="B9">
        <v>1</v>
      </c>
      <c r="C9">
        <v>79</v>
      </c>
      <c r="D9">
        <v>705</v>
      </c>
      <c r="E9">
        <v>6864</v>
      </c>
      <c r="F9">
        <v>61253</v>
      </c>
      <c r="H9">
        <f>O_0[[#Totals],[256]]</f>
        <v>80</v>
      </c>
      <c r="I9">
        <f>O_0[[#Totals],[1000]]</f>
        <v>6478.5</v>
      </c>
      <c r="J9">
        <f>O_0[[#Totals],[2000]]</f>
        <v>86946.8</v>
      </c>
      <c r="K9">
        <f>O_0[[#Totals],[4000]]</f>
        <v>766364.4</v>
      </c>
      <c r="L9">
        <f>O_0[[#Totals],[8000]]</f>
        <v>6701024.7999999998</v>
      </c>
    </row>
    <row r="10" spans="2:12" x14ac:dyDescent="0.3">
      <c r="B10">
        <v>2</v>
      </c>
      <c r="C10">
        <v>109</v>
      </c>
      <c r="D10">
        <v>716</v>
      </c>
      <c r="E10">
        <v>7212</v>
      </c>
      <c r="F10">
        <v>60850</v>
      </c>
      <c r="H10">
        <f>CB[[#Totals],[256]]</f>
        <v>0.8</v>
      </c>
      <c r="I10">
        <f>CB[[#Totals],[1000]]</f>
        <v>91</v>
      </c>
      <c r="J10">
        <f>CB[[#Totals],[2000]]</f>
        <v>713.4</v>
      </c>
      <c r="K10">
        <f>CB[[#Totals],[4000]]</f>
        <v>6947.7</v>
      </c>
      <c r="L10">
        <f>CB[[#Totals],[8000]]</f>
        <v>60972.7</v>
      </c>
    </row>
    <row r="11" spans="2:12" x14ac:dyDescent="0.3">
      <c r="B11">
        <v>2</v>
      </c>
      <c r="C11">
        <v>92</v>
      </c>
      <c r="D11">
        <v>706</v>
      </c>
      <c r="E11">
        <v>6989</v>
      </c>
      <c r="F11">
        <v>60791</v>
      </c>
      <c r="H11">
        <f>H9/H10</f>
        <v>100</v>
      </c>
      <c r="I11">
        <f t="shared" ref="I11" si="1">I9/I10</f>
        <v>71.192307692307693</v>
      </c>
      <c r="J11">
        <f t="shared" ref="J11" si="2">J9/J10</f>
        <v>121.87664704233249</v>
      </c>
      <c r="K11">
        <f t="shared" ref="K11" si="3">K9/K10</f>
        <v>110.30476272723348</v>
      </c>
      <c r="L11">
        <f t="shared" ref="L11" si="4">L9/L10</f>
        <v>109.90205124588546</v>
      </c>
    </row>
    <row r="12" spans="2:12" x14ac:dyDescent="0.3">
      <c r="B12">
        <v>0</v>
      </c>
      <c r="C12">
        <v>87</v>
      </c>
      <c r="D12">
        <v>739</v>
      </c>
      <c r="E12">
        <v>6945</v>
      </c>
      <c r="F12">
        <v>59637</v>
      </c>
    </row>
    <row r="13" spans="2:12" x14ac:dyDescent="0.3">
      <c r="B13">
        <f>SUBTOTAL(101,CB[256])</f>
        <v>0.8</v>
      </c>
      <c r="C13">
        <f>SUBTOTAL(101,CB[1000])</f>
        <v>91</v>
      </c>
      <c r="D13">
        <f>SUBTOTAL(101,CB[2000])</f>
        <v>713.4</v>
      </c>
      <c r="E13">
        <f>SUBTOTAL(101,CB[4000])</f>
        <v>6947.7</v>
      </c>
      <c r="F13">
        <f>SUBTOTAL(101,CB[8000])</f>
        <v>60972.7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CC6-A66B-49D6-BA4A-901B270773E1}">
  <dimension ref="B2:L13"/>
  <sheetViews>
    <sheetView workbookViewId="0">
      <selection activeCell="K15" sqref="K15"/>
    </sheetView>
  </sheetViews>
  <sheetFormatPr defaultRowHeight="14.4" x14ac:dyDescent="0.3"/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</row>
    <row r="3" spans="2:12" x14ac:dyDescent="0.3">
      <c r="B3">
        <v>4</v>
      </c>
      <c r="C3">
        <v>380</v>
      </c>
      <c r="D3">
        <v>5328</v>
      </c>
      <c r="E3">
        <v>47860</v>
      </c>
      <c r="F3">
        <v>515131</v>
      </c>
      <c r="H3">
        <f>Fortran[[#Totals],[256]]</f>
        <v>3.3</v>
      </c>
      <c r="I3">
        <f>Fortran[[#Totals],[1000]]</f>
        <v>388.8</v>
      </c>
      <c r="J3">
        <f>Fortran[[#Totals],[2000]]</f>
        <v>5300.3</v>
      </c>
      <c r="K3">
        <f>Fortran[[#Totals],[4000]]</f>
        <v>48253.1</v>
      </c>
      <c r="L3">
        <f>Fortran[[#Totals],[8000]]</f>
        <v>514486.9</v>
      </c>
    </row>
    <row r="4" spans="2:12" x14ac:dyDescent="0.3">
      <c r="B4">
        <v>3</v>
      </c>
      <c r="C4">
        <v>387</v>
      </c>
      <c r="D4">
        <v>5272</v>
      </c>
      <c r="E4">
        <v>49123</v>
      </c>
      <c r="F4">
        <v>515062</v>
      </c>
      <c r="H4">
        <f>CB[[#Totals],[256]]</f>
        <v>0.8</v>
      </c>
      <c r="I4">
        <f>CB[[#Totals],[1000]]</f>
        <v>91</v>
      </c>
      <c r="J4">
        <f>CB[[#Totals],[2000]]</f>
        <v>713.4</v>
      </c>
      <c r="K4">
        <f>CB[[#Totals],[4000]]</f>
        <v>6947.7</v>
      </c>
      <c r="L4">
        <f>CB[[#Totals],[8000]]</f>
        <v>60972.7</v>
      </c>
    </row>
    <row r="5" spans="2:12" x14ac:dyDescent="0.3">
      <c r="B5">
        <v>3</v>
      </c>
      <c r="C5">
        <v>382</v>
      </c>
      <c r="D5">
        <v>5216</v>
      </c>
      <c r="E5">
        <v>47578</v>
      </c>
      <c r="F5">
        <v>509796</v>
      </c>
      <c r="H5">
        <f>H3/H4</f>
        <v>4.1249999999999991</v>
      </c>
      <c r="I5">
        <f t="shared" ref="I5:L5" si="0">I3/I4</f>
        <v>4.2725274725274724</v>
      </c>
      <c r="J5">
        <f t="shared" si="0"/>
        <v>7.4296327446033086</v>
      </c>
      <c r="K5">
        <f t="shared" si="0"/>
        <v>6.9451904946960861</v>
      </c>
      <c r="L5">
        <f t="shared" si="0"/>
        <v>8.4379878207788082</v>
      </c>
    </row>
    <row r="6" spans="2:12" x14ac:dyDescent="0.3">
      <c r="B6">
        <v>3</v>
      </c>
      <c r="C6">
        <v>377</v>
      </c>
      <c r="D6">
        <v>5354</v>
      </c>
      <c r="E6">
        <v>51944</v>
      </c>
      <c r="F6">
        <v>512456</v>
      </c>
    </row>
    <row r="7" spans="2:12" x14ac:dyDescent="0.3">
      <c r="B7">
        <v>4</v>
      </c>
      <c r="C7">
        <v>386</v>
      </c>
      <c r="D7">
        <v>5238</v>
      </c>
      <c r="E7">
        <v>47517</v>
      </c>
      <c r="F7">
        <v>520523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12" x14ac:dyDescent="0.3">
      <c r="B8">
        <v>3</v>
      </c>
      <c r="C8">
        <v>397</v>
      </c>
      <c r="D8">
        <v>5246</v>
      </c>
      <c r="E8">
        <v>47327</v>
      </c>
      <c r="F8">
        <v>516227</v>
      </c>
      <c r="H8">
        <f>Fortran[[#Totals],[256]]</f>
        <v>3.3</v>
      </c>
      <c r="I8">
        <f>Fortran[[#Totals],[1000]]</f>
        <v>388.8</v>
      </c>
      <c r="J8">
        <f>Fortran[[#Totals],[2000]]</f>
        <v>5300.3</v>
      </c>
      <c r="K8">
        <f>Fortran[[#Totals],[4000]]</f>
        <v>48253.1</v>
      </c>
      <c r="L8">
        <f>Fortran[[#Totals],[8000]]</f>
        <v>514486.9</v>
      </c>
    </row>
    <row r="9" spans="2:12" x14ac:dyDescent="0.3">
      <c r="B9">
        <v>4</v>
      </c>
      <c r="C9">
        <v>402</v>
      </c>
      <c r="D9">
        <v>5285</v>
      </c>
      <c r="E9">
        <v>47571</v>
      </c>
      <c r="F9">
        <v>509067</v>
      </c>
      <c r="H9">
        <f>ILP[[#Totals],[256]]</f>
        <v>4.7</v>
      </c>
      <c r="I9">
        <f>ILP[[#Totals],[1000]]</f>
        <v>432.4</v>
      </c>
      <c r="J9">
        <f>ILP[[#Totals],[2000]]</f>
        <v>5348.9</v>
      </c>
      <c r="K9">
        <f>ILP[[#Totals],[4000]]</f>
        <v>47988.5</v>
      </c>
      <c r="L9">
        <f>ILP[[#Totals],[8000]]</f>
        <v>520734.7</v>
      </c>
    </row>
    <row r="10" spans="2:12" x14ac:dyDescent="0.3">
      <c r="B10">
        <v>3</v>
      </c>
      <c r="C10">
        <v>388</v>
      </c>
      <c r="D10">
        <v>5468</v>
      </c>
      <c r="E10">
        <v>47436</v>
      </c>
      <c r="F10">
        <v>517658</v>
      </c>
      <c r="H10">
        <f>H8/H9</f>
        <v>0.70212765957446799</v>
      </c>
      <c r="I10">
        <f t="shared" ref="I10:L10" si="1">I8/I9</f>
        <v>0.89916743755781692</v>
      </c>
      <c r="J10">
        <f t="shared" si="1"/>
        <v>0.99091401970498616</v>
      </c>
      <c r="K10">
        <f t="shared" si="1"/>
        <v>1.0055138210196193</v>
      </c>
      <c r="L10">
        <f t="shared" si="1"/>
        <v>0.98800195185763506</v>
      </c>
    </row>
    <row r="11" spans="2:12" x14ac:dyDescent="0.3">
      <c r="B11">
        <v>3</v>
      </c>
      <c r="C11">
        <v>404</v>
      </c>
      <c r="D11">
        <v>5298</v>
      </c>
      <c r="E11">
        <v>47609</v>
      </c>
      <c r="F11">
        <v>513403</v>
      </c>
    </row>
    <row r="12" spans="2:12" x14ac:dyDescent="0.3">
      <c r="B12">
        <v>3</v>
      </c>
      <c r="C12">
        <v>385</v>
      </c>
      <c r="D12">
        <v>5298</v>
      </c>
      <c r="E12">
        <v>48566</v>
      </c>
      <c r="F12">
        <v>515546</v>
      </c>
    </row>
    <row r="13" spans="2:12" x14ac:dyDescent="0.3">
      <c r="B13">
        <f>SUBTOTAL(101,Fortran[256])</f>
        <v>3.3</v>
      </c>
      <c r="C13">
        <f>SUBTOTAL(101,Fortran[1000])</f>
        <v>388.8</v>
      </c>
      <c r="D13">
        <f>SUBTOTAL(101,Fortran[2000])</f>
        <v>5300.3</v>
      </c>
      <c r="E13">
        <f>SUBTOTAL(101,Fortran[4000])</f>
        <v>48253.1</v>
      </c>
      <c r="F13">
        <f>SUBTOTAL(101,Fortran[8000])</f>
        <v>514486.9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934B-4CE7-4AA4-B8D3-65EA3811CDA3}">
  <dimension ref="B2:W13"/>
  <sheetViews>
    <sheetView workbookViewId="0">
      <selection activeCell="P12" sqref="P12"/>
    </sheetView>
  </sheetViews>
  <sheetFormatPr defaultRowHeight="14.4" x14ac:dyDescent="0.3"/>
  <sheetData>
    <row r="2" spans="2:23" x14ac:dyDescent="0.3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N2">
        <v>1572</v>
      </c>
      <c r="O2">
        <v>1912</v>
      </c>
      <c r="P2">
        <v>1642</v>
      </c>
      <c r="Q2">
        <v>1551</v>
      </c>
      <c r="R2">
        <v>1521</v>
      </c>
      <c r="S2">
        <v>1533</v>
      </c>
      <c r="T2">
        <v>1491</v>
      </c>
      <c r="U2">
        <v>1694</v>
      </c>
      <c r="V2">
        <v>1631</v>
      </c>
      <c r="W2">
        <v>1719</v>
      </c>
    </row>
    <row r="3" spans="2:23" x14ac:dyDescent="0.3">
      <c r="B3">
        <v>1572</v>
      </c>
      <c r="C3">
        <v>170429</v>
      </c>
      <c r="D3">
        <v>1422662</v>
      </c>
      <c r="E3">
        <v>12058142</v>
      </c>
      <c r="H3">
        <f>Python[[#Totals],[256]]</f>
        <v>1626.6</v>
      </c>
      <c r="I3">
        <f>Python[[#Totals],[1000]]</f>
        <v>159059.6</v>
      </c>
      <c r="J3">
        <f>Python[[#Totals],[2000]]</f>
        <v>1420854.6</v>
      </c>
      <c r="K3">
        <f>Python[[#Totals],[4000]]</f>
        <v>12103160.6</v>
      </c>
      <c r="N3">
        <v>170429</v>
      </c>
      <c r="O3">
        <v>157240</v>
      </c>
      <c r="P3">
        <v>156050</v>
      </c>
      <c r="Q3">
        <v>155297</v>
      </c>
      <c r="R3">
        <v>158558</v>
      </c>
      <c r="S3">
        <v>159129</v>
      </c>
      <c r="T3">
        <v>158066</v>
      </c>
      <c r="U3">
        <v>158631</v>
      </c>
      <c r="V3">
        <v>158588</v>
      </c>
      <c r="W3">
        <v>158608</v>
      </c>
    </row>
    <row r="4" spans="2:23" x14ac:dyDescent="0.3">
      <c r="B4">
        <v>1912</v>
      </c>
      <c r="C4">
        <v>157240</v>
      </c>
      <c r="D4">
        <v>1443178</v>
      </c>
      <c r="E4">
        <v>11955689</v>
      </c>
      <c r="H4">
        <f>O_3[[#Totals],[256]]</f>
        <v>19</v>
      </c>
      <c r="I4">
        <f>O_3[[#Totals],[1000]]</f>
        <v>1952</v>
      </c>
      <c r="J4">
        <f>O_3[[#Totals],[2000]]</f>
        <v>55084.2</v>
      </c>
      <c r="K4">
        <f>O_3[[#Totals],[4000]]</f>
        <v>593303.30000000005</v>
      </c>
      <c r="N4">
        <v>1422662</v>
      </c>
      <c r="O4">
        <v>1443178</v>
      </c>
      <c r="P4">
        <v>1411213</v>
      </c>
      <c r="Q4">
        <v>1410666</v>
      </c>
      <c r="R4">
        <v>1414102</v>
      </c>
      <c r="S4">
        <v>1424041</v>
      </c>
      <c r="T4">
        <v>1419575</v>
      </c>
      <c r="U4">
        <v>1425199</v>
      </c>
      <c r="V4">
        <v>1418833</v>
      </c>
      <c r="W4">
        <v>1419077</v>
      </c>
    </row>
    <row r="5" spans="2:23" x14ac:dyDescent="0.3">
      <c r="B5">
        <v>1642</v>
      </c>
      <c r="C5">
        <v>156050</v>
      </c>
      <c r="D5">
        <v>1411213</v>
      </c>
      <c r="E5">
        <v>12059280</v>
      </c>
      <c r="H5">
        <f>H3/H4</f>
        <v>85.610526315789471</v>
      </c>
      <c r="I5">
        <f t="shared" ref="I5:K5" si="0">I3/I4</f>
        <v>81.485450819672138</v>
      </c>
      <c r="J5">
        <f t="shared" si="0"/>
        <v>25.794231376692412</v>
      </c>
      <c r="K5">
        <f t="shared" si="0"/>
        <v>20.399617868297714</v>
      </c>
      <c r="N5">
        <v>12058142</v>
      </c>
      <c r="O5">
        <v>11955689</v>
      </c>
      <c r="P5">
        <v>12059280</v>
      </c>
      <c r="Q5">
        <v>12254582</v>
      </c>
      <c r="R5">
        <v>12330081</v>
      </c>
      <c r="S5">
        <v>12138984</v>
      </c>
      <c r="T5">
        <v>12052819</v>
      </c>
      <c r="U5">
        <v>12036472</v>
      </c>
      <c r="V5">
        <v>12075684</v>
      </c>
      <c r="W5">
        <v>12069873</v>
      </c>
    </row>
    <row r="6" spans="2:23" x14ac:dyDescent="0.3">
      <c r="B6">
        <v>1551</v>
      </c>
      <c r="C6">
        <v>155297</v>
      </c>
      <c r="D6">
        <v>1410666</v>
      </c>
      <c r="E6">
        <v>12254582</v>
      </c>
    </row>
    <row r="7" spans="2:23" x14ac:dyDescent="0.3">
      <c r="B7">
        <v>1521</v>
      </c>
      <c r="C7">
        <v>158558</v>
      </c>
      <c r="D7">
        <v>1414102</v>
      </c>
      <c r="E7">
        <v>12330081</v>
      </c>
      <c r="H7" t="s">
        <v>0</v>
      </c>
      <c r="I7" t="s">
        <v>1</v>
      </c>
      <c r="J7" t="s">
        <v>2</v>
      </c>
      <c r="K7" t="s">
        <v>3</v>
      </c>
    </row>
    <row r="8" spans="2:23" x14ac:dyDescent="0.3">
      <c r="B8">
        <v>1533</v>
      </c>
      <c r="C8">
        <v>159129</v>
      </c>
      <c r="D8">
        <v>1424041</v>
      </c>
      <c r="E8">
        <v>12138984</v>
      </c>
      <c r="H8">
        <f>Python[[#Totals],[256]]</f>
        <v>1626.6</v>
      </c>
      <c r="I8">
        <f>Python[[#Totals],[1000]]</f>
        <v>159059.6</v>
      </c>
      <c r="J8">
        <f>Python[[#Totals],[2000]]</f>
        <v>1420854.6</v>
      </c>
      <c r="K8">
        <f>Python[[#Totals],[4000]]</f>
        <v>12103160.6</v>
      </c>
    </row>
    <row r="9" spans="2:23" x14ac:dyDescent="0.3">
      <c r="B9">
        <v>1491</v>
      </c>
      <c r="C9">
        <v>158066</v>
      </c>
      <c r="D9">
        <v>1419575</v>
      </c>
      <c r="E9">
        <v>12052819</v>
      </c>
      <c r="H9">
        <f>CB[[#Totals],[256]]</f>
        <v>0.8</v>
      </c>
      <c r="I9">
        <f>CB[[#Totals],[1000]]</f>
        <v>91</v>
      </c>
      <c r="J9">
        <f>CB[[#Totals],[2000]]</f>
        <v>713.4</v>
      </c>
      <c r="K9">
        <f>CB[[#Totals],[4000]]</f>
        <v>6947.7</v>
      </c>
    </row>
    <row r="10" spans="2:23" x14ac:dyDescent="0.3">
      <c r="B10">
        <v>1694</v>
      </c>
      <c r="C10">
        <v>158631</v>
      </c>
      <c r="D10">
        <v>1425199</v>
      </c>
      <c r="E10">
        <v>12036472</v>
      </c>
      <c r="H10">
        <f>H8/H9</f>
        <v>2033.2499999999998</v>
      </c>
      <c r="I10">
        <f t="shared" ref="I10:K10" si="1">I8/I9</f>
        <v>1747.9076923076923</v>
      </c>
      <c r="J10">
        <f t="shared" si="1"/>
        <v>1991.6661059714047</v>
      </c>
      <c r="K10">
        <f t="shared" si="1"/>
        <v>1742.0384587705285</v>
      </c>
    </row>
    <row r="11" spans="2:23" x14ac:dyDescent="0.3">
      <c r="B11">
        <v>1631</v>
      </c>
      <c r="C11">
        <v>158588</v>
      </c>
      <c r="D11">
        <v>1418833</v>
      </c>
      <c r="E11">
        <v>12075684</v>
      </c>
    </row>
    <row r="12" spans="2:23" x14ac:dyDescent="0.3">
      <c r="B12">
        <v>1719</v>
      </c>
      <c r="C12">
        <v>158608</v>
      </c>
      <c r="D12">
        <v>1419077</v>
      </c>
      <c r="E12">
        <v>12069873</v>
      </c>
    </row>
    <row r="13" spans="2:23" x14ac:dyDescent="0.3">
      <c r="B13">
        <f>SUBTOTAL(101,Python[256])</f>
        <v>1626.6</v>
      </c>
      <c r="C13">
        <f>SUBTOTAL(101,Python[1000])</f>
        <v>159059.6</v>
      </c>
      <c r="D13">
        <f>SUBTOTAL(101,Python[2000])</f>
        <v>1420854.6</v>
      </c>
      <c r="E13">
        <f>SUBTOTAL(101,Python[4000])</f>
        <v>12103160.6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CB7-EFF3-4D78-80DC-BC5CBCF127A2}">
  <dimension ref="B2:W13"/>
  <sheetViews>
    <sheetView tabSelected="1" workbookViewId="0">
      <selection activeCell="H8" sqref="H8:K10"/>
    </sheetView>
  </sheetViews>
  <sheetFormatPr defaultRowHeight="14.4" x14ac:dyDescent="0.3"/>
  <sheetData>
    <row r="2" spans="2:2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>
        <v>3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</row>
    <row r="3" spans="2:23" x14ac:dyDescent="0.3">
      <c r="B3">
        <v>3</v>
      </c>
      <c r="C3">
        <v>19</v>
      </c>
      <c r="D3">
        <v>153</v>
      </c>
      <c r="E3">
        <v>1201</v>
      </c>
      <c r="H3">
        <f>Python[[#Totals],[256]]</f>
        <v>1626.6</v>
      </c>
      <c r="I3">
        <f>Python[[#Totals],[1000]]</f>
        <v>159059.6</v>
      </c>
      <c r="J3">
        <f>Python[[#Totals],[2000]]</f>
        <v>1420854.6</v>
      </c>
      <c r="K3">
        <f>Python[[#Totals],[4000]]</f>
        <v>12103160.6</v>
      </c>
      <c r="L3" t="e">
        <f>#REF!</f>
        <v>#REF!</v>
      </c>
      <c r="N3">
        <v>19</v>
      </c>
      <c r="O3">
        <v>19</v>
      </c>
      <c r="P3">
        <v>23</v>
      </c>
      <c r="Q3">
        <v>25</v>
      </c>
      <c r="R3">
        <v>35</v>
      </c>
      <c r="S3">
        <v>16</v>
      </c>
      <c r="T3">
        <v>17</v>
      </c>
      <c r="U3">
        <v>16</v>
      </c>
      <c r="V3">
        <v>17</v>
      </c>
      <c r="W3">
        <v>22</v>
      </c>
    </row>
    <row r="4" spans="2:23" x14ac:dyDescent="0.3">
      <c r="B4">
        <v>1</v>
      </c>
      <c r="C4">
        <v>19</v>
      </c>
      <c r="D4">
        <v>229</v>
      </c>
      <c r="E4">
        <v>1247</v>
      </c>
      <c r="H4">
        <f>Numpy[[#Totals],[256]]</f>
        <v>0.5</v>
      </c>
      <c r="I4">
        <f>Numpy[[#Totals],[1000]]</f>
        <v>20.9</v>
      </c>
      <c r="J4">
        <f>Numpy[[#Totals],[2000]]</f>
        <v>156.19999999999999</v>
      </c>
      <c r="K4">
        <f>Numpy[[#Totals],[4000]]</f>
        <v>1572.7</v>
      </c>
      <c r="L4" t="e">
        <f>Numpy[[#Totals],[8000]]</f>
        <v>#DIV/0!</v>
      </c>
      <c r="N4">
        <v>153</v>
      </c>
      <c r="O4">
        <v>229</v>
      </c>
      <c r="P4">
        <v>177</v>
      </c>
      <c r="Q4">
        <v>133</v>
      </c>
      <c r="R4">
        <v>121</v>
      </c>
      <c r="S4">
        <v>154</v>
      </c>
      <c r="T4">
        <v>143</v>
      </c>
      <c r="U4">
        <v>127</v>
      </c>
      <c r="V4">
        <v>153</v>
      </c>
      <c r="W4">
        <v>172</v>
      </c>
    </row>
    <row r="5" spans="2:23" x14ac:dyDescent="0.3">
      <c r="B5">
        <v>0</v>
      </c>
      <c r="C5">
        <v>23</v>
      </c>
      <c r="D5">
        <v>177</v>
      </c>
      <c r="E5">
        <v>1339</v>
      </c>
      <c r="H5">
        <f>H3/H4</f>
        <v>3253.2</v>
      </c>
      <c r="I5">
        <f t="shared" ref="I5:L5" si="0">I3/I4</f>
        <v>7610.5071770334935</v>
      </c>
      <c r="J5">
        <f t="shared" si="0"/>
        <v>9096.3802816901425</v>
      </c>
      <c r="K5">
        <f t="shared" si="0"/>
        <v>7695.7847014688114</v>
      </c>
      <c r="L5" t="e">
        <f t="shared" si="0"/>
        <v>#REF!</v>
      </c>
      <c r="N5">
        <v>1201</v>
      </c>
      <c r="O5">
        <v>1247</v>
      </c>
      <c r="P5">
        <v>1339</v>
      </c>
      <c r="Q5">
        <v>1141</v>
      </c>
      <c r="R5">
        <v>3826</v>
      </c>
      <c r="S5">
        <v>1481</v>
      </c>
      <c r="T5">
        <v>1526</v>
      </c>
      <c r="U5">
        <v>1498</v>
      </c>
      <c r="V5">
        <v>1280</v>
      </c>
      <c r="W5">
        <v>1188</v>
      </c>
    </row>
    <row r="6" spans="2:23" x14ac:dyDescent="0.3">
      <c r="B6">
        <v>0</v>
      </c>
      <c r="C6">
        <v>25</v>
      </c>
      <c r="D6">
        <v>133</v>
      </c>
      <c r="E6">
        <v>1141</v>
      </c>
    </row>
    <row r="7" spans="2:23" x14ac:dyDescent="0.3">
      <c r="B7">
        <v>0</v>
      </c>
      <c r="C7">
        <v>35</v>
      </c>
      <c r="D7">
        <v>121</v>
      </c>
      <c r="E7">
        <v>3826</v>
      </c>
      <c r="H7" t="s">
        <v>0</v>
      </c>
      <c r="I7" t="s">
        <v>1</v>
      </c>
      <c r="J7" t="s">
        <v>2</v>
      </c>
      <c r="K7" t="s">
        <v>3</v>
      </c>
      <c r="L7" t="s">
        <v>4</v>
      </c>
    </row>
    <row r="8" spans="2:23" x14ac:dyDescent="0.3">
      <c r="B8">
        <v>0</v>
      </c>
      <c r="C8">
        <v>16</v>
      </c>
      <c r="D8">
        <v>154</v>
      </c>
      <c r="E8">
        <v>1481</v>
      </c>
      <c r="H8">
        <f>CB[[#Totals],[256]]</f>
        <v>0.8</v>
      </c>
      <c r="I8">
        <f>CB[[#Totals],[1000]]</f>
        <v>91</v>
      </c>
      <c r="J8">
        <f>CB[[#Totals],[2000]]</f>
        <v>713.4</v>
      </c>
      <c r="K8">
        <f>CB[[#Totals],[4000]]</f>
        <v>6947.7</v>
      </c>
      <c r="L8">
        <f>CB[[#Totals],[8000]]</f>
        <v>60972.7</v>
      </c>
    </row>
    <row r="9" spans="2:23" x14ac:dyDescent="0.3">
      <c r="B9">
        <v>0</v>
      </c>
      <c r="C9">
        <v>17</v>
      </c>
      <c r="D9">
        <v>143</v>
      </c>
      <c r="E9">
        <v>1526</v>
      </c>
      <c r="H9">
        <f>Numpy[[#Totals],[256]]</f>
        <v>0.5</v>
      </c>
      <c r="I9">
        <f>Numpy[[#Totals],[1000]]</f>
        <v>20.9</v>
      </c>
      <c r="J9">
        <f>Numpy[[#Totals],[2000]]</f>
        <v>156.19999999999999</v>
      </c>
      <c r="K9">
        <f>Numpy[[#Totals],[4000]]</f>
        <v>1572.7</v>
      </c>
      <c r="L9" t="e">
        <f>Numpy[[#Totals],[8000]]</f>
        <v>#DIV/0!</v>
      </c>
    </row>
    <row r="10" spans="2:23" x14ac:dyDescent="0.3">
      <c r="B10">
        <v>0</v>
      </c>
      <c r="C10">
        <v>16</v>
      </c>
      <c r="D10">
        <v>127</v>
      </c>
      <c r="E10">
        <v>1498</v>
      </c>
      <c r="H10">
        <f>H8/H9</f>
        <v>1.6</v>
      </c>
      <c r="I10">
        <f t="shared" ref="I10:L10" si="1">I8/I9</f>
        <v>4.3540669856459333</v>
      </c>
      <c r="J10">
        <f t="shared" si="1"/>
        <v>4.567221510883483</v>
      </c>
      <c r="K10">
        <f t="shared" si="1"/>
        <v>4.4176893240923247</v>
      </c>
      <c r="L10" t="e">
        <f t="shared" si="1"/>
        <v>#DIV/0!</v>
      </c>
    </row>
    <row r="11" spans="2:23" x14ac:dyDescent="0.3">
      <c r="B11">
        <v>0</v>
      </c>
      <c r="C11">
        <v>17</v>
      </c>
      <c r="D11">
        <v>153</v>
      </c>
      <c r="E11">
        <v>1280</v>
      </c>
    </row>
    <row r="12" spans="2:23" x14ac:dyDescent="0.3">
      <c r="B12">
        <v>1</v>
      </c>
      <c r="C12">
        <v>22</v>
      </c>
      <c r="D12">
        <v>172</v>
      </c>
      <c r="E12">
        <v>1188</v>
      </c>
    </row>
    <row r="13" spans="2:23" x14ac:dyDescent="0.3">
      <c r="B13">
        <f>SUBTOTAL(101,Numpy[256])</f>
        <v>0.5</v>
      </c>
      <c r="C13">
        <f>SUBTOTAL(101,Numpy[1000])</f>
        <v>20.9</v>
      </c>
      <c r="D13">
        <f>SUBTOTAL(101,Numpy[2000])</f>
        <v>156.19999999999999</v>
      </c>
      <c r="E13">
        <f>SUBTOTAL(101,Numpy[4000])</f>
        <v>1572.7</v>
      </c>
      <c r="F13" t="e">
        <f>SUBTOTAL(101,Numpy[8000])</f>
        <v>#DIV/0!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GCC</vt:lpstr>
      <vt:lpstr>AVX</vt:lpstr>
      <vt:lpstr>ILP</vt:lpstr>
      <vt:lpstr>CB</vt:lpstr>
      <vt:lpstr>Fortran</vt:lpstr>
      <vt:lpstr>Python</vt:lpstr>
      <vt:lpstr>Numpy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Chiacchio</dc:creator>
  <cp:lastModifiedBy>Alexandre Chiacchio</cp:lastModifiedBy>
  <dcterms:created xsi:type="dcterms:W3CDTF">2023-10-03T13:49:54Z</dcterms:created>
  <dcterms:modified xsi:type="dcterms:W3CDTF">2023-12-30T13:18:10Z</dcterms:modified>
</cp:coreProperties>
</file>