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24236d390cd140/dados/dev/pythonDev/virtualEnvs/realizado_open/dados/"/>
    </mc:Choice>
  </mc:AlternateContent>
  <xr:revisionPtr revIDLastSave="17" documentId="13_ncr:1_{90A916BD-1632-40E0-BD2A-4A845980393B}" xr6:coauthVersionLast="47" xr6:coauthVersionMax="47" xr10:uidLastSave="{BB15181F-B99E-48BF-A660-E8A259873C3C}"/>
  <bookViews>
    <workbookView xWindow="28680" yWindow="-120" windowWidth="25440" windowHeight="15270" tabRatio="813" xr2:uid="{00000000-000D-0000-FFFF-FFFF00000000}"/>
  </bookViews>
  <sheets>
    <sheet name="dez22" sheetId="281" r:id="rId1"/>
    <sheet name="Param" sheetId="260" r:id="rId2"/>
  </sheets>
  <definedNames>
    <definedName name="_xlnm._FilterDatabase" localSheetId="0" hidden="1">'dez22'!$B$1:$N$8</definedName>
    <definedName name="_xlnm._FilterDatabase" localSheetId="1" hidden="1">#REF!</definedName>
    <definedName name="_xlnm._FilterDatabase" hidden="1">#REF!</definedName>
    <definedName name="ListaProj">Param!$C$42</definedName>
    <definedName name="PJ10040_">Param!$D$30</definedName>
    <definedName name="PJ10040__">Param!$E$30</definedName>
    <definedName name="PJ10166_">Param!$D$31</definedName>
    <definedName name="PJ10166__">Param!$E$31</definedName>
    <definedName name="PJ9167_">Param!$D$27</definedName>
    <definedName name="PJ9167__">Param!$E$27</definedName>
    <definedName name="PJ9205_">Param!$D$32</definedName>
    <definedName name="PJ9205__">Param!$E$32</definedName>
    <definedName name="PJ9228_">Param!$D$20</definedName>
    <definedName name="PJ9228__">Param!$E$20</definedName>
    <definedName name="PJ9278_">Param!$D$19</definedName>
    <definedName name="PJ9278__">Param!$E$19</definedName>
    <definedName name="PJ9350_">Param!$D$22</definedName>
    <definedName name="PJ9350__">Param!$E$22</definedName>
    <definedName name="PJ9426_">Param!$D$15</definedName>
    <definedName name="PJ9426__">Param!$E$15</definedName>
    <definedName name="PJ9500_">Param!$D$28</definedName>
    <definedName name="PJ9500__">Param!$E$28</definedName>
    <definedName name="PJ9516_">Param!$D$12:$D$14</definedName>
    <definedName name="PJ9516__">Param!$E$12:$E$14</definedName>
    <definedName name="PJ9646_" localSheetId="0">TabCatalogo[[#This Row],[IDAtividade]]</definedName>
    <definedName name="PJ9646_">TabCatalogo[[#This Row],[IDAtividade]]</definedName>
    <definedName name="PJ9646__">Param!$E$21</definedName>
    <definedName name="PJ9802_">Param!$D$23</definedName>
    <definedName name="PJ9802__">Param!$E$23</definedName>
    <definedName name="PJ9803_">Param!$D$24</definedName>
    <definedName name="PJ9803__">Param!$E$24</definedName>
    <definedName name="PJ9908_">Param!$D$29</definedName>
    <definedName name="PJ9908__">Param!$E$29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260" l="1"/>
  <c r="K13" i="260"/>
  <c r="K14" i="260"/>
  <c r="K15" i="260"/>
  <c r="K16" i="260"/>
  <c r="K17" i="260"/>
  <c r="K18" i="260"/>
  <c r="K19" i="260"/>
  <c r="K20" i="260"/>
  <c r="K21" i="260"/>
  <c r="K22" i="260"/>
  <c r="K23" i="260"/>
  <c r="K24" i="260"/>
  <c r="K25" i="260"/>
  <c r="K26" i="260"/>
  <c r="K27" i="260"/>
  <c r="K28" i="260"/>
  <c r="K29" i="260"/>
  <c r="K30" i="260"/>
  <c r="K31" i="260"/>
  <c r="K32" i="260"/>
  <c r="K33" i="260"/>
  <c r="K34" i="260"/>
  <c r="K35" i="260"/>
  <c r="L12" i="260"/>
  <c r="L13" i="260"/>
  <c r="L14" i="260"/>
  <c r="L15" i="260"/>
  <c r="L16" i="260"/>
  <c r="L17" i="260"/>
  <c r="L18" i="260"/>
  <c r="L19" i="260"/>
  <c r="L20" i="260"/>
  <c r="L21" i="260"/>
  <c r="L22" i="260"/>
  <c r="L23" i="260"/>
  <c r="L24" i="260"/>
  <c r="L25" i="260"/>
  <c r="L26" i="260"/>
  <c r="L27" i="260"/>
  <c r="L28" i="260"/>
  <c r="L29" i="260"/>
  <c r="L30" i="260"/>
  <c r="L31" i="260"/>
  <c r="L32" i="260"/>
  <c r="L33" i="260"/>
  <c r="L34" i="260"/>
  <c r="L35" i="260"/>
  <c r="C40" i="281"/>
  <c r="Q2" i="281" l="1"/>
  <c r="G46" i="281"/>
  <c r="H46" i="281" s="1"/>
  <c r="G45" i="281"/>
  <c r="H45" i="281" s="1"/>
  <c r="G43" i="281"/>
  <c r="H43" i="281" s="1"/>
  <c r="O37" i="281"/>
  <c r="O38" i="281" s="1"/>
  <c r="O39" i="281" s="1"/>
  <c r="C36" i="281"/>
  <c r="P35" i="281"/>
  <c r="G35" i="281"/>
  <c r="H35" i="281" s="1"/>
  <c r="P34" i="281"/>
  <c r="G34" i="281"/>
  <c r="H34" i="281" s="1"/>
  <c r="P33" i="281"/>
  <c r="G33" i="281"/>
  <c r="H33" i="281" s="1"/>
  <c r="B33" i="281"/>
  <c r="S33" i="281" s="1"/>
  <c r="S32" i="281"/>
  <c r="J32" i="281"/>
  <c r="G32" i="281"/>
  <c r="H32" i="281" s="1"/>
  <c r="G31" i="281"/>
  <c r="H31" i="281" s="1"/>
  <c r="G30" i="281"/>
  <c r="H30" i="281" s="1"/>
  <c r="P28" i="281"/>
  <c r="G28" i="281"/>
  <c r="H28" i="281" s="1"/>
  <c r="C24" i="281"/>
  <c r="O22" i="281"/>
  <c r="O23" i="281" s="1"/>
  <c r="O24" i="281" s="1"/>
  <c r="C21" i="281"/>
  <c r="D21" i="281" s="1"/>
  <c r="C22" i="281" s="1"/>
  <c r="P20" i="281"/>
  <c r="G20" i="281"/>
  <c r="H20" i="281" s="1"/>
  <c r="P19" i="281"/>
  <c r="G19" i="281"/>
  <c r="H19" i="281" s="1"/>
  <c r="P18" i="281"/>
  <c r="G18" i="281"/>
  <c r="H18" i="281" s="1"/>
  <c r="B18" i="281"/>
  <c r="S18" i="281" s="1"/>
  <c r="S17" i="281"/>
  <c r="J17" i="281"/>
  <c r="G17" i="281"/>
  <c r="H17" i="281" s="1"/>
  <c r="G16" i="281"/>
  <c r="H16" i="281" s="1"/>
  <c r="G15" i="281"/>
  <c r="H15" i="281" s="1"/>
  <c r="P13" i="281"/>
  <c r="G13" i="281"/>
  <c r="H13" i="281" s="1"/>
  <c r="O7" i="281"/>
  <c r="O8" i="281" s="1"/>
  <c r="O9" i="281" s="1"/>
  <c r="O10" i="281" s="1"/>
  <c r="C6" i="281"/>
  <c r="D6" i="281" s="1"/>
  <c r="C7" i="281" s="1"/>
  <c r="P5" i="281"/>
  <c r="G5" i="281"/>
  <c r="H5" i="281" s="1"/>
  <c r="P4" i="281"/>
  <c r="G4" i="281"/>
  <c r="H4" i="281" s="1"/>
  <c r="P3" i="281"/>
  <c r="G3" i="281"/>
  <c r="H3" i="281" s="1"/>
  <c r="B3" i="281"/>
  <c r="S2" i="281"/>
  <c r="J2" i="281"/>
  <c r="G2" i="281"/>
  <c r="H2" i="281" s="1"/>
  <c r="X230" i="281"/>
  <c r="X232" i="281" s="1"/>
  <c r="X233" i="281" s="1"/>
  <c r="Y172" i="281"/>
  <c r="X145" i="281"/>
  <c r="H43" i="260" a="1"/>
  <c r="H43" i="260" s="1"/>
  <c r="C42" i="260" a="1"/>
  <c r="C42" i="260" s="1"/>
  <c r="J32" i="260"/>
  <c r="G32" i="260"/>
  <c r="G31" i="260"/>
  <c r="G33" i="260"/>
  <c r="M32" i="260"/>
  <c r="M33" i="260"/>
  <c r="Q33" i="281" l="1"/>
  <c r="B34" i="281"/>
  <c r="B36" i="281" s="1"/>
  <c r="S36" i="281" s="1"/>
  <c r="O40" i="281"/>
  <c r="O41" i="281" s="1"/>
  <c r="O42" i="281" s="1"/>
  <c r="O43" i="281" s="1"/>
  <c r="O44" i="281" s="1"/>
  <c r="D36" i="281"/>
  <c r="P36" i="281" s="1"/>
  <c r="P21" i="281"/>
  <c r="D24" i="281"/>
  <c r="O25" i="281"/>
  <c r="O26" i="281" s="1"/>
  <c r="O27" i="281" s="1"/>
  <c r="O28" i="281" s="1"/>
  <c r="O29" i="281" s="1"/>
  <c r="D22" i="281"/>
  <c r="P22" i="281" s="1"/>
  <c r="G21" i="281"/>
  <c r="H21" i="281" s="1"/>
  <c r="B19" i="281"/>
  <c r="Q18" i="281"/>
  <c r="P6" i="281"/>
  <c r="O11" i="281"/>
  <c r="O12" i="281" s="1"/>
  <c r="O13" i="281" s="1"/>
  <c r="O14" i="281" s="1"/>
  <c r="D7" i="281"/>
  <c r="P7" i="281" s="1"/>
  <c r="G6" i="281"/>
  <c r="H6" i="281" s="1"/>
  <c r="B4" i="281"/>
  <c r="S3" i="281"/>
  <c r="Q3" i="281"/>
  <c r="B37" i="281" l="1"/>
  <c r="B38" i="281" s="1"/>
  <c r="S34" i="281"/>
  <c r="B35" i="281"/>
  <c r="Q35" i="281" s="1"/>
  <c r="Q34" i="281"/>
  <c r="G36" i="281"/>
  <c r="H36" i="281" s="1"/>
  <c r="C37" i="281"/>
  <c r="G22" i="281"/>
  <c r="H22" i="281" s="1"/>
  <c r="C23" i="281"/>
  <c r="B21" i="281"/>
  <c r="B20" i="281"/>
  <c r="S19" i="281"/>
  <c r="Q19" i="281"/>
  <c r="G24" i="281"/>
  <c r="H24" i="281" s="1"/>
  <c r="C25" i="281"/>
  <c r="G7" i="281"/>
  <c r="H7" i="281" s="1"/>
  <c r="C8" i="281"/>
  <c r="B6" i="281"/>
  <c r="Q4" i="281"/>
  <c r="B5" i="281"/>
  <c r="S4" i="281"/>
  <c r="J16" i="260"/>
  <c r="J17" i="260"/>
  <c r="J18" i="260"/>
  <c r="J19" i="260"/>
  <c r="J20" i="260"/>
  <c r="J21" i="260"/>
  <c r="J22" i="260"/>
  <c r="J23" i="260"/>
  <c r="J24" i="260"/>
  <c r="J25" i="260"/>
  <c r="J26" i="260"/>
  <c r="J27" i="260"/>
  <c r="J28" i="260"/>
  <c r="J29" i="260"/>
  <c r="J30" i="260"/>
  <c r="J31" i="260"/>
  <c r="J15" i="260"/>
  <c r="J13" i="260"/>
  <c r="J14" i="260"/>
  <c r="J12" i="260"/>
  <c r="G34" i="260"/>
  <c r="M34" i="260"/>
  <c r="G35" i="260"/>
  <c r="M35" i="260"/>
  <c r="S37" i="281" l="1"/>
  <c r="S35" i="281"/>
  <c r="Q36" i="281"/>
  <c r="Q37" i="281"/>
  <c r="S38" i="281"/>
  <c r="B39" i="281"/>
  <c r="Q38" i="281"/>
  <c r="D40" i="281"/>
  <c r="D37" i="281"/>
  <c r="P37" i="281" s="1"/>
  <c r="S20" i="281"/>
  <c r="Q20" i="281"/>
  <c r="Q21" i="281"/>
  <c r="B22" i="281"/>
  <c r="S21" i="281"/>
  <c r="D23" i="281"/>
  <c r="P23" i="281" s="1"/>
  <c r="D25" i="281"/>
  <c r="P25" i="281" s="1"/>
  <c r="D8" i="281"/>
  <c r="S5" i="281"/>
  <c r="Q5" i="281"/>
  <c r="Q6" i="281"/>
  <c r="B7" i="281"/>
  <c r="S6" i="281"/>
  <c r="G19" i="260"/>
  <c r="M19" i="260"/>
  <c r="S39" i="281" l="1"/>
  <c r="Q39" i="281"/>
  <c r="B40" i="281"/>
  <c r="G37" i="281"/>
  <c r="H37" i="281" s="1"/>
  <c r="C38" i="281"/>
  <c r="C41" i="281"/>
  <c r="G40" i="281"/>
  <c r="H40" i="281" s="1"/>
  <c r="G23" i="281"/>
  <c r="H23" i="281" s="1"/>
  <c r="P24" i="281"/>
  <c r="B23" i="281"/>
  <c r="S22" i="281"/>
  <c r="Q22" i="281"/>
  <c r="C26" i="281"/>
  <c r="G25" i="281"/>
  <c r="H25" i="281" s="1"/>
  <c r="B8" i="281"/>
  <c r="S7" i="281"/>
  <c r="Q7" i="281"/>
  <c r="G8" i="281"/>
  <c r="H8" i="281" s="1"/>
  <c r="P8" i="281"/>
  <c r="D41" i="281" l="1"/>
  <c r="P41" i="281" s="1"/>
  <c r="D38" i="281"/>
  <c r="S40" i="281"/>
  <c r="Q40" i="281"/>
  <c r="B41" i="281"/>
  <c r="B24" i="281"/>
  <c r="Q23" i="281"/>
  <c r="S23" i="281"/>
  <c r="D26" i="281"/>
  <c r="P26" i="281" s="1"/>
  <c r="B9" i="281"/>
  <c r="S8" i="281"/>
  <c r="Q8" i="281"/>
  <c r="G39" i="281" l="1"/>
  <c r="H39" i="281" s="1"/>
  <c r="P40" i="281"/>
  <c r="G41" i="281"/>
  <c r="H41" i="281" s="1"/>
  <c r="C42" i="281"/>
  <c r="G38" i="281"/>
  <c r="H38" i="281" s="1"/>
  <c r="P39" i="281"/>
  <c r="Q41" i="281"/>
  <c r="S41" i="281"/>
  <c r="B42" i="281"/>
  <c r="P38" i="281"/>
  <c r="G26" i="281"/>
  <c r="H26" i="281" s="1"/>
  <c r="S24" i="281"/>
  <c r="Q24" i="281"/>
  <c r="B25" i="281"/>
  <c r="P9" i="281"/>
  <c r="S9" i="281"/>
  <c r="Q9" i="281"/>
  <c r="B10" i="281"/>
  <c r="G9" i="281"/>
  <c r="H9" i="281" s="1"/>
  <c r="Q42" i="281" l="1"/>
  <c r="B43" i="281"/>
  <c r="S42" i="281"/>
  <c r="P10" i="281"/>
  <c r="D42" i="281"/>
  <c r="P43" i="281" s="1"/>
  <c r="B26" i="281"/>
  <c r="S25" i="281"/>
  <c r="Q25" i="281"/>
  <c r="G10" i="281"/>
  <c r="H10" i="281" s="1"/>
  <c r="B11" i="281"/>
  <c r="S10" i="281"/>
  <c r="Q10" i="281"/>
  <c r="P42" i="281" l="1"/>
  <c r="Q43" i="281"/>
  <c r="B44" i="281"/>
  <c r="S43" i="281"/>
  <c r="C44" i="281"/>
  <c r="G42" i="281"/>
  <c r="H42" i="281" s="1"/>
  <c r="G27" i="281"/>
  <c r="H27" i="281" s="1"/>
  <c r="P27" i="281"/>
  <c r="Q26" i="281"/>
  <c r="B27" i="281"/>
  <c r="S26" i="281"/>
  <c r="P11" i="281"/>
  <c r="Q11" i="281"/>
  <c r="B12" i="281"/>
  <c r="S11" i="281"/>
  <c r="D44" i="281" l="1"/>
  <c r="G44" i="281" s="1"/>
  <c r="H44" i="281" s="1"/>
  <c r="S44" i="281"/>
  <c r="Q44" i="281"/>
  <c r="B45" i="281"/>
  <c r="S27" i="281"/>
  <c r="Q27" i="281"/>
  <c r="B28" i="281"/>
  <c r="G29" i="281"/>
  <c r="H29" i="281" s="1"/>
  <c r="G11" i="281"/>
  <c r="H11" i="281" s="1"/>
  <c r="S12" i="281"/>
  <c r="Q12" i="281"/>
  <c r="B13" i="281"/>
  <c r="G21" i="260"/>
  <c r="M21" i="260"/>
  <c r="G22" i="260"/>
  <c r="M22" i="260"/>
  <c r="G20" i="260"/>
  <c r="M20" i="260"/>
  <c r="S45" i="281" l="1"/>
  <c r="B46" i="281"/>
  <c r="P44" i="281"/>
  <c r="P29" i="281"/>
  <c r="Q28" i="281"/>
  <c r="B29" i="281"/>
  <c r="S28" i="281"/>
  <c r="Q13" i="281"/>
  <c r="B14" i="281"/>
  <c r="S13" i="281"/>
  <c r="S46" i="281" l="1"/>
  <c r="S29" i="281"/>
  <c r="Q29" i="281"/>
  <c r="B30" i="281"/>
  <c r="G12" i="281"/>
  <c r="H12" i="281" s="1"/>
  <c r="P12" i="281"/>
  <c r="S14" i="281"/>
  <c r="Q14" i="281"/>
  <c r="B15" i="281"/>
  <c r="S30" i="281" l="1"/>
  <c r="B31" i="281"/>
  <c r="Q32" i="281" s="1"/>
  <c r="G14" i="281"/>
  <c r="H14" i="281" s="1"/>
  <c r="S15" i="281"/>
  <c r="B16" i="281"/>
  <c r="T27" i="281" l="1"/>
  <c r="T40" i="281"/>
  <c r="T38" i="281"/>
  <c r="T43" i="281"/>
  <c r="R34" i="281"/>
  <c r="T33" i="281"/>
  <c r="T25" i="281"/>
  <c r="T42" i="281"/>
  <c r="R37" i="281"/>
  <c r="T35" i="281"/>
  <c r="T34" i="281"/>
  <c r="T32" i="281"/>
  <c r="U32" i="281" s="1"/>
  <c r="V32" i="281" s="1"/>
  <c r="Q17" i="281"/>
  <c r="R20" i="281" s="1"/>
  <c r="T41" i="281"/>
  <c r="T39" i="281"/>
  <c r="R40" i="281"/>
  <c r="R45" i="281"/>
  <c r="T45" i="281"/>
  <c r="T37" i="281"/>
  <c r="R44" i="281"/>
  <c r="T30" i="281"/>
  <c r="T28" i="281"/>
  <c r="R43" i="281"/>
  <c r="R35" i="281"/>
  <c r="R32" i="281"/>
  <c r="T36" i="281"/>
  <c r="T44" i="281"/>
  <c r="R33" i="281"/>
  <c r="T29" i="281"/>
  <c r="R42" i="281"/>
  <c r="R38" i="281"/>
  <c r="T46" i="281"/>
  <c r="R36" i="281"/>
  <c r="R46" i="281"/>
  <c r="I32" i="281"/>
  <c r="P32" i="281" s="1"/>
  <c r="R41" i="281"/>
  <c r="R39" i="281"/>
  <c r="S31" i="281"/>
  <c r="T31" i="281" s="1"/>
  <c r="T19" i="281"/>
  <c r="T18" i="281"/>
  <c r="T21" i="281"/>
  <c r="T20" i="281"/>
  <c r="T17" i="281"/>
  <c r="U17" i="281" s="1"/>
  <c r="V17" i="281" s="1"/>
  <c r="T24" i="281"/>
  <c r="T22" i="281"/>
  <c r="T26" i="281"/>
  <c r="T23" i="281"/>
  <c r="P14" i="281"/>
  <c r="S16" i="281"/>
  <c r="R30" i="281" l="1"/>
  <c r="R25" i="281"/>
  <c r="R24" i="281"/>
  <c r="R17" i="281"/>
  <c r="R18" i="281"/>
  <c r="R23" i="281"/>
  <c r="R27" i="281"/>
  <c r="R22" i="281"/>
  <c r="R21" i="281"/>
  <c r="R29" i="281"/>
  <c r="R31" i="281"/>
  <c r="I17" i="281"/>
  <c r="P17" i="281" s="1"/>
  <c r="R19" i="281"/>
  <c r="R26" i="281"/>
  <c r="R28" i="281"/>
  <c r="G14" i="260" l="1"/>
  <c r="M14" i="260"/>
  <c r="M31" i="260" l="1"/>
  <c r="B36" i="260"/>
  <c r="G30" i="260"/>
  <c r="M30" i="260"/>
  <c r="T2" i="281" l="1"/>
  <c r="U2" i="281" s="1"/>
  <c r="V2" i="281" s="1"/>
  <c r="T4" i="281"/>
  <c r="T3" i="281"/>
  <c r="T6" i="281"/>
  <c r="T5" i="281"/>
  <c r="T7" i="281"/>
  <c r="T8" i="281"/>
  <c r="T9" i="281"/>
  <c r="T10" i="281"/>
  <c r="T11" i="281"/>
  <c r="T12" i="281"/>
  <c r="T13" i="281"/>
  <c r="T14" i="281"/>
  <c r="T16" i="281"/>
  <c r="T15" i="281"/>
  <c r="G27" i="260"/>
  <c r="M27" i="260"/>
  <c r="G13" i="260"/>
  <c r="M13" i="260"/>
  <c r="I2" i="281" l="1"/>
  <c r="P2" i="281" s="1"/>
  <c r="R3" i="281"/>
  <c r="R6" i="281"/>
  <c r="R2" i="281"/>
  <c r="R7" i="281"/>
  <c r="R5" i="281"/>
  <c r="R9" i="281"/>
  <c r="R8" i="281"/>
  <c r="R10" i="281"/>
  <c r="R13" i="281"/>
  <c r="R4" i="281"/>
  <c r="R11" i="281"/>
  <c r="R12" i="281"/>
  <c r="R14" i="281"/>
  <c r="R16" i="281"/>
  <c r="R15" i="281"/>
  <c r="R47" i="281" l="1"/>
  <c r="I47" i="281"/>
  <c r="M16" i="260" l="1"/>
  <c r="M17" i="260"/>
  <c r="M18" i="260"/>
  <c r="M23" i="260"/>
  <c r="M24" i="260"/>
  <c r="M25" i="260"/>
  <c r="M26" i="260"/>
  <c r="M28" i="260"/>
  <c r="M29" i="260"/>
  <c r="M12" i="260"/>
  <c r="M15" i="260"/>
  <c r="K25" i="281"/>
  <c r="M25" i="281" s="1"/>
  <c r="K41" i="281"/>
  <c r="M41" i="281" s="1"/>
  <c r="K44" i="281"/>
  <c r="M44" i="281" s="1"/>
  <c r="K19" i="281"/>
  <c r="M19" i="281" s="1"/>
  <c r="G23" i="260"/>
  <c r="G24" i="260"/>
  <c r="G25" i="260"/>
  <c r="G26" i="260"/>
  <c r="G28" i="260"/>
  <c r="G29" i="260"/>
  <c r="G12" i="260"/>
  <c r="G15" i="260"/>
  <c r="K11" i="281"/>
  <c r="M11" i="281" s="1"/>
  <c r="K42" i="281"/>
  <c r="M42" i="281" s="1"/>
  <c r="K21" i="281"/>
  <c r="M21" i="281" s="1"/>
  <c r="K13" i="281"/>
  <c r="K28" i="281"/>
  <c r="K14" i="281"/>
  <c r="M14" i="281" s="1"/>
  <c r="K29" i="281"/>
  <c r="M29" i="281" s="1"/>
  <c r="K46" i="281"/>
  <c r="M46" i="281" s="1"/>
  <c r="K30" i="281"/>
  <c r="M30" i="281" s="1"/>
  <c r="K45" i="281"/>
  <c r="M45" i="281" s="1"/>
  <c r="K36" i="281"/>
  <c r="M36" i="281" s="1"/>
  <c r="K40" i="281"/>
  <c r="M40" i="281" s="1"/>
  <c r="K15" i="281"/>
  <c r="M15" i="281"/>
  <c r="K8" i="281"/>
  <c r="M8" i="281" s="1"/>
  <c r="K38" i="281"/>
  <c r="M38" i="281" s="1"/>
  <c r="K23" i="281"/>
  <c r="M23" i="281" s="1"/>
  <c r="K39" i="281"/>
  <c r="M39" i="281" s="1"/>
  <c r="K9" i="281"/>
  <c r="M9" i="281" s="1"/>
  <c r="K24" i="281"/>
  <c r="M24" i="281" s="1"/>
  <c r="K6" i="281"/>
  <c r="M6" i="281" s="1"/>
  <c r="K27" i="281"/>
  <c r="M27" i="281" s="1"/>
  <c r="K12" i="281"/>
  <c r="M12" i="281" s="1"/>
  <c r="K43" i="281"/>
  <c r="M43" i="281" s="1"/>
  <c r="K22" i="281"/>
  <c r="M22" i="281" s="1"/>
  <c r="K37" i="281"/>
  <c r="M37" i="281" s="1"/>
  <c r="K7" i="281"/>
  <c r="M7" i="281" s="1"/>
  <c r="K35" i="281"/>
  <c r="M35" i="281" s="1"/>
  <c r="K3" i="281"/>
  <c r="M3" i="281" s="1"/>
  <c r="K5" i="281"/>
  <c r="M5" i="281" s="1"/>
  <c r="K18" i="281"/>
  <c r="M18" i="281" s="1"/>
  <c r="K4" i="281"/>
  <c r="M4" i="281" s="1"/>
  <c r="K20" i="281"/>
  <c r="M20" i="281" s="1"/>
  <c r="K34" i="281"/>
  <c r="M34" i="281" s="1"/>
  <c r="K33" i="281"/>
  <c r="M33" i="281" s="1"/>
  <c r="K31" i="281"/>
  <c r="M31" i="281" s="1"/>
  <c r="K16" i="281"/>
  <c r="M16" i="281" s="1"/>
  <c r="M13" i="281" l="1"/>
  <c r="M28" i="281"/>
  <c r="K26" i="281"/>
  <c r="M26" i="281" s="1"/>
  <c r="K10" i="281"/>
  <c r="M10" i="28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<sst xmlns="http://schemas.openxmlformats.org/spreadsheetml/2006/main" count="277" uniqueCount="109">
  <si>
    <t>Data</t>
  </si>
  <si>
    <t>Fim</t>
  </si>
  <si>
    <t>Atividade</t>
  </si>
  <si>
    <t>Projeto</t>
  </si>
  <si>
    <t>Valor</t>
  </si>
  <si>
    <t>Total</t>
  </si>
  <si>
    <t>PJ9516</t>
  </si>
  <si>
    <t>Tema</t>
  </si>
  <si>
    <t>PJ9426 - GESTÃO DE DEMANDAS - ATIV. OP. CSC 2022 - COMERCIAL SERVIÇO | PARTE 2</t>
  </si>
  <si>
    <t>Descrição</t>
  </si>
  <si>
    <t>IDProjeto</t>
  </si>
  <si>
    <t>PJ9426</t>
  </si>
  <si>
    <t>PJ9516 - FSW-BNU - Administrativo - 2022</t>
  </si>
  <si>
    <t>IDAtividade</t>
  </si>
  <si>
    <t>1.3.2.1  -  Elaborar propostas comerciais</t>
  </si>
  <si>
    <t>S</t>
  </si>
  <si>
    <t>N</t>
  </si>
  <si>
    <t>ProjID</t>
  </si>
  <si>
    <t>AtiviD</t>
  </si>
  <si>
    <t>Descricao</t>
  </si>
  <si>
    <t>HrDec</t>
  </si>
  <si>
    <t>Conversão horas para decimal</t>
  </si>
  <si>
    <t>Horas por dia</t>
  </si>
  <si>
    <t>Parametro</t>
  </si>
  <si>
    <t>Sobrep.  hr?</t>
  </si>
  <si>
    <t>Fim.</t>
  </si>
  <si>
    <t>Lnc?</t>
  </si>
  <si>
    <t>Ini</t>
  </si>
  <si>
    <t>Ac</t>
  </si>
  <si>
    <t>Ini.</t>
  </si>
  <si>
    <t>Hora inválida!</t>
  </si>
  <si>
    <t>Novo dia!</t>
  </si>
  <si>
    <t xml:space="preserve">&lt;&gt; </t>
  </si>
  <si>
    <t>Hrd</t>
  </si>
  <si>
    <t>Suges</t>
  </si>
  <si>
    <t>Novo Dia?</t>
  </si>
  <si>
    <t>Hr Dia</t>
  </si>
  <si>
    <t>PJ9278 - COPEL HLD - SGE - Sistema de Gestão Empresarial - JAVA</t>
  </si>
  <si>
    <t>PJ9228 - COPEL HLD - GAMOS - Gestão de Aquisição de Materiais, Obras e Serviços - JAVA</t>
  </si>
  <si>
    <t>PJ9350 - COPEL DIS - PDR - Solução de Redes de Distribuição Digitais - JAVA</t>
  </si>
  <si>
    <t>PJ9802 - COPEL DIS - NTC - Normas Técnicas Copel - JAVA</t>
  </si>
  <si>
    <t>PJ9803 - COPEL DIS - NTC - Normas Técnicas Copel - FLUTTER</t>
  </si>
  <si>
    <t>PJ9167 - COPEL HLD - App Copel - FLUTTER</t>
  </si>
  <si>
    <t>PJ9500 - COPEL GET - ETM - Aplicativo de Gestão de Eventos - FLUTTER</t>
  </si>
  <si>
    <t>PJ9908 - COPEL GET - IMTS - Inspeção de Manutenção Tipo O em Substração - FLUTTER</t>
  </si>
  <si>
    <t>PJ9278</t>
  </si>
  <si>
    <t>PJ9228</t>
  </si>
  <si>
    <t>PJ9350</t>
  </si>
  <si>
    <t>PJ9802</t>
  </si>
  <si>
    <t>PJ9803</t>
  </si>
  <si>
    <t>PJ9167</t>
  </si>
  <si>
    <t>PJ9500</t>
  </si>
  <si>
    <t>PJ9908</t>
  </si>
  <si>
    <t>Acompanhamento das atividades da Sprint 3 com Edson e Eduardo</t>
  </si>
  <si>
    <t>Acompanhamento das atividades da Sprint 1 com Edson, Yure, Anderson e Marcelo</t>
  </si>
  <si>
    <t>Acompanhamento das atividades da Sprint 1 com Edson e Marcelo</t>
  </si>
  <si>
    <t>Acompanhamento das correções de bugs na Sprint 11 com Jeferson, Marcelo, Francisco e Eryk</t>
  </si>
  <si>
    <t>Acompanhamento e alinhamento com Marcelo e Daniel sobre atividades pendentes</t>
  </si>
  <si>
    <t>Coluna1</t>
  </si>
  <si>
    <t>NMProjeto</t>
  </si>
  <si>
    <t>NMAtividade</t>
  </si>
  <si>
    <t>Lista única de projetos</t>
  </si>
  <si>
    <t>IDProjeto2</t>
  </si>
  <si>
    <t>IDProjeto_</t>
  </si>
  <si>
    <t>IDAtividade2</t>
  </si>
  <si>
    <t>Coluna2</t>
  </si>
  <si>
    <t>Dur</t>
  </si>
  <si>
    <t>DtAux</t>
  </si>
  <si>
    <t>QtdLanc</t>
  </si>
  <si>
    <t>PJ9646 - COPEL DIS - PAVe - Posto de Atendimento Virtual para Clientes - JAVA</t>
  </si>
  <si>
    <t>PJ9646</t>
  </si>
  <si>
    <t>3.3 - Reunião de alinhamento Fábrica</t>
  </si>
  <si>
    <t>3.4 - Apoio a outras áreas</t>
  </si>
  <si>
    <t>Acompanhamento das atividades com Jeferson, Marcelo, Francisco e Eryk</t>
  </si>
  <si>
    <t>Fim &gt; que início!</t>
  </si>
  <si>
    <t>PJ10040</t>
  </si>
  <si>
    <t>PJ10040 - COPEL DIS - BIP - Sistema BIP - JAVA</t>
  </si>
  <si>
    <t>Acompanhamento das atividades da Sprint 12 com Mauricio, Lucas e Thiago</t>
  </si>
  <si>
    <t>Integração com novo Dev Java Leandro Granjeiro Santos</t>
  </si>
  <si>
    <t>Entrevista com RH das candidatas Aparecida, Roberta e Deise para vaga de analista de requistos Copel</t>
  </si>
  <si>
    <t xml:space="preserve">Acompanhamento das atividades com Cecilia e Leandro </t>
  </si>
  <si>
    <t>3  -  Ociosidade - Ataque Cibernético</t>
  </si>
  <si>
    <t>Ociosidade devido ao ataque que sofremos</t>
  </si>
  <si>
    <t>Acompanhamento das atividades da Sprint 5 com Cecilia e Leandro</t>
  </si>
  <si>
    <t>Sprint 3 - Gestão</t>
  </si>
  <si>
    <t>Acompanhamento das atividades da Sprint 3 com Cecilia e Vinicius</t>
  </si>
  <si>
    <t>Sprint 2 - Gestão</t>
  </si>
  <si>
    <t>Sprint 6 - Gestão</t>
  </si>
  <si>
    <t>Gestão Sprint 6</t>
  </si>
  <si>
    <t>Sprint 9 - Gestão</t>
  </si>
  <si>
    <t>Sprint 10 - Gestão</t>
  </si>
  <si>
    <t>Sprint 12 - Gestão</t>
  </si>
  <si>
    <t>PJ10166 - COPEL DIS - GGR - Gestão De Grupos De Trabalho - JAVA</t>
  </si>
  <si>
    <t>PJ10166</t>
  </si>
  <si>
    <t>Sprint 1 - Gestão do Projeto</t>
  </si>
  <si>
    <t>PJ9205 - COPEL HLD - CPS - Controle de Participação Societária - JAVA</t>
  </si>
  <si>
    <t>PJ9205</t>
  </si>
  <si>
    <t>Sprint 15 - Gestão</t>
  </si>
  <si>
    <t>Levantamento de informações e redação de resposta á notificação enviada pelo cliente, para evitarmos multa</t>
  </si>
  <si>
    <t>Levantamento de informações e redação de resposta a notificação enviada pelo cliente, para evitarmos a multa</t>
  </si>
  <si>
    <t>Acompanhamento das atividades com Marcello, Lucas e Thiago</t>
  </si>
  <si>
    <t>Acompanhamento das atividades com Jean, Luan  e Gustavo</t>
  </si>
  <si>
    <t>Acompanhamento das atividades com Jean, Yure, Anderson e Marcelo</t>
  </si>
  <si>
    <t>Acompanhamento das atividades da sprint com Jean e Eryk</t>
  </si>
  <si>
    <t>Acompanhamento das atividades com Marcello</t>
  </si>
  <si>
    <t>Sprint 5 - Gestão</t>
  </si>
  <si>
    <t>Acompanhamento das atividades com Cecilia, Vinicius e Francisco</t>
  </si>
  <si>
    <t>Sprint 16 - Gestão</t>
  </si>
  <si>
    <t>Acompanhamento das atividades com Jean, Yure, Anderson e Eryk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</si>
</sst>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[h]:mm:ss;@"/>
    <numFmt numFmtId="167" formatCode="dd/mm/yy;@"/>
    <numFmt numFmtId="168" formatCode="[h]:mm;@"/>
    <numFmt numFmtId="169" formatCode="_(* #,##0.000_);_(* \(#,##0.000\);_(* &quot;-&quot;??_);_(@_)"/>
    <numFmt numFmtId="170" formatCode="_(* #,##0_);_(* \(#,##0\);_(* &quot;-&quot;??_);_(@_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/>
      <right/>
      <top style="double">
        <color rgb="FFFF0000"/>
      </top>
      <bottom/>
      <diagonal/>
    </border>
  </borders>
  <cellStyleXfs count="24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16" fillId="0" borderId="0"/>
    <xf numFmtId="0" fontId="15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165" fontId="17" fillId="0" borderId="0" xfId="16" applyFont="1" applyAlignment="1">
      <alignment vertical="center" wrapText="1"/>
    </xf>
    <xf numFmtId="0" fontId="18" fillId="0" borderId="0" xfId="0" applyFont="1" applyAlignment="1">
      <alignment vertical="center" wrapText="1"/>
    </xf>
    <xf numFmtId="165" fontId="18" fillId="0" borderId="0" xfId="16" applyFont="1" applyAlignment="1">
      <alignment vertical="center" wrapText="1"/>
    </xf>
    <xf numFmtId="20" fontId="18" fillId="0" borderId="0" xfId="0" applyNumberFormat="1" applyFont="1" applyAlignment="1">
      <alignment vertical="center" wrapText="1"/>
    </xf>
    <xf numFmtId="166" fontId="18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65" fontId="4" fillId="0" borderId="0" xfId="16" applyFont="1" applyAlignment="1">
      <alignment vertical="center" wrapText="1"/>
    </xf>
    <xf numFmtId="166" fontId="4" fillId="0" borderId="0" xfId="0" applyNumberFormat="1" applyFont="1" applyAlignment="1">
      <alignment vertical="center" wrapText="1"/>
    </xf>
    <xf numFmtId="165" fontId="6" fillId="0" borderId="0" xfId="16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168" fontId="0" fillId="0" borderId="0" xfId="0" applyNumberFormat="1" applyAlignment="1">
      <alignment vertical="center" wrapText="1"/>
    </xf>
    <xf numFmtId="165" fontId="4" fillId="0" borderId="0" xfId="16" applyFont="1" applyFill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165" fontId="5" fillId="0" borderId="0" xfId="16" applyFont="1" applyFill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 wrapText="1"/>
    </xf>
    <xf numFmtId="20" fontId="4" fillId="0" borderId="0" xfId="0" applyNumberFormat="1" applyFont="1" applyAlignment="1">
      <alignment horizontal="center" vertical="center" wrapText="1"/>
    </xf>
    <xf numFmtId="20" fontId="18" fillId="0" borderId="0" xfId="0" applyNumberFormat="1" applyFont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4" fillId="0" borderId="0" xfId="0" applyNumberFormat="1" applyFont="1" applyAlignment="1">
      <alignment horizontal="center" vertical="center" wrapText="1"/>
    </xf>
    <xf numFmtId="167" fontId="18" fillId="0" borderId="0" xfId="0" applyNumberFormat="1" applyFont="1" applyAlignment="1">
      <alignment horizontal="center" vertical="center" wrapText="1"/>
    </xf>
    <xf numFmtId="165" fontId="4" fillId="0" borderId="0" xfId="16" applyFont="1" applyAlignment="1">
      <alignment horizontal="center" vertical="center" wrapText="1"/>
    </xf>
    <xf numFmtId="165" fontId="6" fillId="0" borderId="0" xfId="16" applyFont="1" applyFill="1" applyAlignment="1">
      <alignment vertical="center" wrapText="1"/>
    </xf>
    <xf numFmtId="165" fontId="4" fillId="0" borderId="0" xfId="0" applyNumberFormat="1" applyFont="1" applyAlignment="1">
      <alignment vertical="center" wrapText="1"/>
    </xf>
    <xf numFmtId="165" fontId="5" fillId="0" borderId="0" xfId="16" applyFont="1" applyAlignment="1">
      <alignment horizontal="center" vertical="center" wrapText="1"/>
    </xf>
    <xf numFmtId="165" fontId="18" fillId="0" borderId="0" xfId="16" applyFont="1" applyAlignment="1">
      <alignment horizontal="center" vertical="center" wrapText="1"/>
    </xf>
    <xf numFmtId="165" fontId="18" fillId="0" borderId="0" xfId="0" applyNumberFormat="1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168" fontId="4" fillId="0" borderId="0" xfId="0" applyNumberFormat="1" applyFont="1" applyAlignment="1">
      <alignment vertical="center" wrapText="1"/>
    </xf>
    <xf numFmtId="165" fontId="0" fillId="0" borderId="0" xfId="16" applyFont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167" fontId="18" fillId="0" borderId="0" xfId="16" applyNumberFormat="1" applyFont="1" applyAlignment="1">
      <alignment vertical="center" wrapText="1"/>
    </xf>
    <xf numFmtId="167" fontId="4" fillId="0" borderId="0" xfId="16" applyNumberFormat="1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65" fontId="4" fillId="0" borderId="0" xfId="16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20" fontId="18" fillId="0" borderId="2" xfId="0" applyNumberFormat="1" applyFont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169" fontId="18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170" fontId="4" fillId="0" borderId="0" xfId="16" applyNumberFormat="1" applyFont="1" applyAlignment="1">
      <alignment vertical="center" wrapText="1"/>
    </xf>
    <xf numFmtId="170" fontId="18" fillId="0" borderId="0" xfId="16" applyNumberFormat="1" applyFont="1" applyAlignment="1">
      <alignment vertical="center" wrapText="1"/>
    </xf>
    <xf numFmtId="170" fontId="4" fillId="0" borderId="0" xfId="0" applyNumberFormat="1" applyFont="1"/>
    <xf numFmtId="166" fontId="18" fillId="0" borderId="0" xfId="0" applyNumberFormat="1" applyFont="1" applyAlignment="1">
      <alignment horizontal="center" vertical="center" wrapText="1"/>
    </xf>
    <xf numFmtId="20" fontId="6" fillId="0" borderId="0" xfId="0" applyNumberFormat="1" applyFont="1" applyAlignment="1">
      <alignment horizontal="left" vertical="center" wrapText="1"/>
    </xf>
    <xf numFmtId="165" fontId="6" fillId="0" borderId="0" xfId="16" applyFont="1" applyFill="1" applyAlignment="1">
      <alignment horizontal="left" vertical="center" wrapText="1"/>
    </xf>
    <xf numFmtId="20" fontId="20" fillId="0" borderId="0" xfId="0" applyNumberFormat="1" applyFont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167" fontId="17" fillId="3" borderId="0" xfId="0" applyNumberFormat="1" applyFont="1" applyFill="1" applyAlignment="1">
      <alignment horizontal="left" vertical="center" wrapText="1"/>
    </xf>
    <xf numFmtId="20" fontId="6" fillId="3" borderId="0" xfId="0" applyNumberFormat="1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</cellXfs>
  <cellStyles count="24">
    <cellStyle name="Hyperlink 2" xfId="1" xr:uid="{00000000-0005-0000-0000-000000000000}"/>
    <cellStyle name="Moeda 2" xfId="2" xr:uid="{00000000-0005-0000-0000-000002000000}"/>
    <cellStyle name="Normal" xfId="0" builtinId="0"/>
    <cellStyle name="Normal 2" xfId="3" xr:uid="{00000000-0005-0000-0000-000004000000}"/>
    <cellStyle name="Normal 3" xfId="4" xr:uid="{00000000-0005-0000-0000-000005000000}"/>
    <cellStyle name="Normal 4" xfId="5" xr:uid="{00000000-0005-0000-0000-000006000000}"/>
    <cellStyle name="Normal 5" xfId="19" xr:uid="{00000000-0005-0000-0000-000007000000}"/>
    <cellStyle name="Normal 6" xfId="20" xr:uid="{00000000-0005-0000-0000-000008000000}"/>
    <cellStyle name="Normal 7" xfId="23" xr:uid="{00000000-0005-0000-0000-000009000000}"/>
    <cellStyle name="Porcentagem 2" xfId="6" xr:uid="{00000000-0005-0000-0000-00000B000000}"/>
    <cellStyle name="Porcentagem 2 2" xfId="7" xr:uid="{00000000-0005-0000-0000-00000C000000}"/>
    <cellStyle name="Porcentagem 3" xfId="8" xr:uid="{00000000-0005-0000-0000-00000D000000}"/>
    <cellStyle name="Porcentagem 4" xfId="9" xr:uid="{00000000-0005-0000-0000-00000E000000}"/>
    <cellStyle name="Porcentagem 5" xfId="22" xr:uid="{00000000-0005-0000-0000-00000F000000}"/>
    <cellStyle name="Separador de milhares 2" xfId="10" xr:uid="{00000000-0005-0000-0000-000010000000}"/>
    <cellStyle name="Separador de milhares 2 2" xfId="11" xr:uid="{00000000-0005-0000-0000-000011000000}"/>
    <cellStyle name="Separador de milhares 3" xfId="12" xr:uid="{00000000-0005-0000-0000-000012000000}"/>
    <cellStyle name="Separador de milhares 3 2" xfId="13" xr:uid="{00000000-0005-0000-0000-000013000000}"/>
    <cellStyle name="Separador de milhares 4" xfId="14" xr:uid="{00000000-0005-0000-0000-000014000000}"/>
    <cellStyle name="Separador de milhares 5" xfId="15" xr:uid="{00000000-0005-0000-0000-000015000000}"/>
    <cellStyle name="Vírgula" xfId="16" builtinId="3"/>
    <cellStyle name="Vírgula 2" xfId="17" xr:uid="{00000000-0005-0000-0000-000017000000}"/>
    <cellStyle name="Vírgula 3" xfId="18" xr:uid="{00000000-0005-0000-0000-000018000000}"/>
    <cellStyle name="Vírgula 4" xfId="21" xr:uid="{00000000-0005-0000-0000-000019000000}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0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* #,##0.00_);_(* \(#,##0.0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diagonalUp="0" diagonalDown="0" outline="0">
        <left/>
        <right/>
        <top style="double">
          <color rgb="FFFF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double">
          <color rgb="FFFF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double">
          <color rgb="FFFF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* #,##0.00_);_(* \(#,##0.0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8" formatCode="[h]:mm;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8" formatCode="[h]:mm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* #,##0.00_);_(* \(#,##0.0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0" formatCode="_(* #,##0_);_(* \(#,##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dd/mm/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* #,##0.00_);_(* \(#,##0.0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* #,##0.00_);_(* \(#,##0.00\);_(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_(* #,##0.00_);_(* \(#,##0.00\);_(* &quot;-&quot;??_);_(@_)"/>
      <alignment horizontal="center" vertical="center" textRotation="0" wrapText="1" indent="0" justifyLastLine="0" shrinkToFit="0" readingOrder="0"/>
    </dxf>
    <dxf>
      <numFmt numFmtId="25" formatCode="hh: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rgb="FFFF0000"/>
        </left>
        <right style="double">
          <color rgb="FFFF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rgb="FFFF0000"/>
        </left>
        <right style="double">
          <color rgb="FFFF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rgb="FFFF0000"/>
        </left>
        <right style="double">
          <color rgb="FFFF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5" formatCode="hh:m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dd/mm/yy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A9D08E"/>
        </patternFill>
      </fill>
    </dxf>
    <dxf>
      <font>
        <b/>
        <i val="0"/>
        <color theme="0"/>
      </font>
      <fill>
        <patternFill>
          <bgColor rgb="FFDA9694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rgb="FF006140"/>
          <bgColor rgb="FF006140"/>
        </patternFill>
      </fill>
      <border>
        <top style="thick">
          <color theme="0"/>
        </top>
      </border>
    </dxf>
    <dxf>
      <font>
        <color theme="0"/>
      </font>
      <fill>
        <patternFill patternType="solid">
          <fgColor rgb="FF006140"/>
          <bgColor rgb="FF006140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elaAMcom" pivot="0" count="7" xr9:uid="{00000000-0011-0000-FFFF-FFFF00000000}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firstRowStripe" dxfId="85"/>
      <tableStyleElement type="firstColumnStripe" dxfId="84"/>
    </tableStyle>
  </tableStyles>
  <colors>
    <mruColors>
      <color rgb="FFFFFF8C"/>
      <color rgb="FFFF7D7D"/>
      <color rgb="FFDA9694"/>
      <color rgb="FFFADA94"/>
      <color rgb="FFF4B084"/>
      <color rgb="FFA9D08E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C4CA2C-DC97-4B72-AD39-FC39DCF804FA}" name="TabDez" displayName="TabDez" ref="A1:V47" totalsRowCount="1" dataDxfId="68" dataCellStyle="Vírgula">
  <autoFilter ref="A1:V46" xr:uid="{7A9F25CB-924D-449E-BCCA-A7539B90E9FC}"/>
  <tableColumns count="22">
    <tableColumn id="1" xr3:uid="{8CC5336A-02F2-4E9C-822D-37404B9F8A41}" name="Lnc?" dataDxfId="67" totalsRowDxfId="18"/>
    <tableColumn id="2" xr3:uid="{F98A201B-69B1-4F5E-A09C-58F8446AAC96}" name="Data" dataDxfId="66" totalsRowDxfId="17"/>
    <tableColumn id="3" xr3:uid="{60464C3F-A0FD-4FE4-A8F2-CA7C7DA1260D}" name="Ini" dataDxfId="65" totalsRowDxfId="16"/>
    <tableColumn id="17" xr3:uid="{7367DF7B-AA99-4336-ABF4-F3A24391FA6C}" name="Fim" dataDxfId="64" totalsRowDxfId="15"/>
    <tableColumn id="19" xr3:uid="{1AF3092F-9073-49B3-A6BD-F84CBF1356FA}" name="Ini." dataDxfId="63" totalsRowDxfId="14"/>
    <tableColumn id="18" xr3:uid="{275788D9-E955-4B64-BCB0-39B342FED24F}" name="Fim." dataDxfId="62" totalsRowDxfId="13"/>
    <tableColumn id="4" xr3:uid="{DEA50D06-D35E-444C-8718-8EAA026C8AE1}" name="Dur" dataDxfId="61" totalsRowDxfId="12">
      <calculatedColumnFormula>(#REF!-#REF!)+(#REF!-#REF!)</calculatedColumnFormula>
    </tableColumn>
    <tableColumn id="6" xr3:uid="{EFA37CD5-F344-4459-AC58-BEAFAE31BFA2}" name="HrDec" dataDxfId="60" totalsRowDxfId="11" dataCellStyle="Vírgula">
      <calculatedColumnFormula>G2*Param!$D$3</calculatedColumnFormula>
    </tableColumn>
    <tableColumn id="7" xr3:uid="{84738874-39F5-4C8F-9736-0E6DA4859C54}" name="Ac" totalsRowFunction="sum" dataDxfId="59" totalsRowDxfId="10" dataCellStyle="Vírgula"/>
    <tableColumn id="8" xr3:uid="{ED9283CF-7A51-42CE-9D77-82EEADF4BDB3}" name="Projeto" dataDxfId="58" totalsRowDxfId="9"/>
    <tableColumn id="9" xr3:uid="{ECE7A047-A3B9-4ED5-A076-43A5B9EFF2DD}" name="ProjID" dataDxfId="57" totalsRowDxfId="8"/>
    <tableColumn id="10" xr3:uid="{2C57138D-9874-40DB-BB85-76818991CC88}" name="Atividade" dataDxfId="56" totalsRowDxfId="7"/>
    <tableColumn id="11" xr3:uid="{2412C925-9524-4928-8F49-93053BECEFD8}" name="AtiviD" dataDxfId="55" totalsRowDxfId="6"/>
    <tableColumn id="12" xr3:uid="{856C71F0-179F-4FD4-91C9-02D2D1CCB2E1}" name="Descricao" dataDxfId="54" totalsRowDxfId="5" dataCellStyle="Vírgula"/>
    <tableColumn id="13" xr3:uid="{D0FBD362-CD2C-4B9C-9FF9-7A9415AA345A}" name="Suges" dataDxfId="53" totalsRowDxfId="4"/>
    <tableColumn id="14" xr3:uid="{289C8BFA-86CE-4E55-8903-BC1C383D56C2}" name="Sobrep.  hr?" dataDxfId="52" totalsRowDxfId="3" dataCellStyle="Vírgula"/>
    <tableColumn id="15" xr3:uid="{DE743FF6-3320-4C11-8369-3EEE37CB98F6}" name="Novo Dia?" dataDxfId="51" totalsRowDxfId="2" dataCellStyle="Vírgula"/>
    <tableColumn id="16" xr3:uid="{80F5D203-18C1-4933-96AB-C3722BCD77DE}" name="Hr Dia" totalsRowFunction="sum" dataDxfId="50" totalsRowDxfId="1" dataCellStyle="Vírgula">
      <calculatedColumnFormula>SUMIFS(TabDez[HrDec],TabDez[Data],B2,TabDez[Novo Dia?],"")</calculatedColumnFormula>
    </tableColumn>
    <tableColumn id="20" xr3:uid="{6806DA66-43B2-4967-844F-B386D0148529}" name="DtAux" dataDxfId="49" dataCellStyle="Vírgula">
      <calculatedColumnFormula>TabDez[[#This Row],[Data]]</calculatedColumnFormula>
    </tableColumn>
    <tableColumn id="5" xr3:uid="{7E0F0E98-943C-463D-B251-46A0B452AFF0}" name="QtdLanc" dataDxfId="48" totalsRowDxfId="0" dataCellStyle="Vírgula">
      <calculatedColumnFormula>COUNTIFS(TabDez[Data],TabDez[[#This Row],[DtAux]],TabDez[Ini],"&gt;0",TabDez[Lnc?],"=N")</calculatedColumnFormula>
    </tableColumn>
    <tableColumn id="23" xr3:uid="{41A0563D-0396-45B5-A2EA-809FB4FCF190}" name="Coluna1" dataDxfId="47"/>
    <tableColumn id="24" xr3:uid="{C5B9D26B-A611-42CD-AB18-130CC5752C06}" name="Coluna2" dataDxfId="46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F31C1-1B30-44C6-ACDB-D1497877983E}" name="TabCatalogo" displayName="TabCatalogo" ref="B11:M36" totalsRowCount="1" headerRowDxfId="45" dataDxfId="44" tableBorderDxfId="43">
  <autoFilter ref="B11:M35" xr:uid="{8B6A7B7D-02C8-477D-9F2A-8AC29A2460BF}"/>
  <tableColumns count="12">
    <tableColumn id="20" xr3:uid="{DFAF182C-B356-4D1D-B76C-D3E726272DD0}" name="IDProjeto" totalsRowFunction="count" dataDxfId="42" totalsRowDxfId="41"/>
    <tableColumn id="19" xr3:uid="{CE9DE716-C7E2-4CEC-BE0F-32495FEE43EA}" name="NMProjeto" dataDxfId="40" totalsRowDxfId="39"/>
    <tableColumn id="18" xr3:uid="{3A43D934-89BF-4B97-B69C-64E71F3D0794}" name="IDAtividade" dataDxfId="38" totalsRowDxfId="37"/>
    <tableColumn id="17" xr3:uid="{6B257926-1AA7-4115-9110-67F999250D3B}" name="NMAtividade" dataDxfId="36" totalsRowDxfId="35"/>
    <tableColumn id="16" xr3:uid="{3382C214-F618-4813-A3EB-D7030389F0F1}" name="Hr Dia" dataDxfId="34" totalsRowDxfId="33"/>
    <tableColumn id="15" xr3:uid="{AE0729F5-38D2-4063-B0E7-B7E707DDE9A0}" name="Hrd" dataDxfId="32" totalsRowDxfId="31">
      <calculatedColumnFormula>TabCatalogo[[#This Row],[Hr Dia]]*Param!#REF!</calculatedColumnFormula>
    </tableColumn>
    <tableColumn id="13" xr3:uid="{1BDCBD8D-AB23-4A9D-87F9-9C0E68951D66}" name="Descrição" dataDxfId="30" totalsRowDxfId="29"/>
    <tableColumn id="14" xr3:uid="{29A9BB51-6618-47DE-B730-E4BD48CE9281}" name="Tema" dataDxfId="28" totalsRowDxfId="27"/>
    <tableColumn id="1" xr3:uid="{18D7518A-3205-4E5E-81D6-0D797B24DD69}" name="Atividade" totalsRowLabel="Total" dataDxfId="26"/>
    <tableColumn id="21" xr3:uid="{66B23258-487A-439B-85E3-36C355773442}" name="IDProjeto2" dataDxfId="25">
      <calculatedColumnFormula>TabCatalogo[[#This Row],[IDProjeto]]</calculatedColumnFormula>
    </tableColumn>
    <tableColumn id="23" xr3:uid="{A627B686-E24E-4CAA-A8AF-B5EFD8D71023}" name="IDProjeto_" dataDxfId="24">
      <calculatedColumnFormula>TabCatalogo[[#This Row],[IDProjeto]]&amp;"_"</calculatedColumnFormula>
    </tableColumn>
    <tableColumn id="22" xr3:uid="{74DED781-3061-4F1A-8338-FD2B11E551F6}" name="IDAtividade2" dataDxfId="23">
      <calculatedColumnFormula>TabCatalogo[[#This Row],[IDAtividade]]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DF271A-47B0-4256-B4E6-D719C5FC8A2E}" name="Tabela10" displayName="Tabela10" ref="C2:D8" totalsRowShown="0" headerRowDxfId="22" dataDxfId="21">
  <autoFilter ref="C2:D8" xr:uid="{34DF271A-47B0-4256-B4E6-D719C5FC8A2E}"/>
  <tableColumns count="2">
    <tableColumn id="1" xr3:uid="{A3D149B0-9CAA-4F2D-88C8-BE1694404A08}" name="Parametro" dataDxfId="20"/>
    <tableColumn id="2" xr3:uid="{6A9F205A-0937-452D-9C9D-FAAC92E5FB45}" name="Valor" dataDxfId="19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4BE7-7468-429C-9DAD-61C463C0FBB0}">
  <dimension ref="A1:Y233"/>
  <sheetViews>
    <sheetView tabSelected="1" zoomScale="80" zoomScaleNormal="80" workbookViewId="0">
      <selection activeCell="C39" sqref="C39:D39"/>
    </sheetView>
  </sheetViews>
  <sheetFormatPr defaultColWidth="9.140625" defaultRowHeight="18" x14ac:dyDescent="0.2"/>
  <cols>
    <col min="1" max="1" width="3.85546875" style="21" customWidth="1"/>
    <col min="2" max="2" width="8.85546875" style="29" customWidth="1"/>
    <col min="3" max="3" width="9" style="26" bestFit="1" customWidth="1"/>
    <col min="4" max="4" width="6.140625" style="26" customWidth="1"/>
    <col min="5" max="5" width="6.5703125" style="26" customWidth="1"/>
    <col min="6" max="6" width="7" style="26" customWidth="1"/>
    <col min="7" max="7" width="10.7109375" style="26" customWidth="1"/>
    <col min="8" max="8" width="9.28515625" style="3" customWidth="1"/>
    <col min="9" max="9" width="9.5703125" style="2" customWidth="1"/>
    <col min="10" max="10" width="24.28515625" style="2" customWidth="1"/>
    <col min="11" max="11" width="8.85546875" style="23" customWidth="1"/>
    <col min="12" max="12" width="24.28515625" style="2" customWidth="1"/>
    <col min="13" max="13" width="9" style="23" customWidth="1"/>
    <col min="14" max="14" width="67.7109375" style="3" customWidth="1"/>
    <col min="15" max="15" width="8.85546875" customWidth="1"/>
    <col min="16" max="16" width="10.42578125" style="3" customWidth="1"/>
    <col min="17" max="17" width="7.28515625" style="3" customWidth="1"/>
    <col min="18" max="18" width="9.42578125" style="3" customWidth="1"/>
    <col min="19" max="19" width="9.85546875" style="3" bestFit="1" customWidth="1"/>
    <col min="20" max="20" width="11.85546875" style="56" customWidth="1"/>
    <col min="21" max="22" width="9.140625" style="2"/>
    <col min="23" max="24" width="13.28515625" style="2" bestFit="1" customWidth="1"/>
    <col min="25" max="25" width="12.42578125" style="2" bestFit="1" customWidth="1"/>
    <col min="26" max="16384" width="9.140625" style="2"/>
  </cols>
  <sheetData>
    <row r="1" spans="1:22" ht="24" customHeight="1" x14ac:dyDescent="0.2">
      <c r="A1" s="62" t="s">
        <v>26</v>
      </c>
      <c r="B1" s="63" t="s">
        <v>0</v>
      </c>
      <c r="C1" s="64" t="s">
        <v>27</v>
      </c>
      <c r="D1" s="64" t="s">
        <v>1</v>
      </c>
      <c r="E1" s="59" t="s">
        <v>29</v>
      </c>
      <c r="F1" s="59" t="s">
        <v>25</v>
      </c>
      <c r="G1" s="59" t="s">
        <v>66</v>
      </c>
      <c r="H1" s="60" t="s">
        <v>20</v>
      </c>
      <c r="I1" s="31" t="s">
        <v>28</v>
      </c>
      <c r="J1" s="14" t="s">
        <v>3</v>
      </c>
      <c r="K1" s="62" t="s">
        <v>17</v>
      </c>
      <c r="L1" s="14" t="s">
        <v>2</v>
      </c>
      <c r="M1" s="62" t="s">
        <v>18</v>
      </c>
      <c r="N1" s="65" t="s">
        <v>19</v>
      </c>
      <c r="O1" s="14" t="s">
        <v>34</v>
      </c>
      <c r="P1" s="30" t="s">
        <v>24</v>
      </c>
      <c r="Q1" s="30" t="s">
        <v>35</v>
      </c>
      <c r="R1" s="7" t="s">
        <v>36</v>
      </c>
      <c r="S1" s="45" t="s">
        <v>67</v>
      </c>
      <c r="T1" s="7" t="s">
        <v>68</v>
      </c>
      <c r="U1" s="2" t="s">
        <v>58</v>
      </c>
      <c r="V1" s="2" t="s">
        <v>65</v>
      </c>
    </row>
    <row r="2" spans="1:22" s="14" customFormat="1" ht="25.5" x14ac:dyDescent="0.2">
      <c r="A2" s="21" t="s">
        <v>15</v>
      </c>
      <c r="B2" s="27">
        <v>44896</v>
      </c>
      <c r="C2" s="24">
        <v>0.36249999999999999</v>
      </c>
      <c r="D2" s="24">
        <v>0.49791666666666662</v>
      </c>
      <c r="E2" s="24">
        <v>0.51527777777777783</v>
      </c>
      <c r="F2" s="24">
        <v>0.74097222222222225</v>
      </c>
      <c r="G2" s="24">
        <f>(TabDez[[#This Row],[Fim]]-TabDez[[#This Row],[Ini]])+(TabDez[[#This Row],[Fim.]]-TabDez[[#This Row],[Ini.]])</f>
        <v>0.36111111111111105</v>
      </c>
      <c r="H2" s="1">
        <f>G2*Param!$D$3</f>
        <v>8.6666666666666643</v>
      </c>
      <c r="I2" s="9" t="str">
        <f>IF(ROUND(SUMIFS(TabDez[HrDec],TabDez[Data],B2,TabDez[Novo Dia?],""),2)=ROUND(H2,2),ROUND(SUMIFS(TabDez[HrDec],TabDez[Data],B2,TabDez[Novo Dia?],""),2),(Param!$C$8 &amp; ROUND(SUMIFS(TabDez[HrDec],TabDez[Data],B2,TabDez[Novo Dia?],""),2)))</f>
        <v>&lt;&gt; 3,25</v>
      </c>
      <c r="J2" s="61">
        <f>TabDez[[#This Row],[Ini.]]-TabDez[[#This Row],[Fim]]</f>
        <v>1.7361111111111216E-2</v>
      </c>
      <c r="K2" s="48"/>
      <c r="L2" s="36"/>
      <c r="M2" s="48"/>
      <c r="O2" s="49"/>
      <c r="P2" s="33" t="str">
        <f>IF(AND(C2&lt;&gt;"",D2&lt;&gt;""),IF(TabDez[[#This Row],[Ini]]&lt;=TabDez[[#This Row],[Fim]],IF(J1="",IF(AND(NOT(C2&gt;=C1),TabDez[[#This Row],[Ac]]=""),Param!$C$5,""),IF(AND(NOT(C2&gt;=D1),TabDez[[#This Row],[Ac]]=""),Param!$C$5,"")),Param!$C$7),"")</f>
        <v/>
      </c>
      <c r="Q2" s="34" t="str">
        <f>(IF(NOT(B2=B1),Param!$C$6,""))</f>
        <v>Novo dia!</v>
      </c>
      <c r="R2" s="3">
        <f>SUMIFS(TabDez[HrDec],TabDez[Data],B2,TabDez[Novo Dia?],"")</f>
        <v>3.2500000000000004</v>
      </c>
      <c r="S2" s="44">
        <f>TabDez[[#This Row],[Data]]</f>
        <v>44896</v>
      </c>
      <c r="T2" s="56">
        <f>COUNTIFS(TabDez[Data],TabDez[[#This Row],[DtAux]],TabDez[Ini],"&gt;0",TabDez[Lnc?],"=N")</f>
        <v>3</v>
      </c>
      <c r="U2" s="53">
        <f>(TabDez[[#This Row],[HrDec]])/TabDez[[#This Row],[QtdLanc]]</f>
        <v>2.888888888888888</v>
      </c>
      <c r="V2" s="46">
        <f>TabDez[[#This Row],[Coluna1]]/Param!$D$3</f>
        <v>0.12037037037037034</v>
      </c>
    </row>
    <row r="3" spans="1:22" ht="25.5" x14ac:dyDescent="0.2">
      <c r="A3" s="21" t="s">
        <v>15</v>
      </c>
      <c r="B3" s="28">
        <f>B2</f>
        <v>44896</v>
      </c>
      <c r="C3" s="25"/>
      <c r="D3" s="25"/>
      <c r="E3" s="25"/>
      <c r="F3" s="25"/>
      <c r="G3" s="26">
        <f>(TabDez[[#This Row],[Fim]]-TabDez[[#This Row],[Ini]])+(TabDez[[#This Row],[Fim.]]-TabDez[[#This Row],[Ini.]])</f>
        <v>0</v>
      </c>
      <c r="H3" s="3">
        <f>G3*Param!$D$3</f>
        <v>0</v>
      </c>
      <c r="I3" s="7"/>
      <c r="J3" s="11" t="s">
        <v>12</v>
      </c>
      <c r="K3" s="48" t="str">
        <f>VLOOKUP(J3,TabCatalogo[[#Data],[NMProjeto]:[IDAtividade2]],9,FALSE)</f>
        <v>PJ9516</v>
      </c>
      <c r="L3" s="37" t="s">
        <v>72</v>
      </c>
      <c r="M3" s="48">
        <f>VLOOKUP(TEXT(K3,"Texto")&amp;"-"&amp;TEXT(L3,"Texto"),TabCatalogo[[Atividade]:[IDAtividade2]],4,FALSE)</f>
        <v>291454</v>
      </c>
      <c r="N3" s="6" t="s">
        <v>79</v>
      </c>
      <c r="O3" s="49">
        <v>6.25E-2</v>
      </c>
      <c r="P3" s="33" t="str">
        <f>IF(AND(C3&lt;&gt;"",D3&lt;&gt;""),IF(TabDez[[#This Row],[Ini]]&lt;=TabDez[[#This Row],[Fim]],IF(J2="",IF(AND(NOT(C3&gt;=C2),TabDez[[#This Row],[Ac]]=""),Param!$C$5,""),IF(AND(NOT(C3&gt;=D2),TabDez[[#This Row],[Ac]]=""),Param!$C$5,"")),Param!$C$7),"")</f>
        <v/>
      </c>
      <c r="Q3" s="34" t="str">
        <f>(IF(NOT(B3=B2),Param!$C$6,""))</f>
        <v/>
      </c>
      <c r="R3" s="7">
        <f>SUMIFS(TabDez[HrDec],TabDez[Data],B3,TabDez[Novo Dia?],"")</f>
        <v>3.2500000000000004</v>
      </c>
      <c r="S3" s="44">
        <f>TabDez[[#This Row],[Data]]</f>
        <v>44896</v>
      </c>
      <c r="T3" s="56">
        <f>COUNTIFS(TabDez[Data],TabDez[[#This Row],[DtAux]],TabDez[Ini],"&gt;0",TabDez[Lnc?],"=N")</f>
        <v>3</v>
      </c>
      <c r="U3" s="35"/>
      <c r="V3" s="46"/>
    </row>
    <row r="4" spans="1:22" ht="22.5" x14ac:dyDescent="0.2">
      <c r="A4" s="21" t="s">
        <v>15</v>
      </c>
      <c r="B4" s="28">
        <f t="shared" ref="B4:B15" si="0">B3</f>
        <v>44896</v>
      </c>
      <c r="C4" s="25"/>
      <c r="D4" s="25"/>
      <c r="E4" s="25"/>
      <c r="F4" s="25"/>
      <c r="G4" s="26">
        <f>(TabDez[[#This Row],[Fim]]-TabDez[[#This Row],[Ini]])+(TabDez[[#This Row],[Fim.]]-TabDez[[#This Row],[Ini.]])</f>
        <v>0</v>
      </c>
      <c r="H4" s="3">
        <f>G4*Param!$D$3</f>
        <v>0</v>
      </c>
      <c r="I4" s="7"/>
      <c r="J4" s="11" t="s">
        <v>12</v>
      </c>
      <c r="K4" s="48" t="str">
        <f>VLOOKUP(J4,TabCatalogo[[#Data],[NMProjeto]:[IDAtividade2]],9,FALSE)</f>
        <v>PJ9516</v>
      </c>
      <c r="L4" s="37" t="s">
        <v>71</v>
      </c>
      <c r="M4" s="48">
        <f>VLOOKUP(TEXT(K4,"Texto")&amp;"-"&amp;TEXT(L4,"Texto"),TabCatalogo[[Atividade]:[IDAtividade2]],4,FALSE)</f>
        <v>279650</v>
      </c>
      <c r="N4" s="6" t="s">
        <v>78</v>
      </c>
      <c r="O4" s="49">
        <v>3.4722222222222224E-2</v>
      </c>
      <c r="P4" s="33" t="str">
        <f>IF(AND(C4&lt;&gt;"",D4&lt;&gt;""),IF(TabDez[[#This Row],[Ini]]&lt;=TabDez[[#This Row],[Fim]],IF(J3="",IF(AND(NOT(C4&gt;=C3),TabDez[[#This Row],[Ac]]=""),Param!$C$5,""),IF(AND(NOT(C4&gt;=D3),TabDez[[#This Row],[Ac]]=""),Param!$C$5,"")),Param!$C$7),"")</f>
        <v/>
      </c>
      <c r="Q4" s="34" t="str">
        <f>(IF(NOT(B4=B3),Param!$C$6,""))</f>
        <v/>
      </c>
      <c r="R4" s="7">
        <f>SUMIFS(TabDez[HrDec],TabDez[Data],B4,TabDez[Novo Dia?],"")</f>
        <v>3.2500000000000004</v>
      </c>
      <c r="S4" s="44">
        <f>TabDez[[#This Row],[Data]]</f>
        <v>44896</v>
      </c>
      <c r="T4" s="56">
        <f>COUNTIFS(TabDez[Data],TabDez[[#This Row],[DtAux]],TabDez[Ini],"&gt;0",TabDez[Lnc?],"=N")</f>
        <v>3</v>
      </c>
      <c r="U4" s="35"/>
      <c r="V4" s="46"/>
    </row>
    <row r="5" spans="1:22" s="6" customFormat="1" ht="22.5" x14ac:dyDescent="0.2">
      <c r="A5" s="21" t="s">
        <v>15</v>
      </c>
      <c r="B5" s="28">
        <f>B4</f>
        <v>44896</v>
      </c>
      <c r="C5" s="25"/>
      <c r="D5" s="25"/>
      <c r="E5" s="25"/>
      <c r="F5" s="25"/>
      <c r="G5" s="26">
        <f>(TabDez[[#This Row],[Fim]]-TabDez[[#This Row],[Ini]])+(TabDez[[#This Row],[Fim.]]-TabDez[[#This Row],[Ini.]])</f>
        <v>0</v>
      </c>
      <c r="H5" s="3">
        <f>G5*Param!$D$3</f>
        <v>0</v>
      </c>
      <c r="I5" s="7"/>
      <c r="J5" s="11" t="s">
        <v>12</v>
      </c>
      <c r="K5" s="48" t="str">
        <f>VLOOKUP(J5,TabCatalogo[[#Data],[NMProjeto]:[IDAtividade2]],9,FALSE)</f>
        <v>PJ9516</v>
      </c>
      <c r="L5" s="11" t="s">
        <v>81</v>
      </c>
      <c r="M5" s="48">
        <f>VLOOKUP(TEXT(K5,"Texto")&amp;"-"&amp;TEXT(L5,"Texto"),TabCatalogo[[Atividade]:[IDAtividade2]],4,FALSE)</f>
        <v>292965</v>
      </c>
      <c r="N5" s="6" t="s">
        <v>82</v>
      </c>
      <c r="O5" s="49">
        <v>7.6388888888888895E-2</v>
      </c>
      <c r="P5" s="33" t="str">
        <f>IF(AND(C5&lt;&gt;"",D5&lt;&gt;""),IF(TabDez[[#This Row],[Ini]]&lt;=TabDez[[#This Row],[Fim]],IF(J4="",IF(AND(NOT(C5&gt;=C4),TabDez[[#This Row],[Ac]]=""),Param!$C$5,""),IF(AND(NOT(C5&gt;=D4),TabDez[[#This Row],[Ac]]=""),Param!$C$5,"")),Param!$C$7),"")</f>
        <v/>
      </c>
      <c r="Q5" s="30" t="str">
        <f>(IF(NOT(B5=B4),Param!$C$6,""))</f>
        <v/>
      </c>
      <c r="R5" s="7">
        <f>SUMIFS(TabDez[HrDec],TabDez[Data],B5,TabDez[Novo Dia?],"")</f>
        <v>3.2500000000000004</v>
      </c>
      <c r="S5" s="45">
        <f>TabDez[[#This Row],[Data]]</f>
        <v>44896</v>
      </c>
      <c r="T5" s="55">
        <f>COUNTIFS(TabDez[Data],TabDez[[#This Row],[DtAux]],TabDez[Ini],"&gt;0",TabDez[Lnc?],"=N")</f>
        <v>3</v>
      </c>
      <c r="U5" s="32"/>
      <c r="V5" s="38"/>
    </row>
    <row r="6" spans="1:22" ht="33.75" x14ac:dyDescent="0.2">
      <c r="A6" s="21" t="s">
        <v>16</v>
      </c>
      <c r="B6" s="28">
        <f>B4</f>
        <v>44896</v>
      </c>
      <c r="C6" s="25">
        <f>C2</f>
        <v>0.36249999999999999</v>
      </c>
      <c r="D6" s="25">
        <f>TabDez[[#This Row],[Ini]]+TabDez[[#This Row],[Suges]]</f>
        <v>0.40763888888888888</v>
      </c>
      <c r="E6" s="25"/>
      <c r="F6" s="25"/>
      <c r="G6" s="26">
        <f>(TabDez[[#This Row],[Fim]]-TabDez[[#This Row],[Ini]])+(TabDez[[#This Row],[Fim.]]-TabDez[[#This Row],[Ini.]])</f>
        <v>4.5138888888888895E-2</v>
      </c>
      <c r="H6" s="3">
        <f>G6*Param!$D$3</f>
        <v>1.0833333333333335</v>
      </c>
      <c r="I6" s="7"/>
      <c r="J6" s="11" t="s">
        <v>37</v>
      </c>
      <c r="K6" s="48" t="str">
        <f>VLOOKUP(J6,TabCatalogo[[#Data],[NMProjeto]:[IDAtividade2]],9,FALSE)</f>
        <v>PJ9278</v>
      </c>
      <c r="L6" s="37" t="s">
        <v>107</v>
      </c>
      <c r="M6" s="48">
        <f>VLOOKUP(TEXT(K6,"Texto")&amp;"-"&amp;TEXT(L6,"Texto"),TabCatalogo[[Atividade]:[IDAtividade2]],4,FALSE)</f>
        <v>296556</v>
      </c>
      <c r="N6" s="6" t="s">
        <v>100</v>
      </c>
      <c r="O6" s="50">
        <v>4.5138888888888888E-2</v>
      </c>
      <c r="P6" s="33" t="str">
        <f>IF(AND(C6&lt;&gt;"",D6&lt;&gt;""),IF(TabDez[[#This Row],[Ini]]&lt;=TabDez[[#This Row],[Fim]],IF(J5="",IF(AND(NOT(C6&gt;=C5),TabDez[[#This Row],[Ac]]=""),Param!$C$5,""),IF(AND(NOT(C6&gt;=D5),TabDez[[#This Row],[Ac]]=""),Param!$C$5,"")),Param!$C$7),"")</f>
        <v/>
      </c>
      <c r="Q6" s="30" t="str">
        <f>(IF(NOT(B6=B5),Param!$C$6,""))</f>
        <v/>
      </c>
      <c r="R6" s="7">
        <f>SUMIFS(TabDez[HrDec],TabDez[Data],B6,TabDez[Novo Dia?],"")</f>
        <v>3.2500000000000004</v>
      </c>
      <c r="S6" s="44">
        <f>TabDez[[#This Row],[Data]]</f>
        <v>44896</v>
      </c>
      <c r="T6" s="56">
        <f>COUNTIFS(TabDez[Data],TabDez[[#This Row],[DtAux]],TabDez[Ini],"&gt;0",TabDez[Lnc?],"=N")</f>
        <v>3</v>
      </c>
      <c r="U6" s="35"/>
      <c r="V6" s="46"/>
    </row>
    <row r="7" spans="1:22" ht="45" x14ac:dyDescent="0.2">
      <c r="A7" s="21" t="s">
        <v>16</v>
      </c>
      <c r="B7" s="28">
        <f t="shared" si="0"/>
        <v>44896</v>
      </c>
      <c r="C7" s="25">
        <f t="shared" ref="C7" si="1">D6</f>
        <v>0.40763888888888888</v>
      </c>
      <c r="D7" s="25">
        <f>TabDez[[#This Row],[Ini]]+TabDez[[#This Row],[Suges]]</f>
        <v>0.45277777777777778</v>
      </c>
      <c r="E7" s="25"/>
      <c r="F7" s="25"/>
      <c r="G7" s="26">
        <f>(TabDez[[#This Row],[Fim]]-TabDez[[#This Row],[Ini]])+(TabDez[[#This Row],[Fim.]]-TabDez[[#This Row],[Ini.]])</f>
        <v>4.5138888888888895E-2</v>
      </c>
      <c r="H7" s="3">
        <f>G7*Param!$D$3</f>
        <v>1.0833333333333335</v>
      </c>
      <c r="I7" s="7"/>
      <c r="J7" s="11" t="s">
        <v>38</v>
      </c>
      <c r="K7" s="48" t="str">
        <f>VLOOKUP(J7,TabCatalogo[[#Data],[NMProjeto]:[IDAtividade2]],9,FALSE)</f>
        <v>PJ9228</v>
      </c>
      <c r="L7" s="37" t="s">
        <v>88</v>
      </c>
      <c r="M7" s="48">
        <f>VLOOKUP(TEXT(K7,"Texto")&amp;"-"&amp;TEXT(L7,"Texto"),TabCatalogo[[Atividade]:[IDAtividade2]],4,FALSE)</f>
        <v>287637</v>
      </c>
      <c r="N7" s="6" t="s">
        <v>80</v>
      </c>
      <c r="O7" s="50">
        <f t="shared" ref="O7:O12" si="2">O6</f>
        <v>4.5138888888888888E-2</v>
      </c>
      <c r="P7" s="33" t="str">
        <f>IF(AND(C7&lt;&gt;"",D7&lt;&gt;""),IF(TabDez[[#This Row],[Ini]]&lt;=TabDez[[#This Row],[Fim]],IF(J6="",IF(AND(NOT(C7&gt;=C6),TabDez[[#This Row],[Ac]]=""),Param!$C$5,""),IF(AND(NOT(C7&gt;=D6),TabDez[[#This Row],[Ac]]=""),Param!$C$5,"")),Param!$C$7),"")</f>
        <v/>
      </c>
      <c r="Q7" s="34" t="str">
        <f>(IF(NOT(B7=B6),Param!$C$6,""))</f>
        <v/>
      </c>
      <c r="R7" s="7">
        <f>SUMIFS(TabDez[HrDec],TabDez[Data],B7,TabDez[Novo Dia?],"")</f>
        <v>3.2500000000000004</v>
      </c>
      <c r="S7" s="44">
        <f>TabDez[[#This Row],[Data]]</f>
        <v>44896</v>
      </c>
      <c r="T7" s="56">
        <f>COUNTIFS(TabDez[Data],TabDez[[#This Row],[DtAux]],TabDez[Ini],"&gt;0",TabDez[Lnc?],"=N")</f>
        <v>3</v>
      </c>
      <c r="U7" s="35"/>
      <c r="V7" s="46"/>
    </row>
    <row r="8" spans="1:22" ht="33.75" x14ac:dyDescent="0.2">
      <c r="A8" s="21" t="s">
        <v>16</v>
      </c>
      <c r="B8" s="28">
        <f t="shared" si="0"/>
        <v>44896</v>
      </c>
      <c r="C8" s="25">
        <f>D7</f>
        <v>0.45277777777777778</v>
      </c>
      <c r="D8" s="25">
        <f>TabDez[[#This Row],[Ini]]+TabDez[[#This Row],[Suges]]</f>
        <v>0.49791666666666667</v>
      </c>
      <c r="E8" s="25"/>
      <c r="F8" s="25"/>
      <c r="G8" s="26">
        <f>(TabDez[[#This Row],[Fim]]-TabDez[[#This Row],[Ini]])+(TabDez[[#This Row],[Fim.]]-TabDez[[#This Row],[Ini.]])</f>
        <v>4.5138888888888895E-2</v>
      </c>
      <c r="H8" s="3">
        <f>G8*Param!$D$3</f>
        <v>1.0833333333333335</v>
      </c>
      <c r="I8" s="7"/>
      <c r="J8" s="11" t="s">
        <v>69</v>
      </c>
      <c r="K8" s="48" t="str">
        <f>VLOOKUP(J8,TabCatalogo[[#Data],[NMProjeto]:[IDAtividade2]],9,FALSE)</f>
        <v>PJ9646</v>
      </c>
      <c r="L8" s="37" t="s">
        <v>105</v>
      </c>
      <c r="M8" s="48">
        <f>VLOOKUP(TEXT(K8,"Texto")&amp;"-"&amp;TEXT(L8,"Texto"),TabCatalogo[[Atividade]:[IDAtividade2]],4,FALSE)</f>
        <v>297156</v>
      </c>
      <c r="N8" s="6" t="s">
        <v>106</v>
      </c>
      <c r="O8" s="50">
        <f t="shared" si="2"/>
        <v>4.5138888888888888E-2</v>
      </c>
      <c r="P8" s="33" t="str">
        <f>IF(AND(C8&lt;&gt;"",D8&lt;&gt;""),IF(TabDez[[#This Row],[Ini]]&lt;=TabDez[[#This Row],[Fim]],IF(J7="",IF(AND(NOT(C8&gt;=C7),TabDez[[#This Row],[Ac]]=""),Param!$C$5,""),IF(AND(NOT(C8&gt;=D7),TabDez[[#This Row],[Ac]]=""),Param!$C$5,"")),Param!$C$7),"")</f>
        <v/>
      </c>
      <c r="Q8" s="34" t="str">
        <f>(IF(NOT(B8=B7),Param!$C$6,""))</f>
        <v/>
      </c>
      <c r="R8" s="7">
        <f>SUMIFS(TabDez[HrDec],TabDez[Data],B8,TabDez[Novo Dia?],"")</f>
        <v>3.2500000000000004</v>
      </c>
      <c r="S8" s="44">
        <f>TabDez[[#This Row],[Data]]</f>
        <v>44896</v>
      </c>
      <c r="T8" s="56">
        <f>COUNTIFS(TabDez[Data],TabDez[[#This Row],[DtAux]],TabDez[Ini],"&gt;0",TabDez[Lnc?],"=N")</f>
        <v>3</v>
      </c>
      <c r="U8" s="35"/>
      <c r="V8" s="46"/>
    </row>
    <row r="9" spans="1:22" ht="33.75" x14ac:dyDescent="0.2">
      <c r="A9" s="21" t="s">
        <v>15</v>
      </c>
      <c r="B9" s="28">
        <f t="shared" si="0"/>
        <v>44896</v>
      </c>
      <c r="C9" s="25"/>
      <c r="D9" s="25"/>
      <c r="E9" s="25"/>
      <c r="F9" s="25"/>
      <c r="G9" s="26">
        <f>(TabDez[[#This Row],[Fim]]-TabDez[[#This Row],[Ini]])+(TabDez[[#This Row],[Fim.]]-TabDez[[#This Row],[Ini.]])</f>
        <v>0</v>
      </c>
      <c r="H9" s="3">
        <f>G9*Param!$D$3</f>
        <v>0</v>
      </c>
      <c r="I9" s="7"/>
      <c r="J9" s="11" t="s">
        <v>39</v>
      </c>
      <c r="K9" s="48" t="str">
        <f>VLOOKUP(J9,TabCatalogo[[#Data],[NMProjeto]:[IDAtividade2]],9,FALSE)</f>
        <v>PJ9350</v>
      </c>
      <c r="L9" s="37" t="s">
        <v>87</v>
      </c>
      <c r="M9" s="48">
        <f>VLOOKUP(TEXT(K9,"Texto")&amp;"-"&amp;TEXT(L9,"Texto"),TabCatalogo[[Atividade]:[IDAtividade2]],4,FALSE)</f>
        <v>295478</v>
      </c>
      <c r="N9" s="6" t="s">
        <v>101</v>
      </c>
      <c r="O9" s="50">
        <f t="shared" si="2"/>
        <v>4.5138888888888888E-2</v>
      </c>
      <c r="P9" s="33" t="str">
        <f>IF(AND(C9&lt;&gt;"",D9&lt;&gt;""),IF(TabDez[[#This Row],[Ini]]&lt;=TabDez[[#This Row],[Fim]],IF(J8="",IF(AND(NOT(C9&gt;=C8),TabDez[[#This Row],[Ac]]=""),Param!$C$5,""),IF(AND(NOT(C9&gt;=D8),TabDez[[#This Row],[Ac]]=""),Param!$C$5,"")),Param!$C$7),"")</f>
        <v/>
      </c>
      <c r="Q9" s="34" t="str">
        <f>(IF(NOT(B9=B8),Param!$C$6,""))</f>
        <v/>
      </c>
      <c r="R9" s="7">
        <f>SUMIFS(TabDez[HrDec],TabDez[Data],B9,TabDez[Novo Dia?],"")</f>
        <v>3.2500000000000004</v>
      </c>
      <c r="S9" s="44">
        <f>TabDez[[#This Row],[Data]]</f>
        <v>44896</v>
      </c>
      <c r="T9" s="56">
        <f>COUNTIFS(TabDez[Data],TabDez[[#This Row],[DtAux]],TabDez[Ini],"&gt;0",TabDez[Lnc?],"=N")</f>
        <v>3</v>
      </c>
      <c r="U9" s="35"/>
      <c r="V9" s="46"/>
    </row>
    <row r="10" spans="1:22" ht="22.5" x14ac:dyDescent="0.2">
      <c r="A10" s="21" t="s">
        <v>15</v>
      </c>
      <c r="B10" s="28">
        <f t="shared" si="0"/>
        <v>44896</v>
      </c>
      <c r="C10" s="25"/>
      <c r="D10" s="25"/>
      <c r="E10" s="25"/>
      <c r="F10" s="25"/>
      <c r="G10" s="26">
        <f>(TabDez[[#This Row],[Fim]]-TabDez[[#This Row],[Ini]])+(TabDez[[#This Row],[Fim.]]-TabDez[[#This Row],[Ini.]])</f>
        <v>0</v>
      </c>
      <c r="H10" s="3">
        <f>G10*Param!$D$3</f>
        <v>0</v>
      </c>
      <c r="I10" s="7"/>
      <c r="J10" s="11" t="s">
        <v>40</v>
      </c>
      <c r="K10" s="48" t="str">
        <f>VLOOKUP(J10,TabCatalogo[[#Data],[NMProjeto]:[IDAtividade2]],9,FALSE)</f>
        <v>PJ9802</v>
      </c>
      <c r="L10" s="37" t="s">
        <v>84</v>
      </c>
      <c r="M10" s="48">
        <f>VLOOKUP(TEXT(K10,"Texto")&amp;"-"&amp;TEXT(L10,"Texto"),TabCatalogo[[Atividade]:[IDAtividade2]],4,FALSE)</f>
        <v>291726</v>
      </c>
      <c r="N10" s="6" t="s">
        <v>102</v>
      </c>
      <c r="O10" s="50">
        <f t="shared" si="2"/>
        <v>4.5138888888888888E-2</v>
      </c>
      <c r="P10" s="33" t="str">
        <f>IF(AND(C10&lt;&gt;"",D10&lt;&gt;""),IF(TabDez[[#This Row],[Ini]]&lt;=TabDez[[#This Row],[Fim]],IF(J9="",IF(AND(NOT(C10&gt;=C9),TabDez[[#This Row],[Ac]]=""),Param!$C$5,""),IF(AND(NOT(C10&gt;=D9),TabDez[[#This Row],[Ac]]=""),Param!$C$5,"")),Param!$C$7),"")</f>
        <v/>
      </c>
      <c r="Q10" s="34" t="str">
        <f>(IF(NOT(B10=B9),Param!$C$6,""))</f>
        <v/>
      </c>
      <c r="R10" s="7">
        <f>SUMIFS(TabDez[HrDec],TabDez[Data],B10,TabDez[Novo Dia?],"")</f>
        <v>3.2500000000000004</v>
      </c>
      <c r="S10" s="44">
        <f>TabDez[[#This Row],[Data]]</f>
        <v>44896</v>
      </c>
      <c r="T10" s="56">
        <f>COUNTIFS(TabDez[Data],TabDez[[#This Row],[DtAux]],TabDez[Ini],"&gt;0",TabDez[Lnc?],"=N")</f>
        <v>3</v>
      </c>
      <c r="U10" s="35"/>
      <c r="V10" s="46"/>
    </row>
    <row r="11" spans="1:22" ht="33.75" x14ac:dyDescent="0.2">
      <c r="A11" s="21" t="s">
        <v>15</v>
      </c>
      <c r="B11" s="28">
        <f t="shared" si="0"/>
        <v>44896</v>
      </c>
      <c r="C11" s="25"/>
      <c r="D11" s="25"/>
      <c r="E11" s="25"/>
      <c r="F11" s="25"/>
      <c r="G11" s="26">
        <f>(TabDez[[#This Row],[Fim]]-TabDez[[#This Row],[Ini]])+(TabDez[[#This Row],[Fim.]]-TabDez[[#This Row],[Ini.]])</f>
        <v>0</v>
      </c>
      <c r="H11" s="3">
        <f>G11*Param!$D$3</f>
        <v>0</v>
      </c>
      <c r="I11" s="7"/>
      <c r="J11" s="11" t="s">
        <v>41</v>
      </c>
      <c r="K11" s="48" t="str">
        <f>VLOOKUP(J11,TabCatalogo[[#Data],[NMProjeto]:[IDAtividade2]],9,FALSE)</f>
        <v>PJ9803</v>
      </c>
      <c r="L11" s="37" t="s">
        <v>84</v>
      </c>
      <c r="M11" s="48">
        <f>VLOOKUP(TEXT(K11,"Texto")&amp;"-"&amp;TEXT(L11,"Texto"),TabCatalogo[[Atividade]:[IDAtividade2]],4,FALSE)</f>
        <v>297157</v>
      </c>
      <c r="N11" s="6" t="s">
        <v>103</v>
      </c>
      <c r="O11" s="50">
        <f t="shared" si="2"/>
        <v>4.5138888888888888E-2</v>
      </c>
      <c r="P11" s="33" t="str">
        <f>IF(AND(C11&lt;&gt;"",D11&lt;&gt;""),IF(TabDez[[#This Row],[Ini]]&lt;=TabDez[[#This Row],[Fim]],IF(J10="",IF(AND(NOT(C11&gt;=C10),TabDez[[#This Row],[Ac]]=""),Param!$C$5,""),IF(AND(NOT(C11&gt;=D10),TabDez[[#This Row],[Ac]]=""),Param!$C$5,"")),Param!$C$7),"")</f>
        <v/>
      </c>
      <c r="Q11" s="34" t="str">
        <f>(IF(NOT(B11=B10),Param!$C$6,""))</f>
        <v/>
      </c>
      <c r="R11" s="7">
        <f>SUMIFS(TabDez[HrDec],TabDez[Data],B11,TabDez[Novo Dia?],"")</f>
        <v>3.2500000000000004</v>
      </c>
      <c r="S11" s="44">
        <f>TabDez[[#This Row],[Data]]</f>
        <v>44896</v>
      </c>
      <c r="T11" s="56">
        <f>COUNTIFS(TabDez[Data],TabDez[[#This Row],[DtAux]],TabDez[Ini],"&gt;0",TabDez[Lnc?],"=N")</f>
        <v>3</v>
      </c>
      <c r="U11" s="35"/>
      <c r="V11" s="46"/>
    </row>
    <row r="12" spans="1:22" ht="22.5" x14ac:dyDescent="0.2">
      <c r="A12" s="21" t="s">
        <v>15</v>
      </c>
      <c r="B12" s="28">
        <f t="shared" si="0"/>
        <v>44896</v>
      </c>
      <c r="C12" s="25"/>
      <c r="D12" s="25"/>
      <c r="E12" s="25"/>
      <c r="F12" s="25"/>
      <c r="G12" s="26">
        <f>(TabDez[[#This Row],[Fim]]-TabDez[[#This Row],[Ini]])+(TabDez[[#This Row],[Fim.]]-TabDez[[#This Row],[Ini.]])</f>
        <v>0</v>
      </c>
      <c r="H12" s="3">
        <f>G12*Param!$D$3</f>
        <v>0</v>
      </c>
      <c r="I12" s="7"/>
      <c r="J12" s="11" t="s">
        <v>42</v>
      </c>
      <c r="K12" s="48" t="str">
        <f>VLOOKUP(J12,TabCatalogo[[#Data],[NMProjeto]:[IDAtividade2]],9,FALSE)</f>
        <v>PJ9167</v>
      </c>
      <c r="L12" s="37" t="s">
        <v>91</v>
      </c>
      <c r="M12" s="48">
        <f>VLOOKUP(TEXT(K12,"Texto")&amp;"-"&amp;TEXT(L12,"Texto"),TabCatalogo[[Atividade]:[IDAtividade2]],4,FALSE)</f>
        <v>291502</v>
      </c>
      <c r="N12" s="6" t="s">
        <v>73</v>
      </c>
      <c r="O12" s="50">
        <f t="shared" si="2"/>
        <v>4.5138888888888888E-2</v>
      </c>
      <c r="P12" s="33" t="str">
        <f>IF(AND(C12&lt;&gt;"",D12&lt;&gt;""),IF(TabDez[[#This Row],[Ini]]&lt;=TabDez[[#This Row],[Fim]],IF(J11="",IF(AND(NOT(C12&gt;=C11),TabDez[[#This Row],[Ac]]=""),Param!$C$5,""),IF(AND(NOT(C12&gt;=D11),TabDez[[#This Row],[Ac]]=""),Param!$C$5,"")),Param!$C$7),"")</f>
        <v/>
      </c>
      <c r="Q12" s="34" t="str">
        <f>(IF(NOT(B12=B11),Param!$C$6,""))</f>
        <v/>
      </c>
      <c r="R12" s="7">
        <f>SUMIFS(TabDez[HrDec],TabDez[Data],B12,TabDez[Novo Dia?],"")</f>
        <v>3.2500000000000004</v>
      </c>
      <c r="S12" s="44">
        <f>TabDez[[#This Row],[Data]]</f>
        <v>44896</v>
      </c>
      <c r="T12" s="56">
        <f>COUNTIFS(TabDez[Data],TabDez[[#This Row],[DtAux]],TabDez[Ini],"&gt;0",TabDez[Lnc?],"=N")</f>
        <v>3</v>
      </c>
      <c r="U12" s="35"/>
      <c r="V12" s="46"/>
    </row>
    <row r="13" spans="1:22" ht="33.75" x14ac:dyDescent="0.2">
      <c r="A13" s="21" t="s">
        <v>15</v>
      </c>
      <c r="B13" s="28">
        <f t="shared" si="0"/>
        <v>44896</v>
      </c>
      <c r="C13" s="25"/>
      <c r="D13" s="25"/>
      <c r="E13" s="25"/>
      <c r="F13" s="25"/>
      <c r="G13" s="26">
        <f>(TabDez[[#This Row],[Fim]]-TabDez[[#This Row],[Ini]])+(TabDez[[#This Row],[Fim.]]-TabDez[[#This Row],[Ini.]])</f>
        <v>0</v>
      </c>
      <c r="H13" s="3">
        <f>G13*Param!$D$3</f>
        <v>0</v>
      </c>
      <c r="I13" s="7"/>
      <c r="J13" s="11" t="s">
        <v>43</v>
      </c>
      <c r="K13" s="48" t="str">
        <f>VLOOKUP(J13,TabCatalogo[[#Data],[NMProjeto]:[IDAtividade2]],9,FALSE)</f>
        <v>PJ9500</v>
      </c>
      <c r="L13" s="37" t="s">
        <v>86</v>
      </c>
      <c r="M13" s="48">
        <f>VLOOKUP(TEXT(K13,"Texto")&amp;"-"&amp;TEXT(L13,"Texto"),TabCatalogo[[Atividade]:[IDAtividade2]],4,FALSE)</f>
        <v>284913</v>
      </c>
      <c r="N13" s="6" t="s">
        <v>57</v>
      </c>
      <c r="O13" s="50">
        <f>O12</f>
        <v>4.5138888888888888E-2</v>
      </c>
      <c r="P13" s="33" t="str">
        <f>IF(AND(C13&lt;&gt;"",D13&lt;&gt;""),IF(TabDez[[#This Row],[Ini]]&lt;=TabDez[[#This Row],[Fim]],IF(J12="",IF(AND(NOT(C13&gt;=C12),TabDez[[#This Row],[Ac]]=""),Param!$C$5,""),IF(AND(NOT(C13&gt;=D12),TabDez[[#This Row],[Ac]]=""),Param!$C$5,"")),Param!$C$7),"")</f>
        <v/>
      </c>
      <c r="Q13" s="34" t="str">
        <f>(IF(NOT(B13=B12),Param!$C$6,""))</f>
        <v/>
      </c>
      <c r="R13" s="7">
        <f>SUMIFS(TabDez[HrDec],TabDez[Data],B13,TabDez[Novo Dia?],"")</f>
        <v>3.2500000000000004</v>
      </c>
      <c r="S13" s="44">
        <f>TabDez[[#This Row],[Data]]</f>
        <v>44896</v>
      </c>
      <c r="T13" s="56">
        <f>COUNTIFS(TabDez[Data],TabDez[[#This Row],[DtAux]],TabDez[Ini],"&gt;0",TabDez[Lnc?],"=N")</f>
        <v>3</v>
      </c>
      <c r="U13" s="35"/>
      <c r="V13" s="46"/>
    </row>
    <row r="14" spans="1:22" ht="33.75" x14ac:dyDescent="0.2">
      <c r="A14" s="21" t="s">
        <v>15</v>
      </c>
      <c r="B14" s="28">
        <f t="shared" si="0"/>
        <v>44896</v>
      </c>
      <c r="C14" s="25"/>
      <c r="D14" s="25"/>
      <c r="E14" s="25"/>
      <c r="F14" s="25"/>
      <c r="G14" s="26">
        <f>(TabDez[[#This Row],[Fim]]-TabDez[[#This Row],[Ini]])+(TabDez[[#This Row],[Fim.]]-TabDez[[#This Row],[Ini.]])</f>
        <v>0</v>
      </c>
      <c r="H14" s="3">
        <f>G14*Param!$D$3</f>
        <v>0</v>
      </c>
      <c r="I14" s="7"/>
      <c r="J14" s="11" t="s">
        <v>44</v>
      </c>
      <c r="K14" s="48" t="str">
        <f>VLOOKUP(J14,TabCatalogo[[#Data],[NMProjeto]:[IDAtividade2]],9,FALSE)</f>
        <v>PJ9908</v>
      </c>
      <c r="L14" s="37" t="s">
        <v>94</v>
      </c>
      <c r="M14" s="48">
        <f>VLOOKUP(TEXT(K14,"Texto")&amp;"-"&amp;TEXT(L14,"Texto"),TabCatalogo[[Atividade]:[IDAtividade2]],4,FALSE)</f>
        <v>295048</v>
      </c>
      <c r="N14" s="20" t="s">
        <v>104</v>
      </c>
      <c r="O14" s="49">
        <f>O13</f>
        <v>4.5138888888888888E-2</v>
      </c>
      <c r="P14" s="33" t="str">
        <f>IF(AND(C14&lt;&gt;"",D14&lt;&gt;""),IF(TabDez[[#This Row],[Ini]]&lt;=TabDez[[#This Row],[Fim]],IF(J13="",IF(AND(NOT(C14&gt;=C13),TabDez[[#This Row],[Ac]]=""),Param!$C$5,""),IF(AND(NOT(C14&gt;=D13),TabDez[[#This Row],[Ac]]=""),Param!$C$5,"")),Param!$C$7),"")</f>
        <v/>
      </c>
      <c r="Q14" s="34" t="str">
        <f>(IF(NOT(B14=B13),Param!$C$6,""))</f>
        <v/>
      </c>
      <c r="R14" s="7">
        <f>SUMIFS(TabDez[HrDec],TabDez[Data],B14,TabDez[Novo Dia?],"")</f>
        <v>3.2500000000000004</v>
      </c>
      <c r="S14" s="44">
        <f>TabDez[[#This Row],[Data]]</f>
        <v>44896</v>
      </c>
      <c r="T14" s="56">
        <f>COUNTIFS(TabDez[Data],TabDez[[#This Row],[DtAux]],TabDez[Ini],"&gt;0",TabDez[Lnc?],"=N")</f>
        <v>3</v>
      </c>
      <c r="U14" s="35"/>
      <c r="V14" s="46"/>
    </row>
    <row r="15" spans="1:22" ht="22.5" x14ac:dyDescent="0.2">
      <c r="A15" s="21" t="s">
        <v>15</v>
      </c>
      <c r="B15" s="28">
        <f t="shared" si="0"/>
        <v>44896</v>
      </c>
      <c r="C15" s="25"/>
      <c r="D15" s="25"/>
      <c r="E15" s="25"/>
      <c r="F15" s="25"/>
      <c r="G15" s="26">
        <f>(TabDez[[#This Row],[Fim]]-TabDez[[#This Row],[Ini]])+(TabDez[[#This Row],[Fim.]]-TabDez[[#This Row],[Ini.]])</f>
        <v>0</v>
      </c>
      <c r="H15" s="3">
        <f>G15*Param!$D$3</f>
        <v>0</v>
      </c>
      <c r="I15" s="20"/>
      <c r="J15" s="11" t="s">
        <v>76</v>
      </c>
      <c r="K15" s="48" t="str">
        <f>VLOOKUP(J15,TabCatalogo[[#Data],[NMProjeto]:[IDAtividade2]],9,FALSE)</f>
        <v>PJ10040</v>
      </c>
      <c r="L15" s="37" t="s">
        <v>94</v>
      </c>
      <c r="M15" s="48">
        <f>VLOOKUP(TEXT(K15,"Texto")&amp;"-"&amp;TEXT(L15,"Texto"),TabCatalogo[[Atividade]:[IDAtividade2]],4,FALSE)</f>
        <v>295700</v>
      </c>
      <c r="N15" s="22"/>
      <c r="O15" s="49">
        <v>4.1666666666666699E-2</v>
      </c>
      <c r="P15" s="33"/>
      <c r="Q15" s="30"/>
      <c r="R15" s="7">
        <f>SUMIFS(TabDez[HrDec],TabDez[Data],B15,TabDez[Novo Dia?],"")</f>
        <v>3.2500000000000004</v>
      </c>
      <c r="S15" s="44">
        <f>TabDez[[#This Row],[Data]]</f>
        <v>44896</v>
      </c>
      <c r="T15" s="55">
        <f>COUNTIFS(TabDez[Data],TabDez[[#This Row],[DtAux]],TabDez[Ini],"&gt;0",TabDez[Lnc?],"=N")</f>
        <v>3</v>
      </c>
      <c r="U15" s="32"/>
      <c r="V15" s="38"/>
    </row>
    <row r="16" spans="1:22" ht="33.75" x14ac:dyDescent="0.2">
      <c r="A16" s="21" t="s">
        <v>15</v>
      </c>
      <c r="B16" s="28">
        <f>B15</f>
        <v>44896</v>
      </c>
      <c r="C16" s="25"/>
      <c r="D16" s="25"/>
      <c r="E16" s="25"/>
      <c r="F16" s="25"/>
      <c r="G16" s="26">
        <f>(TabDez[[#This Row],[Fim]]-TabDez[[#This Row],[Ini]])+(TabDez[[#This Row],[Fim.]]-TabDez[[#This Row],[Ini.]])</f>
        <v>0</v>
      </c>
      <c r="H16" s="20">
        <f>G16*Param!$D$3</f>
        <v>0</v>
      </c>
      <c r="I16" s="20"/>
      <c r="J16" s="11" t="s">
        <v>95</v>
      </c>
      <c r="K16" s="48" t="str">
        <f>VLOOKUP(J16,TabCatalogo[[#Data],[NMProjeto]:[IDAtividade2]],9,FALSE)</f>
        <v>PJ9205</v>
      </c>
      <c r="L16" s="37" t="s">
        <v>97</v>
      </c>
      <c r="M16" s="48">
        <f>VLOOKUP(TEXT(K16,"Texto")&amp;"-"&amp;TEXT(L16,"Texto"),TabCatalogo[[Atividade]:[IDAtividade2]],4,FALSE)</f>
        <v>288043</v>
      </c>
      <c r="N16" s="20" t="s">
        <v>99</v>
      </c>
      <c r="O16" s="49">
        <v>4.1666666666666699E-2</v>
      </c>
      <c r="P16" s="33"/>
      <c r="Q16" s="30"/>
      <c r="R16" s="7">
        <f>SUMIFS(TabDez[HrDec],TabDez[Data],B16,TabDez[Novo Dia?],"")</f>
        <v>3.2500000000000004</v>
      </c>
      <c r="S16" s="44">
        <f>TabDez[[#This Row],[Data]]</f>
        <v>44896</v>
      </c>
      <c r="T16" s="55">
        <f>COUNTIFS(TabDez[Data],TabDez[[#This Row],[DtAux]],TabDez[Ini],"&gt;0",TabDez[Lnc?],"=N")</f>
        <v>3</v>
      </c>
      <c r="U16" s="32"/>
      <c r="V16" s="38"/>
    </row>
    <row r="17" spans="1:22" ht="25.5" x14ac:dyDescent="0.2">
      <c r="A17" s="21" t="s">
        <v>15</v>
      </c>
      <c r="B17" s="27">
        <v>44897</v>
      </c>
      <c r="C17" s="24">
        <v>0.34027777777777773</v>
      </c>
      <c r="D17" s="24">
        <v>0.4861111111111111</v>
      </c>
      <c r="E17" s="24">
        <v>0.50555555555555554</v>
      </c>
      <c r="F17" s="24">
        <v>0.74861111111111101</v>
      </c>
      <c r="G17" s="24">
        <f>(TabDez[[#This Row],[Fim]]-TabDez[[#This Row],[Ini]])+(TabDez[[#This Row],[Fim.]]-TabDez[[#This Row],[Ini.]])</f>
        <v>0.38888888888888884</v>
      </c>
      <c r="H17" s="1">
        <f>G17*Param!$D$3</f>
        <v>9.3333333333333321</v>
      </c>
      <c r="I17" s="9" t="str">
        <f>IF(ROUND(SUMIFS(TabDez[HrDec],TabDez[Data],B17,TabDez[Novo Dia?],""),2)=ROUND(H17,2),ROUND(SUMIFS(TabDez[HrDec],TabDez[Data],B17,TabDez[Novo Dia?],""),2),(Param!$C$8 &amp; ROUND(SUMIFS(TabDez[HrDec],TabDez[Data],B17,TabDez[Novo Dia?],""),2)))</f>
        <v>&lt;&gt; 7</v>
      </c>
      <c r="J17" s="61">
        <f>TabDez[[#This Row],[Ini.]]-TabDez[[#This Row],[Fim]]</f>
        <v>1.9444444444444431E-2</v>
      </c>
      <c r="K17" s="48"/>
      <c r="L17" s="36"/>
      <c r="M17" s="48"/>
      <c r="N17" s="14"/>
      <c r="O17" s="49"/>
      <c r="P17" s="33" t="str">
        <f>IF(AND(C17&lt;&gt;"",D17&lt;&gt;""),IF(TabDez[[#This Row],[Ini]]&lt;=TabDez[[#This Row],[Fim]],IF(J16="",IF(AND(NOT(C17&gt;=C16),TabDez[[#This Row],[Ac]]=""),Param!$C$5,""),IF(AND(NOT(C17&gt;=D16),TabDez[[#This Row],[Ac]]=""),Param!$C$5,"")),Param!$C$7),"")</f>
        <v/>
      </c>
      <c r="Q17" s="34" t="str">
        <f>(IF(NOT(B17=B16),Param!$C$6,""))</f>
        <v>Novo dia!</v>
      </c>
      <c r="R17" s="3">
        <f>SUMIFS(TabDez[HrDec],TabDez[Data],B17,TabDez[Novo Dia?],"")</f>
        <v>7.0000000000000036</v>
      </c>
      <c r="S17" s="44">
        <f>TabDez[[#This Row],[Data]]</f>
        <v>44897</v>
      </c>
      <c r="T17" s="56">
        <f>COUNTIFS(TabDez[Data],TabDez[[#This Row],[DtAux]],TabDez[Ini],"&gt;0",TabDez[Lnc?],"=N")</f>
        <v>6</v>
      </c>
      <c r="U17" s="53">
        <f>(TabDez[[#This Row],[HrDec]])/TabDez[[#This Row],[QtdLanc]]</f>
        <v>1.5555555555555554</v>
      </c>
      <c r="V17" s="46">
        <f>TabDez[[#This Row],[Coluna1]]/Param!$D$3</f>
        <v>6.4814814814814811E-2</v>
      </c>
    </row>
    <row r="18" spans="1:22" ht="25.5" x14ac:dyDescent="0.2">
      <c r="A18" s="21" t="s">
        <v>15</v>
      </c>
      <c r="B18" s="28">
        <f>B17</f>
        <v>44897</v>
      </c>
      <c r="C18" s="25"/>
      <c r="D18" s="25"/>
      <c r="E18" s="25"/>
      <c r="F18" s="25"/>
      <c r="G18" s="26">
        <f>(TabDez[[#This Row],[Fim]]-TabDez[[#This Row],[Ini]])+(TabDez[[#This Row],[Fim.]]-TabDez[[#This Row],[Ini.]])</f>
        <v>0</v>
      </c>
      <c r="H18" s="3">
        <f>G18*Param!$D$3</f>
        <v>0</v>
      </c>
      <c r="I18" s="7"/>
      <c r="J18" s="11" t="s">
        <v>12</v>
      </c>
      <c r="K18" s="48" t="str">
        <f>VLOOKUP(J18,TabCatalogo[[#Data],[NMProjeto]:[IDAtividade2]],9,FALSE)</f>
        <v>PJ9516</v>
      </c>
      <c r="L18" s="37" t="s">
        <v>72</v>
      </c>
      <c r="M18" s="48">
        <f>VLOOKUP(TEXT(K18,"Texto")&amp;"-"&amp;TEXT(L18,"Texto"),TabCatalogo[[Atividade]:[IDAtividade2]],4,FALSE)</f>
        <v>291454</v>
      </c>
      <c r="N18" s="6" t="s">
        <v>79</v>
      </c>
      <c r="O18" s="49">
        <v>6.25E-2</v>
      </c>
      <c r="P18" s="33" t="str">
        <f>IF(AND(C18&lt;&gt;"",D18&lt;&gt;""),IF(TabDez[[#This Row],[Ini]]&lt;=TabDez[[#This Row],[Fim]],IF(J17="",IF(AND(NOT(C18&gt;=C17),TabDez[[#This Row],[Ac]]=""),Param!$C$5,""),IF(AND(NOT(C18&gt;=D17),TabDez[[#This Row],[Ac]]=""),Param!$C$5,"")),Param!$C$7),"")</f>
        <v/>
      </c>
      <c r="Q18" s="34" t="str">
        <f>(IF(NOT(B18=B17),Param!$C$6,""))</f>
        <v/>
      </c>
      <c r="R18" s="7">
        <f>SUMIFS(TabDez[HrDec],TabDez[Data],B18,TabDez[Novo Dia?],"")</f>
        <v>7.0000000000000036</v>
      </c>
      <c r="S18" s="44">
        <f>TabDez[[#This Row],[Data]]</f>
        <v>44897</v>
      </c>
      <c r="T18" s="56">
        <f>COUNTIFS(TabDez[Data],TabDez[[#This Row],[DtAux]],TabDez[Ini],"&gt;0",TabDez[Lnc?],"=N")</f>
        <v>6</v>
      </c>
      <c r="U18" s="35"/>
      <c r="V18" s="46"/>
    </row>
    <row r="19" spans="1:22" ht="22.5" x14ac:dyDescent="0.2">
      <c r="A19" s="21" t="s">
        <v>15</v>
      </c>
      <c r="B19" s="28">
        <f t="shared" ref="B19:B30" si="3">B18</f>
        <v>44897</v>
      </c>
      <c r="C19" s="25"/>
      <c r="D19" s="25"/>
      <c r="E19" s="25"/>
      <c r="F19" s="25"/>
      <c r="G19" s="26">
        <f>(TabDez[[#This Row],[Fim]]-TabDez[[#This Row],[Ini]])+(TabDez[[#This Row],[Fim.]]-TabDez[[#This Row],[Ini.]])</f>
        <v>0</v>
      </c>
      <c r="H19" s="3">
        <f>G19*Param!$D$3</f>
        <v>0</v>
      </c>
      <c r="I19" s="7"/>
      <c r="J19" s="11" t="s">
        <v>12</v>
      </c>
      <c r="K19" s="48" t="str">
        <f>VLOOKUP(J19,TabCatalogo[[#Data],[NMProjeto]:[IDAtividade2]],9,FALSE)</f>
        <v>PJ9516</v>
      </c>
      <c r="L19" s="37" t="s">
        <v>71</v>
      </c>
      <c r="M19" s="48">
        <f>VLOOKUP(TEXT(K19,"Texto")&amp;"-"&amp;TEXT(L19,"Texto"),TabCatalogo[[Atividade]:[IDAtividade2]],4,FALSE)</f>
        <v>279650</v>
      </c>
      <c r="N19" s="6" t="s">
        <v>78</v>
      </c>
      <c r="O19" s="49">
        <v>3.4722222222222224E-2</v>
      </c>
      <c r="P19" s="33" t="str">
        <f>IF(AND(C19&lt;&gt;"",D19&lt;&gt;""),IF(TabDez[[#This Row],[Ini]]&lt;=TabDez[[#This Row],[Fim]],IF(J18="",IF(AND(NOT(C19&gt;=C18),TabDez[[#This Row],[Ac]]=""),Param!$C$5,""),IF(AND(NOT(C19&gt;=D18),TabDez[[#This Row],[Ac]]=""),Param!$C$5,"")),Param!$C$7),"")</f>
        <v/>
      </c>
      <c r="Q19" s="34" t="str">
        <f>(IF(NOT(B19=B18),Param!$C$6,""))</f>
        <v/>
      </c>
      <c r="R19" s="7">
        <f>SUMIFS(TabDez[HrDec],TabDez[Data],B19,TabDez[Novo Dia?],"")</f>
        <v>7.0000000000000036</v>
      </c>
      <c r="S19" s="44">
        <f>TabDez[[#This Row],[Data]]</f>
        <v>44897</v>
      </c>
      <c r="T19" s="56">
        <f>COUNTIFS(TabDez[Data],TabDez[[#This Row],[DtAux]],TabDez[Ini],"&gt;0",TabDez[Lnc?],"=N")</f>
        <v>6</v>
      </c>
      <c r="U19" s="35"/>
      <c r="V19" s="46"/>
    </row>
    <row r="20" spans="1:22" ht="22.5" x14ac:dyDescent="0.2">
      <c r="A20" s="21" t="s">
        <v>15</v>
      </c>
      <c r="B20" s="28">
        <f>B19</f>
        <v>44897</v>
      </c>
      <c r="C20" s="25"/>
      <c r="D20" s="25"/>
      <c r="E20" s="25"/>
      <c r="F20" s="25"/>
      <c r="G20" s="26">
        <f>(TabDez[[#This Row],[Fim]]-TabDez[[#This Row],[Ini]])+(TabDez[[#This Row],[Fim.]]-TabDez[[#This Row],[Ini.]])</f>
        <v>0</v>
      </c>
      <c r="H20" s="3">
        <f>G20*Param!$D$3</f>
        <v>0</v>
      </c>
      <c r="I20" s="7"/>
      <c r="J20" s="11" t="s">
        <v>12</v>
      </c>
      <c r="K20" s="48" t="str">
        <f>VLOOKUP(J20,TabCatalogo[[#Data],[NMProjeto]:[IDAtividade2]],9,FALSE)</f>
        <v>PJ9516</v>
      </c>
      <c r="L20" s="11" t="s">
        <v>81</v>
      </c>
      <c r="M20" s="48">
        <f>VLOOKUP(TEXT(K20,"Texto")&amp;"-"&amp;TEXT(L20,"Texto"),TabCatalogo[[Atividade]:[IDAtividade2]],4,FALSE)</f>
        <v>292965</v>
      </c>
      <c r="N20" s="6" t="s">
        <v>82</v>
      </c>
      <c r="O20" s="49">
        <v>7.6388888888888895E-2</v>
      </c>
      <c r="P20" s="33" t="str">
        <f>IF(AND(C20&lt;&gt;"",D20&lt;&gt;""),IF(TabDez[[#This Row],[Ini]]&lt;=TabDez[[#This Row],[Fim]],IF(J19="",IF(AND(NOT(C20&gt;=C19),TabDez[[#This Row],[Ac]]=""),Param!$C$5,""),IF(AND(NOT(C20&gt;=D19),TabDez[[#This Row],[Ac]]=""),Param!$C$5,"")),Param!$C$7),"")</f>
        <v/>
      </c>
      <c r="Q20" s="30" t="str">
        <f>(IF(NOT(B20=B19),Param!$C$6,""))</f>
        <v/>
      </c>
      <c r="R20" s="7">
        <f>SUMIFS(TabDez[HrDec],TabDez[Data],B20,TabDez[Novo Dia?],"")</f>
        <v>7.0000000000000036</v>
      </c>
      <c r="S20" s="45">
        <f>TabDez[[#This Row],[Data]]</f>
        <v>44897</v>
      </c>
      <c r="T20" s="55">
        <f>COUNTIFS(TabDez[Data],TabDez[[#This Row],[DtAux]],TabDez[Ini],"&gt;0",TabDez[Lnc?],"=N")</f>
        <v>6</v>
      </c>
      <c r="U20" s="32"/>
      <c r="V20" s="38"/>
    </row>
    <row r="21" spans="1:22" ht="33.75" x14ac:dyDescent="0.2">
      <c r="A21" s="21" t="s">
        <v>16</v>
      </c>
      <c r="B21" s="28">
        <f>B19</f>
        <v>44897</v>
      </c>
      <c r="C21" s="25">
        <f>C17</f>
        <v>0.34027777777777773</v>
      </c>
      <c r="D21" s="25">
        <f>TabDez[[#This Row],[Ini]]+TabDez[[#This Row],[Suges]]</f>
        <v>0.38888888888888884</v>
      </c>
      <c r="E21" s="25"/>
      <c r="F21" s="25"/>
      <c r="G21" s="26">
        <f>(TabDez[[#This Row],[Fim]]-TabDez[[#This Row],[Ini]])+(TabDez[[#This Row],[Fim.]]-TabDez[[#This Row],[Ini.]])</f>
        <v>4.8611111111111105E-2</v>
      </c>
      <c r="H21" s="3">
        <f>G21*Param!$D$3</f>
        <v>1.1666666666666665</v>
      </c>
      <c r="I21" s="7"/>
      <c r="J21" s="11" t="s">
        <v>37</v>
      </c>
      <c r="K21" s="48" t="str">
        <f>VLOOKUP(J21,TabCatalogo[[#Data],[NMProjeto]:[IDAtividade2]],9,FALSE)</f>
        <v>PJ9278</v>
      </c>
      <c r="L21" s="37" t="s">
        <v>107</v>
      </c>
      <c r="M21" s="48">
        <f>VLOOKUP(TEXT(K21,"Texto")&amp;"-"&amp;TEXT(L21,"Texto"),TabCatalogo[[Atividade]:[IDAtividade2]],4,FALSE)</f>
        <v>296556</v>
      </c>
      <c r="N21" s="6" t="s">
        <v>100</v>
      </c>
      <c r="O21" s="50">
        <v>4.8611111111111112E-2</v>
      </c>
      <c r="P21" s="33" t="str">
        <f>IF(AND(C21&lt;&gt;"",D21&lt;&gt;""),IF(TabDez[[#This Row],[Ini]]&lt;=TabDez[[#This Row],[Fim]],IF(J20="",IF(AND(NOT(C21&gt;=C20),TabDez[[#This Row],[Ac]]=""),Param!$C$5,""),IF(AND(NOT(C21&gt;=D20),TabDez[[#This Row],[Ac]]=""),Param!$C$5,"")),Param!$C$7),"")</f>
        <v/>
      </c>
      <c r="Q21" s="30" t="str">
        <f>(IF(NOT(B21=B20),Param!$C$6,""))</f>
        <v/>
      </c>
      <c r="R21" s="7">
        <f>SUMIFS(TabDez[HrDec],TabDez[Data],B21,TabDez[Novo Dia?],"")</f>
        <v>7.0000000000000036</v>
      </c>
      <c r="S21" s="44">
        <f>TabDez[[#This Row],[Data]]</f>
        <v>44897</v>
      </c>
      <c r="T21" s="56">
        <f>COUNTIFS(TabDez[Data],TabDez[[#This Row],[DtAux]],TabDez[Ini],"&gt;0",TabDez[Lnc?],"=N")</f>
        <v>6</v>
      </c>
      <c r="U21" s="35"/>
      <c r="V21" s="46"/>
    </row>
    <row r="22" spans="1:22" ht="45" x14ac:dyDescent="0.2">
      <c r="A22" s="21" t="s">
        <v>16</v>
      </c>
      <c r="B22" s="28">
        <f t="shared" si="3"/>
        <v>44897</v>
      </c>
      <c r="C22" s="25">
        <f t="shared" ref="C22" si="4">D21</f>
        <v>0.38888888888888884</v>
      </c>
      <c r="D22" s="25">
        <f>TabDez[[#This Row],[Ini]]+TabDez[[#This Row],[Suges]]</f>
        <v>0.43749999999999994</v>
      </c>
      <c r="E22" s="25"/>
      <c r="F22" s="25"/>
      <c r="G22" s="26">
        <f>(TabDez[[#This Row],[Fim]]-TabDez[[#This Row],[Ini]])+(TabDez[[#This Row],[Fim.]]-TabDez[[#This Row],[Ini.]])</f>
        <v>4.8611111111111105E-2</v>
      </c>
      <c r="H22" s="3">
        <f>G22*Param!$D$3</f>
        <v>1.1666666666666665</v>
      </c>
      <c r="I22" s="7"/>
      <c r="J22" s="11" t="s">
        <v>38</v>
      </c>
      <c r="K22" s="48" t="str">
        <f>VLOOKUP(J22,TabCatalogo[[#Data],[NMProjeto]:[IDAtividade2]],9,FALSE)</f>
        <v>PJ9228</v>
      </c>
      <c r="L22" s="37" t="s">
        <v>88</v>
      </c>
      <c r="M22" s="48">
        <f>VLOOKUP(TEXT(K22,"Texto")&amp;"-"&amp;TEXT(L22,"Texto"),TabCatalogo[[Atividade]:[IDAtividade2]],4,FALSE)</f>
        <v>287637</v>
      </c>
      <c r="N22" s="6" t="s">
        <v>80</v>
      </c>
      <c r="O22" s="50">
        <f t="shared" ref="O22:O27" si="5">O21</f>
        <v>4.8611111111111112E-2</v>
      </c>
      <c r="P22" s="33" t="str">
        <f>IF(AND(C22&lt;&gt;"",D22&lt;&gt;""),IF(TabDez[[#This Row],[Ini]]&lt;=TabDez[[#This Row],[Fim]],IF(J21="",IF(AND(NOT(C22&gt;=C21),TabDez[[#This Row],[Ac]]=""),Param!$C$5,""),IF(AND(NOT(C22&gt;=D21),TabDez[[#This Row],[Ac]]=""),Param!$C$5,"")),Param!$C$7),"")</f>
        <v/>
      </c>
      <c r="Q22" s="34" t="str">
        <f>(IF(NOT(B22=B21),Param!$C$6,""))</f>
        <v/>
      </c>
      <c r="R22" s="7">
        <f>SUMIFS(TabDez[HrDec],TabDez[Data],B22,TabDez[Novo Dia?],"")</f>
        <v>7.0000000000000036</v>
      </c>
      <c r="S22" s="44">
        <f>TabDez[[#This Row],[Data]]</f>
        <v>44897</v>
      </c>
      <c r="T22" s="56">
        <f>COUNTIFS(TabDez[Data],TabDez[[#This Row],[DtAux]],TabDez[Ini],"&gt;0",TabDez[Lnc?],"=N")</f>
        <v>6</v>
      </c>
      <c r="U22" s="35"/>
      <c r="V22" s="46"/>
    </row>
    <row r="23" spans="1:22" ht="33.75" x14ac:dyDescent="0.2">
      <c r="A23" s="21" t="s">
        <v>16</v>
      </c>
      <c r="B23" s="28">
        <f t="shared" si="3"/>
        <v>44897</v>
      </c>
      <c r="C23" s="25">
        <f>D22</f>
        <v>0.43749999999999994</v>
      </c>
      <c r="D23" s="25">
        <f>TabDez[[#This Row],[Ini]]+TabDez[[#This Row],[Suges]]</f>
        <v>0.48611111111111105</v>
      </c>
      <c r="E23" s="25"/>
      <c r="F23" s="25"/>
      <c r="G23" s="26">
        <f>(TabDez[[#This Row],[Fim]]-TabDez[[#This Row],[Ini]])+(TabDez[[#This Row],[Fim.]]-TabDez[[#This Row],[Ini.]])</f>
        <v>4.8611111111111105E-2</v>
      </c>
      <c r="H23" s="3">
        <f>G23*Param!$D$3</f>
        <v>1.1666666666666665</v>
      </c>
      <c r="I23" s="7"/>
      <c r="J23" s="11" t="s">
        <v>69</v>
      </c>
      <c r="K23" s="48" t="str">
        <f>VLOOKUP(J23,TabCatalogo[[#Data],[NMProjeto]:[IDAtividade2]],9,FALSE)</f>
        <v>PJ9646</v>
      </c>
      <c r="L23" s="37" t="s">
        <v>105</v>
      </c>
      <c r="M23" s="48">
        <f>VLOOKUP(TEXT(K23,"Texto")&amp;"-"&amp;TEXT(L23,"Texto"),TabCatalogo[[Atividade]:[IDAtividade2]],4,FALSE)</f>
        <v>297156</v>
      </c>
      <c r="N23" s="6" t="s">
        <v>106</v>
      </c>
      <c r="O23" s="50">
        <f t="shared" si="5"/>
        <v>4.8611111111111112E-2</v>
      </c>
      <c r="P23" s="33" t="str">
        <f>IF(AND(C23&lt;&gt;"",D23&lt;&gt;""),IF(TabDez[[#This Row],[Ini]]&lt;=TabDez[[#This Row],[Fim]],IF(J22="",IF(AND(NOT(C23&gt;=C22),TabDez[[#This Row],[Ac]]=""),Param!$C$5,""),IF(AND(NOT(C23&gt;=D22),TabDez[[#This Row],[Ac]]=""),Param!$C$5,"")),Param!$C$7),"")</f>
        <v/>
      </c>
      <c r="Q23" s="34" t="str">
        <f>(IF(NOT(B23=B22),Param!$C$6,""))</f>
        <v/>
      </c>
      <c r="R23" s="7">
        <f>SUMIFS(TabDez[HrDec],TabDez[Data],B23,TabDez[Novo Dia?],"")</f>
        <v>7.0000000000000036</v>
      </c>
      <c r="S23" s="44">
        <f>TabDez[[#This Row],[Data]]</f>
        <v>44897</v>
      </c>
      <c r="T23" s="56">
        <f>COUNTIFS(TabDez[Data],TabDez[[#This Row],[DtAux]],TabDez[Ini],"&gt;0",TabDez[Lnc?],"=N")</f>
        <v>6</v>
      </c>
      <c r="U23" s="35"/>
      <c r="V23" s="46"/>
    </row>
    <row r="24" spans="1:22" ht="33.75" x14ac:dyDescent="0.2">
      <c r="A24" s="21" t="s">
        <v>16</v>
      </c>
      <c r="B24" s="28">
        <f t="shared" si="3"/>
        <v>44897</v>
      </c>
      <c r="C24" s="25">
        <f>E17</f>
        <v>0.50555555555555554</v>
      </c>
      <c r="D24" s="25">
        <f>TabDez[[#This Row],[Ini]]+TabDez[[#This Row],[Suges]]</f>
        <v>0.5541666666666667</v>
      </c>
      <c r="E24" s="25"/>
      <c r="F24" s="25"/>
      <c r="G24" s="26">
        <f>(TabDez[[#This Row],[Fim]]-TabDez[[#This Row],[Ini]])+(TabDez[[#This Row],[Fim.]]-TabDez[[#This Row],[Ini.]])</f>
        <v>4.861111111111116E-2</v>
      </c>
      <c r="H24" s="3">
        <f>G24*Param!$D$3</f>
        <v>1.1666666666666679</v>
      </c>
      <c r="I24" s="7"/>
      <c r="J24" s="11" t="s">
        <v>39</v>
      </c>
      <c r="K24" s="48" t="str">
        <f>VLOOKUP(J24,TabCatalogo[[#Data],[NMProjeto]:[IDAtividade2]],9,FALSE)</f>
        <v>PJ9350</v>
      </c>
      <c r="L24" s="37" t="s">
        <v>87</v>
      </c>
      <c r="M24" s="48">
        <f>VLOOKUP(TEXT(K24,"Texto")&amp;"-"&amp;TEXT(L24,"Texto"),TabCatalogo[[Atividade]:[IDAtividade2]],4,FALSE)</f>
        <v>295478</v>
      </c>
      <c r="N24" s="6" t="s">
        <v>101</v>
      </c>
      <c r="O24" s="50">
        <f t="shared" si="5"/>
        <v>4.8611111111111112E-2</v>
      </c>
      <c r="P24" s="33" t="str">
        <f>IF(AND(C24&lt;&gt;"",D24&lt;&gt;""),IF(TabDez[[#This Row],[Ini]]&lt;=TabDez[[#This Row],[Fim]],IF(J23="",IF(AND(NOT(C24&gt;=C23),TabDez[[#This Row],[Ac]]=""),Param!$C$5,""),IF(AND(NOT(C24&gt;=D23),TabDez[[#This Row],[Ac]]=""),Param!$C$5,"")),Param!$C$7),"")</f>
        <v/>
      </c>
      <c r="Q24" s="34" t="str">
        <f>(IF(NOT(B24=B23),Param!$C$6,""))</f>
        <v/>
      </c>
      <c r="R24" s="7">
        <f>SUMIFS(TabDez[HrDec],TabDez[Data],B24,TabDez[Novo Dia?],"")</f>
        <v>7.0000000000000036</v>
      </c>
      <c r="S24" s="44">
        <f>TabDez[[#This Row],[Data]]</f>
        <v>44897</v>
      </c>
      <c r="T24" s="56">
        <f>COUNTIFS(TabDez[Data],TabDez[[#This Row],[DtAux]],TabDez[Ini],"&gt;0",TabDez[Lnc?],"=N")</f>
        <v>6</v>
      </c>
      <c r="U24" s="35"/>
      <c r="V24" s="46"/>
    </row>
    <row r="25" spans="1:22" ht="22.5" x14ac:dyDescent="0.2">
      <c r="A25" s="21" t="s">
        <v>16</v>
      </c>
      <c r="B25" s="28">
        <f t="shared" si="3"/>
        <v>44897</v>
      </c>
      <c r="C25" s="25">
        <f>D24</f>
        <v>0.5541666666666667</v>
      </c>
      <c r="D25" s="25">
        <f>TabDez[[#This Row],[Ini]]+TabDez[[#This Row],[Suges]]</f>
        <v>0.60277777777777786</v>
      </c>
      <c r="E25" s="25"/>
      <c r="F25" s="25"/>
      <c r="G25" s="26">
        <f>(TabDez[[#This Row],[Fim]]-TabDez[[#This Row],[Ini]])+(TabDez[[#This Row],[Fim.]]-TabDez[[#This Row],[Ini.]])</f>
        <v>4.861111111111116E-2</v>
      </c>
      <c r="H25" s="3">
        <f>G25*Param!$D$3</f>
        <v>1.1666666666666679</v>
      </c>
      <c r="I25" s="7"/>
      <c r="J25" s="11" t="s">
        <v>40</v>
      </c>
      <c r="K25" s="48" t="str">
        <f>VLOOKUP(J25,TabCatalogo[[#Data],[NMProjeto]:[IDAtividade2]],9,FALSE)</f>
        <v>PJ9802</v>
      </c>
      <c r="L25" s="37" t="s">
        <v>84</v>
      </c>
      <c r="M25" s="48">
        <f>VLOOKUP(TEXT(K25,"Texto")&amp;"-"&amp;TEXT(L25,"Texto"),TabCatalogo[[Atividade]:[IDAtividade2]],4,FALSE)</f>
        <v>291726</v>
      </c>
      <c r="N25" s="6" t="s">
        <v>102</v>
      </c>
      <c r="O25" s="50">
        <f t="shared" si="5"/>
        <v>4.8611111111111112E-2</v>
      </c>
      <c r="P25" s="33" t="str">
        <f>IF(AND(C25&lt;&gt;"",D25&lt;&gt;""),IF(TabDez[[#This Row],[Ini]]&lt;=TabDez[[#This Row],[Fim]],IF(J24="",IF(AND(NOT(C25&gt;=C24),TabDez[[#This Row],[Ac]]=""),Param!$C$5,""),IF(AND(NOT(C25&gt;=D24),TabDez[[#This Row],[Ac]]=""),Param!$C$5,"")),Param!$C$7),"")</f>
        <v/>
      </c>
      <c r="Q25" s="34" t="str">
        <f>(IF(NOT(B25=B24),Param!$C$6,""))</f>
        <v/>
      </c>
      <c r="R25" s="7">
        <f>SUMIFS(TabDez[HrDec],TabDez[Data],B25,TabDez[Novo Dia?],"")</f>
        <v>7.0000000000000036</v>
      </c>
      <c r="S25" s="44">
        <f>TabDez[[#This Row],[Data]]</f>
        <v>44897</v>
      </c>
      <c r="T25" s="56">
        <f>COUNTIFS(TabDez[Data],TabDez[[#This Row],[DtAux]],TabDez[Ini],"&gt;0",TabDez[Lnc?],"=N")</f>
        <v>6</v>
      </c>
      <c r="U25" s="35"/>
      <c r="V25" s="46"/>
    </row>
    <row r="26" spans="1:22" ht="33.75" x14ac:dyDescent="0.2">
      <c r="A26" s="21" t="s">
        <v>16</v>
      </c>
      <c r="B26" s="28">
        <f t="shared" si="3"/>
        <v>44897</v>
      </c>
      <c r="C26" s="25">
        <f>D25</f>
        <v>0.60277777777777786</v>
      </c>
      <c r="D26" s="25">
        <f>TabDez[[#This Row],[Ini]]+TabDez[[#This Row],[Suges]]</f>
        <v>0.65138888888888902</v>
      </c>
      <c r="E26" s="25"/>
      <c r="F26" s="25"/>
      <c r="G26" s="26">
        <f>(TabDez[[#This Row],[Fim]]-TabDez[[#This Row],[Ini]])+(TabDez[[#This Row],[Fim.]]-TabDez[[#This Row],[Ini.]])</f>
        <v>4.861111111111116E-2</v>
      </c>
      <c r="H26" s="3">
        <f>G26*Param!$D$3</f>
        <v>1.1666666666666679</v>
      </c>
      <c r="I26" s="7"/>
      <c r="J26" s="11" t="s">
        <v>41</v>
      </c>
      <c r="K26" s="48" t="str">
        <f>VLOOKUP(J26,TabCatalogo[[#Data],[NMProjeto]:[IDAtividade2]],9,FALSE)</f>
        <v>PJ9803</v>
      </c>
      <c r="L26" s="37" t="s">
        <v>84</v>
      </c>
      <c r="M26" s="48">
        <f>VLOOKUP(TEXT(K26,"Texto")&amp;"-"&amp;TEXT(L26,"Texto"),TabCatalogo[[Atividade]:[IDAtividade2]],4,FALSE)</f>
        <v>297157</v>
      </c>
      <c r="N26" s="6" t="s">
        <v>103</v>
      </c>
      <c r="O26" s="50">
        <f t="shared" si="5"/>
        <v>4.8611111111111112E-2</v>
      </c>
      <c r="P26" s="33" t="str">
        <f>IF(AND(C26&lt;&gt;"",D26&lt;&gt;""),IF(TabDez[[#This Row],[Ini]]&lt;=TabDez[[#This Row],[Fim]],IF(J25="",IF(AND(NOT(C26&gt;=C25),TabDez[[#This Row],[Ac]]=""),Param!$C$5,""),IF(AND(NOT(C26&gt;=D25),TabDez[[#This Row],[Ac]]=""),Param!$C$5,"")),Param!$C$7),"")</f>
        <v/>
      </c>
      <c r="Q26" s="34" t="str">
        <f>(IF(NOT(B26=B25),Param!$C$6,""))</f>
        <v/>
      </c>
      <c r="R26" s="7">
        <f>SUMIFS(TabDez[HrDec],TabDez[Data],B26,TabDez[Novo Dia?],"")</f>
        <v>7.0000000000000036</v>
      </c>
      <c r="S26" s="44">
        <f>TabDez[[#This Row],[Data]]</f>
        <v>44897</v>
      </c>
      <c r="T26" s="56">
        <f>COUNTIFS(TabDez[Data],TabDez[[#This Row],[DtAux]],TabDez[Ini],"&gt;0",TabDez[Lnc?],"=N")</f>
        <v>6</v>
      </c>
      <c r="U26" s="35"/>
      <c r="V26" s="46"/>
    </row>
    <row r="27" spans="1:22" ht="22.5" x14ac:dyDescent="0.2">
      <c r="A27" s="21" t="s">
        <v>16</v>
      </c>
      <c r="B27" s="28">
        <f t="shared" si="3"/>
        <v>44897</v>
      </c>
      <c r="C27" s="25"/>
      <c r="D27" s="25"/>
      <c r="E27" s="25"/>
      <c r="F27" s="25"/>
      <c r="G27" s="26">
        <f>(TabDez[[#This Row],[Fim]]-TabDez[[#This Row],[Ini]])+(TabDez[[#This Row],[Fim.]]-TabDez[[#This Row],[Ini.]])</f>
        <v>0</v>
      </c>
      <c r="H27" s="3">
        <f>G27*Param!$D$3</f>
        <v>0</v>
      </c>
      <c r="I27" s="7"/>
      <c r="J27" s="11" t="s">
        <v>42</v>
      </c>
      <c r="K27" s="48" t="str">
        <f>VLOOKUP(J27,TabCatalogo[[#Data],[NMProjeto]:[IDAtividade2]],9,FALSE)</f>
        <v>PJ9167</v>
      </c>
      <c r="L27" s="37" t="s">
        <v>91</v>
      </c>
      <c r="M27" s="48">
        <f>VLOOKUP(TEXT(K27,"Texto")&amp;"-"&amp;TEXT(L27,"Texto"),TabCatalogo[[Atividade]:[IDAtividade2]],4,FALSE)</f>
        <v>291502</v>
      </c>
      <c r="N27" s="6" t="s">
        <v>73</v>
      </c>
      <c r="O27" s="50">
        <f t="shared" si="5"/>
        <v>4.8611111111111112E-2</v>
      </c>
      <c r="P27" s="33" t="str">
        <f>IF(AND(C27&lt;&gt;"",D27&lt;&gt;""),IF(TabDez[[#This Row],[Ini]]&lt;=TabDez[[#This Row],[Fim]],IF(J26="",IF(AND(NOT(C27&gt;=C26),TabDez[[#This Row],[Ac]]=""),Param!$C$5,""),IF(AND(NOT(C27&gt;=D26),TabDez[[#This Row],[Ac]]=""),Param!$C$5,"")),Param!$C$7),"")</f>
        <v/>
      </c>
      <c r="Q27" s="34" t="str">
        <f>(IF(NOT(B27=B26),Param!$C$6,""))</f>
        <v/>
      </c>
      <c r="R27" s="7">
        <f>SUMIFS(TabDez[HrDec],TabDez[Data],B27,TabDez[Novo Dia?],"")</f>
        <v>7.0000000000000036</v>
      </c>
      <c r="S27" s="44">
        <f>TabDez[[#This Row],[Data]]</f>
        <v>44897</v>
      </c>
      <c r="T27" s="56">
        <f>COUNTIFS(TabDez[Data],TabDez[[#This Row],[DtAux]],TabDez[Ini],"&gt;0",TabDez[Lnc?],"=N")</f>
        <v>6</v>
      </c>
      <c r="U27" s="35"/>
      <c r="V27" s="46"/>
    </row>
    <row r="28" spans="1:22" ht="33.75" x14ac:dyDescent="0.2">
      <c r="A28" s="21" t="s">
        <v>15</v>
      </c>
      <c r="B28" s="28">
        <f t="shared" si="3"/>
        <v>44897</v>
      </c>
      <c r="C28" s="25"/>
      <c r="D28" s="25"/>
      <c r="E28" s="25"/>
      <c r="F28" s="25"/>
      <c r="G28" s="26">
        <f>(TabDez[[#This Row],[Fim]]-TabDez[[#This Row],[Ini]])+(TabDez[[#This Row],[Fim.]]-TabDez[[#This Row],[Ini.]])</f>
        <v>0</v>
      </c>
      <c r="H28" s="3">
        <f>G28*Param!$D$3</f>
        <v>0</v>
      </c>
      <c r="I28" s="7"/>
      <c r="J28" s="11" t="s">
        <v>43</v>
      </c>
      <c r="K28" s="48" t="str">
        <f>VLOOKUP(J28,TabCatalogo[[#Data],[NMProjeto]:[IDAtividade2]],9,FALSE)</f>
        <v>PJ9500</v>
      </c>
      <c r="L28" s="37" t="s">
        <v>86</v>
      </c>
      <c r="M28" s="48">
        <f>VLOOKUP(TEXT(K28,"Texto")&amp;"-"&amp;TEXT(L28,"Texto"),TabCatalogo[[Atividade]:[IDAtividade2]],4,FALSE)</f>
        <v>284913</v>
      </c>
      <c r="N28" s="6" t="s">
        <v>57</v>
      </c>
      <c r="O28" s="50">
        <f>O27</f>
        <v>4.8611111111111112E-2</v>
      </c>
      <c r="P28" s="33" t="str">
        <f>IF(AND(C28&lt;&gt;"",D28&lt;&gt;""),IF(TabDez[[#This Row],[Ini]]&lt;=TabDez[[#This Row],[Fim]],IF(J27="",IF(AND(NOT(C28&gt;=C27),TabDez[[#This Row],[Ac]]=""),Param!$C$5,""),IF(AND(NOT(C28&gt;=D27),TabDez[[#This Row],[Ac]]=""),Param!$C$5,"")),Param!$C$7),"")</f>
        <v/>
      </c>
      <c r="Q28" s="34" t="str">
        <f>(IF(NOT(B28=B27),Param!$C$6,""))</f>
        <v/>
      </c>
      <c r="R28" s="7">
        <f>SUMIFS(TabDez[HrDec],TabDez[Data],B28,TabDez[Novo Dia?],"")</f>
        <v>7.0000000000000036</v>
      </c>
      <c r="S28" s="44">
        <f>TabDez[[#This Row],[Data]]</f>
        <v>44897</v>
      </c>
      <c r="T28" s="56">
        <f>COUNTIFS(TabDez[Data],TabDez[[#This Row],[DtAux]],TabDez[Ini],"&gt;0",TabDez[Lnc?],"=N")</f>
        <v>6</v>
      </c>
      <c r="U28" s="35"/>
      <c r="V28" s="46"/>
    </row>
    <row r="29" spans="1:22" ht="33.75" x14ac:dyDescent="0.2">
      <c r="A29" s="21" t="s">
        <v>16</v>
      </c>
      <c r="B29" s="28">
        <f t="shared" si="3"/>
        <v>44897</v>
      </c>
      <c r="C29" s="25"/>
      <c r="D29" s="25"/>
      <c r="E29" s="25"/>
      <c r="F29" s="25"/>
      <c r="G29" s="26">
        <f>(TabDez[[#This Row],[Fim]]-TabDez[[#This Row],[Ini]])+(TabDez[[#This Row],[Fim.]]-TabDez[[#This Row],[Ini.]])</f>
        <v>0</v>
      </c>
      <c r="H29" s="3">
        <f>G29*Param!$D$3</f>
        <v>0</v>
      </c>
      <c r="I29" s="7"/>
      <c r="J29" s="11" t="s">
        <v>44</v>
      </c>
      <c r="K29" s="48" t="str">
        <f>VLOOKUP(J29,TabCatalogo[[#Data],[NMProjeto]:[IDAtividade2]],9,FALSE)</f>
        <v>PJ9908</v>
      </c>
      <c r="L29" s="37" t="s">
        <v>94</v>
      </c>
      <c r="M29" s="48">
        <f>VLOOKUP(TEXT(K29,"Texto")&amp;"-"&amp;TEXT(L29,"Texto"),TabCatalogo[[Atividade]:[IDAtividade2]],4,FALSE)</f>
        <v>295048</v>
      </c>
      <c r="N29" s="20" t="s">
        <v>104</v>
      </c>
      <c r="O29" s="49">
        <f>O28</f>
        <v>4.8611111111111112E-2</v>
      </c>
      <c r="P29" s="33" t="str">
        <f>IF(AND(C29&lt;&gt;"",D29&lt;&gt;""),IF(TabDez[[#This Row],[Ini]]&lt;=TabDez[[#This Row],[Fim]],IF(J28="",IF(AND(NOT(C29&gt;=C28),TabDez[[#This Row],[Ac]]=""),Param!$C$5,""),IF(AND(NOT(C29&gt;=D28),TabDez[[#This Row],[Ac]]=""),Param!$C$5,"")),Param!$C$7),"")</f>
        <v/>
      </c>
      <c r="Q29" s="34" t="str">
        <f>(IF(NOT(B29=B28),Param!$C$6,""))</f>
        <v/>
      </c>
      <c r="R29" s="7">
        <f>SUMIFS(TabDez[HrDec],TabDez[Data],B29,TabDez[Novo Dia?],"")</f>
        <v>7.0000000000000036</v>
      </c>
      <c r="S29" s="44">
        <f>TabDez[[#This Row],[Data]]</f>
        <v>44897</v>
      </c>
      <c r="T29" s="56">
        <f>COUNTIFS(TabDez[Data],TabDez[[#This Row],[DtAux]],TabDez[Ini],"&gt;0",TabDez[Lnc?],"=N")</f>
        <v>6</v>
      </c>
      <c r="U29" s="35"/>
      <c r="V29" s="46"/>
    </row>
    <row r="30" spans="1:22" ht="22.5" x14ac:dyDescent="0.2">
      <c r="A30" s="21" t="s">
        <v>15</v>
      </c>
      <c r="B30" s="28">
        <f t="shared" si="3"/>
        <v>44897</v>
      </c>
      <c r="C30" s="25"/>
      <c r="D30" s="25"/>
      <c r="E30" s="25"/>
      <c r="F30" s="25"/>
      <c r="G30" s="26">
        <f>(TabDez[[#This Row],[Fim]]-TabDez[[#This Row],[Ini]])+(TabDez[[#This Row],[Fim.]]-TabDez[[#This Row],[Ini.]])</f>
        <v>0</v>
      </c>
      <c r="H30" s="3">
        <f>G30*Param!$D$3</f>
        <v>0</v>
      </c>
      <c r="I30" s="20"/>
      <c r="J30" s="11" t="s">
        <v>76</v>
      </c>
      <c r="K30" s="48" t="str">
        <f>VLOOKUP(J30,TabCatalogo[[#Data],[NMProjeto]:[IDAtividade2]],9,FALSE)</f>
        <v>PJ10040</v>
      </c>
      <c r="L30" s="37" t="s">
        <v>94</v>
      </c>
      <c r="M30" s="48">
        <f>VLOOKUP(TEXT(K30,"Texto")&amp;"-"&amp;TEXT(L30,"Texto"),TabCatalogo[[Atividade]:[IDAtividade2]],4,FALSE)</f>
        <v>295700</v>
      </c>
      <c r="N30" s="22"/>
      <c r="O30" s="49">
        <v>4.1666666666666699E-2</v>
      </c>
      <c r="P30" s="33"/>
      <c r="Q30" s="30"/>
      <c r="R30" s="7">
        <f>SUMIFS(TabDez[HrDec],TabDez[Data],B30,TabDez[Novo Dia?],"")</f>
        <v>7.0000000000000036</v>
      </c>
      <c r="S30" s="44">
        <f>TabDez[[#This Row],[Data]]</f>
        <v>44897</v>
      </c>
      <c r="T30" s="55">
        <f>COUNTIFS(TabDez[Data],TabDez[[#This Row],[DtAux]],TabDez[Ini],"&gt;0",TabDez[Lnc?],"=N")</f>
        <v>6</v>
      </c>
      <c r="U30" s="32"/>
      <c r="V30" s="38"/>
    </row>
    <row r="31" spans="1:22" ht="33.75" x14ac:dyDescent="0.2">
      <c r="A31" s="21" t="s">
        <v>15</v>
      </c>
      <c r="B31" s="28">
        <f>B30</f>
        <v>44897</v>
      </c>
      <c r="C31" s="25"/>
      <c r="D31" s="25"/>
      <c r="E31" s="25"/>
      <c r="F31" s="25"/>
      <c r="G31" s="26">
        <f>(TabDez[[#This Row],[Fim]]-TabDez[[#This Row],[Ini]])+(TabDez[[#This Row],[Fim.]]-TabDez[[#This Row],[Ini.]])</f>
        <v>0</v>
      </c>
      <c r="H31" s="20">
        <f>G31*Param!$D$3</f>
        <v>0</v>
      </c>
      <c r="I31" s="20"/>
      <c r="J31" s="11" t="s">
        <v>95</v>
      </c>
      <c r="K31" s="48" t="str">
        <f>VLOOKUP(J31,TabCatalogo[[#Data],[NMProjeto]:[IDAtividade2]],9,FALSE)</f>
        <v>PJ9205</v>
      </c>
      <c r="L31" s="37" t="s">
        <v>97</v>
      </c>
      <c r="M31" s="48">
        <f>VLOOKUP(TEXT(K31,"Texto")&amp;"-"&amp;TEXT(L31,"Texto"),TabCatalogo[[Atividade]:[IDAtividade2]],4,FALSE)</f>
        <v>288043</v>
      </c>
      <c r="N31" s="20" t="s">
        <v>99</v>
      </c>
      <c r="O31" s="49">
        <v>4.1666666666666699E-2</v>
      </c>
      <c r="P31" s="33"/>
      <c r="Q31" s="30"/>
      <c r="R31" s="7">
        <f>SUMIFS(TabDez[HrDec],TabDez[Data],B31,TabDez[Novo Dia?],"")</f>
        <v>7.0000000000000036</v>
      </c>
      <c r="S31" s="44">
        <f>TabDez[[#This Row],[Data]]</f>
        <v>44897</v>
      </c>
      <c r="T31" s="55">
        <f>COUNTIFS(TabDez[Data],TabDez[[#This Row],[DtAux]],TabDez[Ini],"&gt;0",TabDez[Lnc?],"=N")</f>
        <v>6</v>
      </c>
      <c r="U31" s="32"/>
      <c r="V31" s="38"/>
    </row>
    <row r="32" spans="1:22" ht="25.5" x14ac:dyDescent="0.2">
      <c r="A32" s="21" t="s">
        <v>15</v>
      </c>
      <c r="B32" s="27">
        <v>44900</v>
      </c>
      <c r="C32" s="24">
        <v>0.31597222222222221</v>
      </c>
      <c r="D32" s="24">
        <v>0.51597222222222217</v>
      </c>
      <c r="E32" s="24">
        <v>0.5444444444444444</v>
      </c>
      <c r="F32" s="24">
        <v>0.74444444444444446</v>
      </c>
      <c r="G32" s="24">
        <f>(TabDez[[#This Row],[Fim]]-TabDez[[#This Row],[Ini]])+(TabDez[[#This Row],[Fim.]]-TabDez[[#This Row],[Ini.]])</f>
        <v>0.4</v>
      </c>
      <c r="H32" s="1">
        <f>G32*Param!$D$3</f>
        <v>9.6000000000000014</v>
      </c>
      <c r="I32" s="9" t="str">
        <f>IF(ROUND(SUMIFS(TabDez[HrDec],TabDez[Data],B32,TabDez[Novo Dia?],""),2)=ROUND(H32,2),ROUND(SUMIFS(TabDez[HrDec],TabDez[Data],B32,TabDez[Novo Dia?],""),2),(Param!$C$8 &amp; ROUND(SUMIFS(TabDez[HrDec],TabDez[Data],B32,TabDez[Novo Dia?],""),2)))</f>
        <v>&lt;&gt; 8,4</v>
      </c>
      <c r="J32" s="61">
        <f>TabDez[[#This Row],[Ini.]]-TabDez[[#This Row],[Fim]]</f>
        <v>2.8472222222222232E-2</v>
      </c>
      <c r="K32" s="48"/>
      <c r="L32" s="36"/>
      <c r="M32" s="48"/>
      <c r="N32" s="14"/>
      <c r="O32" s="49"/>
      <c r="P32" s="33" t="str">
        <f>IF(AND(C32&lt;&gt;"",D32&lt;&gt;""),IF(TabDez[[#This Row],[Ini]]&lt;=TabDez[[#This Row],[Fim]],IF(J31="",IF(AND(NOT(C32&gt;=C31),TabDez[[#This Row],[Ac]]=""),Param!$C$5,""),IF(AND(NOT(C32&gt;=D31),TabDez[[#This Row],[Ac]]=""),Param!$C$5,"")),Param!$C$7),"")</f>
        <v/>
      </c>
      <c r="Q32" s="34" t="str">
        <f>(IF(NOT(B32=B31),Param!$C$6,""))</f>
        <v>Novo dia!</v>
      </c>
      <c r="R32" s="3">
        <f>SUMIFS(TabDez[HrDec],TabDez[Data],B32,TabDez[Novo Dia?],"")</f>
        <v>8.4000000000000039</v>
      </c>
      <c r="S32" s="44">
        <f>TabDez[[#This Row],[Data]]</f>
        <v>44900</v>
      </c>
      <c r="T32" s="56">
        <f>COUNTIFS(TabDez[Data],TabDez[[#This Row],[DtAux]],TabDez[Ini],"&gt;0",TabDez[Lnc?],"=N")</f>
        <v>0</v>
      </c>
      <c r="U32" s="53" t="e">
        <f>(TabDez[[#This Row],[HrDec]])/TabDez[[#This Row],[QtdLanc]]</f>
        <v>#DIV/0!</v>
      </c>
      <c r="V32" s="46" t="e">
        <f>TabDez[[#This Row],[Coluna1]]/Param!$D$3</f>
        <v>#DIV/0!</v>
      </c>
    </row>
    <row r="33" spans="1:22" ht="25.5" x14ac:dyDescent="0.2">
      <c r="A33" s="21" t="s">
        <v>15</v>
      </c>
      <c r="B33" s="28">
        <f>B32</f>
        <v>44900</v>
      </c>
      <c r="C33" s="25"/>
      <c r="D33" s="25"/>
      <c r="E33" s="25"/>
      <c r="F33" s="25"/>
      <c r="G33" s="26">
        <f>(TabDez[[#This Row],[Fim]]-TabDez[[#This Row],[Ini]])+(TabDez[[#This Row],[Fim.]]-TabDez[[#This Row],[Ini.]])</f>
        <v>0</v>
      </c>
      <c r="H33" s="3">
        <f>G33*Param!$D$3</f>
        <v>0</v>
      </c>
      <c r="I33" s="7"/>
      <c r="J33" s="11" t="s">
        <v>12</v>
      </c>
      <c r="K33" s="48" t="str">
        <f>VLOOKUP(J33,TabCatalogo[[#Data],[NMProjeto]:[IDAtividade2]],9,FALSE)</f>
        <v>PJ9516</v>
      </c>
      <c r="L33" s="37" t="s">
        <v>72</v>
      </c>
      <c r="M33" s="48">
        <f>VLOOKUP(TEXT(K33,"Texto")&amp;"-"&amp;TEXT(L33,"Texto"),TabCatalogo[[Atividade]:[IDAtividade2]],4,FALSE)</f>
        <v>291454</v>
      </c>
      <c r="N33" s="6" t="s">
        <v>79</v>
      </c>
      <c r="O33" s="49">
        <v>6.25E-2</v>
      </c>
      <c r="P33" s="33" t="str">
        <f>IF(AND(C33&lt;&gt;"",D33&lt;&gt;""),IF(TabDez[[#This Row],[Ini]]&lt;=TabDez[[#This Row],[Fim]],IF(J32="",IF(AND(NOT(C33&gt;=C32),TabDez[[#This Row],[Ac]]=""),Param!$C$5,""),IF(AND(NOT(C33&gt;=D32),TabDez[[#This Row],[Ac]]=""),Param!$C$5,"")),Param!$C$7),"")</f>
        <v/>
      </c>
      <c r="Q33" s="34" t="str">
        <f>(IF(NOT(B33=B32),Param!$C$6,""))</f>
        <v/>
      </c>
      <c r="R33" s="7">
        <f>SUMIFS(TabDez[HrDec],TabDez[Data],B33,TabDez[Novo Dia?],"")</f>
        <v>8.4000000000000039</v>
      </c>
      <c r="S33" s="44">
        <f>TabDez[[#This Row],[Data]]</f>
        <v>44900</v>
      </c>
      <c r="T33" s="56">
        <f>COUNTIFS(TabDez[Data],TabDez[[#This Row],[DtAux]],TabDez[Ini],"&gt;0",TabDez[Lnc?],"=N")</f>
        <v>0</v>
      </c>
      <c r="U33" s="35"/>
      <c r="V33" s="46"/>
    </row>
    <row r="34" spans="1:22" ht="22.5" x14ac:dyDescent="0.2">
      <c r="A34" s="21" t="s">
        <v>15</v>
      </c>
      <c r="B34" s="28">
        <f t="shared" ref="B34:B45" si="6">B33</f>
        <v>44900</v>
      </c>
      <c r="C34" s="25"/>
      <c r="D34" s="25"/>
      <c r="E34" s="25"/>
      <c r="F34" s="25"/>
      <c r="G34" s="26">
        <f>(TabDez[[#This Row],[Fim]]-TabDez[[#This Row],[Ini]])+(TabDez[[#This Row],[Fim.]]-TabDez[[#This Row],[Ini.]])</f>
        <v>0</v>
      </c>
      <c r="H34" s="3">
        <f>G34*Param!$D$3</f>
        <v>0</v>
      </c>
      <c r="I34" s="7"/>
      <c r="J34" s="11" t="s">
        <v>12</v>
      </c>
      <c r="K34" s="48" t="str">
        <f>VLOOKUP(J34,TabCatalogo[[#Data],[NMProjeto]:[IDAtividade2]],9,FALSE)</f>
        <v>PJ9516</v>
      </c>
      <c r="L34" s="37" t="s">
        <v>71</v>
      </c>
      <c r="M34" s="48">
        <f>VLOOKUP(TEXT(K34,"Texto")&amp;"-"&amp;TEXT(L34,"Texto"),TabCatalogo[[Atividade]:[IDAtividade2]],4,FALSE)</f>
        <v>279650</v>
      </c>
      <c r="N34" s="6" t="s">
        <v>78</v>
      </c>
      <c r="O34" s="49">
        <v>3.4722222222222224E-2</v>
      </c>
      <c r="P34" s="33" t="str">
        <f>IF(AND(C34&lt;&gt;"",D34&lt;&gt;""),IF(TabDez[[#This Row],[Ini]]&lt;=TabDez[[#This Row],[Fim]],IF(J33="",IF(AND(NOT(C34&gt;=C33),TabDez[[#This Row],[Ac]]=""),Param!$C$5,""),IF(AND(NOT(C34&gt;=D33),TabDez[[#This Row],[Ac]]=""),Param!$C$5,"")),Param!$C$7),"")</f>
        <v/>
      </c>
      <c r="Q34" s="34" t="str">
        <f>(IF(NOT(B34=B33),Param!$C$6,""))</f>
        <v/>
      </c>
      <c r="R34" s="7">
        <f>SUMIFS(TabDez[HrDec],TabDez[Data],B34,TabDez[Novo Dia?],"")</f>
        <v>8.4000000000000039</v>
      </c>
      <c r="S34" s="44">
        <f>TabDez[[#This Row],[Data]]</f>
        <v>44900</v>
      </c>
      <c r="T34" s="56">
        <f>COUNTIFS(TabDez[Data],TabDez[[#This Row],[DtAux]],TabDez[Ini],"&gt;0",TabDez[Lnc?],"=N")</f>
        <v>0</v>
      </c>
      <c r="U34" s="35"/>
      <c r="V34" s="46"/>
    </row>
    <row r="35" spans="1:22" ht="22.5" x14ac:dyDescent="0.2">
      <c r="A35" s="21" t="s">
        <v>15</v>
      </c>
      <c r="B35" s="28">
        <f>B34</f>
        <v>44900</v>
      </c>
      <c r="C35" s="25"/>
      <c r="D35" s="25"/>
      <c r="E35" s="25"/>
      <c r="F35" s="25"/>
      <c r="G35" s="26">
        <f>(TabDez[[#This Row],[Fim]]-TabDez[[#This Row],[Ini]])+(TabDez[[#This Row],[Fim.]]-TabDez[[#This Row],[Ini.]])</f>
        <v>0</v>
      </c>
      <c r="H35" s="3">
        <f>G35*Param!$D$3</f>
        <v>0</v>
      </c>
      <c r="I35" s="7"/>
      <c r="J35" s="11" t="s">
        <v>12</v>
      </c>
      <c r="K35" s="48" t="str">
        <f>VLOOKUP(J35,TabCatalogo[[#Data],[NMProjeto]:[IDAtividade2]],9,FALSE)</f>
        <v>PJ9516</v>
      </c>
      <c r="L35" s="11" t="s">
        <v>81</v>
      </c>
      <c r="M35" s="48">
        <f>VLOOKUP(TEXT(K35,"Texto")&amp;"-"&amp;TEXT(L35,"Texto"),TabCatalogo[[Atividade]:[IDAtividade2]],4,FALSE)</f>
        <v>292965</v>
      </c>
      <c r="N35" s="6" t="s">
        <v>82</v>
      </c>
      <c r="O35" s="49">
        <v>7.6388888888888895E-2</v>
      </c>
      <c r="P35" s="33" t="str">
        <f>IF(AND(C35&lt;&gt;"",D35&lt;&gt;""),IF(TabDez[[#This Row],[Ini]]&lt;=TabDez[[#This Row],[Fim]],IF(J34="",IF(AND(NOT(C35&gt;=C34),TabDez[[#This Row],[Ac]]=""),Param!$C$5,""),IF(AND(NOT(C35&gt;=D34),TabDez[[#This Row],[Ac]]=""),Param!$C$5,"")),Param!$C$7),"")</f>
        <v/>
      </c>
      <c r="Q35" s="30" t="str">
        <f>(IF(NOT(B35=B34),Param!$C$6,""))</f>
        <v/>
      </c>
      <c r="R35" s="7">
        <f>SUMIFS(TabDez[HrDec],TabDez[Data],B35,TabDez[Novo Dia?],"")</f>
        <v>8.4000000000000039</v>
      </c>
      <c r="S35" s="45">
        <f>TabDez[[#This Row],[Data]]</f>
        <v>44900</v>
      </c>
      <c r="T35" s="55">
        <f>COUNTIFS(TabDez[Data],TabDez[[#This Row],[DtAux]],TabDez[Ini],"&gt;0",TabDez[Lnc?],"=N")</f>
        <v>0</v>
      </c>
      <c r="U35" s="32"/>
      <c r="V35" s="38"/>
    </row>
    <row r="36" spans="1:22" ht="33.75" x14ac:dyDescent="0.2">
      <c r="A36" s="21" t="s">
        <v>15</v>
      </c>
      <c r="B36" s="28">
        <f>B34</f>
        <v>44900</v>
      </c>
      <c r="C36" s="25">
        <f>C32</f>
        <v>0.31597222222222221</v>
      </c>
      <c r="D36" s="25">
        <f>TabDez[[#This Row],[Ini]]+TabDez[[#This Row],[Suges]]</f>
        <v>0.3659722222222222</v>
      </c>
      <c r="E36" s="25"/>
      <c r="F36" s="25"/>
      <c r="G36" s="26">
        <f>(TabDez[[#This Row],[Fim]]-TabDez[[#This Row],[Ini]])+(TabDez[[#This Row],[Fim.]]-TabDez[[#This Row],[Ini.]])</f>
        <v>4.9999999999999989E-2</v>
      </c>
      <c r="H36" s="3">
        <f>G36*Param!$D$3</f>
        <v>1.1999999999999997</v>
      </c>
      <c r="I36" s="7"/>
      <c r="J36" s="11" t="s">
        <v>37</v>
      </c>
      <c r="K36" s="48" t="str">
        <f>VLOOKUP(J36,TabCatalogo[[#Data],[NMProjeto]:[IDAtividade2]],9,FALSE)</f>
        <v>PJ9278</v>
      </c>
      <c r="L36" s="37" t="s">
        <v>107</v>
      </c>
      <c r="M36" s="48">
        <f>VLOOKUP(TEXT(K36,"Texto")&amp;"-"&amp;TEXT(L36,"Texto"),TabCatalogo[[Atividade]:[IDAtividade2]],4,FALSE)</f>
        <v>296556</v>
      </c>
      <c r="N36" s="6" t="s">
        <v>100</v>
      </c>
      <c r="O36" s="50">
        <v>4.9999999999999996E-2</v>
      </c>
      <c r="P36" s="33" t="str">
        <f>IF(AND(C36&lt;&gt;"",D36&lt;&gt;""),IF(TabDez[[#This Row],[Ini]]&lt;=TabDez[[#This Row],[Fim]],IF(J35="",IF(AND(NOT(C36&gt;=C35),TabDez[[#This Row],[Ac]]=""),Param!$C$5,""),IF(AND(NOT(C36&gt;=D35),TabDez[[#This Row],[Ac]]=""),Param!$C$5,"")),Param!$C$7),"")</f>
        <v/>
      </c>
      <c r="Q36" s="30" t="str">
        <f>(IF(NOT(B36=B35),Param!$C$6,""))</f>
        <v/>
      </c>
      <c r="R36" s="7">
        <f>SUMIFS(TabDez[HrDec],TabDez[Data],B36,TabDez[Novo Dia?],"")</f>
        <v>8.4000000000000039</v>
      </c>
      <c r="S36" s="44">
        <f>TabDez[[#This Row],[Data]]</f>
        <v>44900</v>
      </c>
      <c r="T36" s="56">
        <f>COUNTIFS(TabDez[Data],TabDez[[#This Row],[DtAux]],TabDez[Ini],"&gt;0",TabDez[Lnc?],"=N")</f>
        <v>0</v>
      </c>
      <c r="U36" s="35"/>
      <c r="V36" s="46"/>
    </row>
    <row r="37" spans="1:22" ht="45" x14ac:dyDescent="0.2">
      <c r="A37" s="21" t="s">
        <v>15</v>
      </c>
      <c r="B37" s="28">
        <f t="shared" si="6"/>
        <v>44900</v>
      </c>
      <c r="C37" s="25">
        <f t="shared" ref="C37" si="7">D36</f>
        <v>0.3659722222222222</v>
      </c>
      <c r="D37" s="25">
        <f>TabDez[[#This Row],[Ini]]+TabDez[[#This Row],[Suges]]</f>
        <v>0.41597222222222219</v>
      </c>
      <c r="E37" s="25"/>
      <c r="F37" s="25"/>
      <c r="G37" s="26">
        <f>(TabDez[[#This Row],[Fim]]-TabDez[[#This Row],[Ini]])+(TabDez[[#This Row],[Fim.]]-TabDez[[#This Row],[Ini.]])</f>
        <v>4.9999999999999989E-2</v>
      </c>
      <c r="H37" s="3">
        <f>G37*Param!$D$3</f>
        <v>1.1999999999999997</v>
      </c>
      <c r="I37" s="7"/>
      <c r="J37" s="11" t="s">
        <v>38</v>
      </c>
      <c r="K37" s="48" t="str">
        <f>VLOOKUP(J37,TabCatalogo[[#Data],[NMProjeto]:[IDAtividade2]],9,FALSE)</f>
        <v>PJ9228</v>
      </c>
      <c r="L37" s="37" t="s">
        <v>88</v>
      </c>
      <c r="M37" s="48">
        <f>VLOOKUP(TEXT(K37,"Texto")&amp;"-"&amp;TEXT(L37,"Texto"),TabCatalogo[[Atividade]:[IDAtividade2]],4,FALSE)</f>
        <v>287637</v>
      </c>
      <c r="N37" s="6" t="s">
        <v>80</v>
      </c>
      <c r="O37" s="50">
        <f t="shared" ref="O37:O42" si="8">O36</f>
        <v>4.9999999999999996E-2</v>
      </c>
      <c r="P37" s="33" t="str">
        <f>IF(AND(C37&lt;&gt;"",D37&lt;&gt;""),IF(TabDez[[#This Row],[Ini]]&lt;=TabDez[[#This Row],[Fim]],IF(J36="",IF(AND(NOT(C37&gt;=C36),TabDez[[#This Row],[Ac]]=""),Param!$C$5,""),IF(AND(NOT(C37&gt;=D36),TabDez[[#This Row],[Ac]]=""),Param!$C$5,"")),Param!$C$7),"")</f>
        <v/>
      </c>
      <c r="Q37" s="34" t="str">
        <f>(IF(NOT(B37=B36),Param!$C$6,""))</f>
        <v/>
      </c>
      <c r="R37" s="7">
        <f>SUMIFS(TabDez[HrDec],TabDez[Data],B37,TabDez[Novo Dia?],"")</f>
        <v>8.4000000000000039</v>
      </c>
      <c r="S37" s="44">
        <f>TabDez[[#This Row],[Data]]</f>
        <v>44900</v>
      </c>
      <c r="T37" s="56">
        <f>COUNTIFS(TabDez[Data],TabDez[[#This Row],[DtAux]],TabDez[Ini],"&gt;0",TabDez[Lnc?],"=N")</f>
        <v>0</v>
      </c>
      <c r="U37" s="35"/>
      <c r="V37" s="46"/>
    </row>
    <row r="38" spans="1:22" ht="33.75" x14ac:dyDescent="0.2">
      <c r="A38" s="21" t="s">
        <v>15</v>
      </c>
      <c r="B38" s="28">
        <f t="shared" si="6"/>
        <v>44900</v>
      </c>
      <c r="C38" s="25">
        <f>D37</f>
        <v>0.41597222222222219</v>
      </c>
      <c r="D38" s="25">
        <f>TabDez[[#This Row],[Ini]]+TabDez[[#This Row],[Suges]]</f>
        <v>0.46597222222222218</v>
      </c>
      <c r="E38" s="25"/>
      <c r="F38" s="25"/>
      <c r="G38" s="26">
        <f>(TabDez[[#This Row],[Fim]]-TabDez[[#This Row],[Ini]])+(TabDez[[#This Row],[Fim.]]-TabDez[[#This Row],[Ini.]])</f>
        <v>4.9999999999999989E-2</v>
      </c>
      <c r="H38" s="3">
        <f>G38*Param!$D$3</f>
        <v>1.1999999999999997</v>
      </c>
      <c r="I38" s="7"/>
      <c r="J38" s="11" t="s">
        <v>69</v>
      </c>
      <c r="K38" s="48" t="str">
        <f>VLOOKUP(J38,TabCatalogo[[#Data],[NMProjeto]:[IDAtividade2]],9,FALSE)</f>
        <v>PJ9646</v>
      </c>
      <c r="L38" s="37" t="s">
        <v>105</v>
      </c>
      <c r="M38" s="48">
        <f>VLOOKUP(TEXT(K38,"Texto")&amp;"-"&amp;TEXT(L38,"Texto"),TabCatalogo[[Atividade]:[IDAtividade2]],4,FALSE)</f>
        <v>297156</v>
      </c>
      <c r="N38" s="6" t="s">
        <v>106</v>
      </c>
      <c r="O38" s="50">
        <f t="shared" si="8"/>
        <v>4.9999999999999996E-2</v>
      </c>
      <c r="P38" s="33" t="str">
        <f>IF(AND(C38&lt;&gt;"",D38&lt;&gt;""),IF(TabDez[[#This Row],[Ini]]&lt;=TabDez[[#This Row],[Fim]],IF(J37="",IF(AND(NOT(C38&gt;=C37),TabDez[[#This Row],[Ac]]=""),Param!$C$5,""),IF(AND(NOT(C38&gt;=D37),TabDez[[#This Row],[Ac]]=""),Param!$C$5,"")),Param!$C$7),"")</f>
        <v/>
      </c>
      <c r="Q38" s="34" t="str">
        <f>(IF(NOT(B38=B37),Param!$C$6,""))</f>
        <v/>
      </c>
      <c r="R38" s="7">
        <f>SUMIFS(TabDez[HrDec],TabDez[Data],B38,TabDez[Novo Dia?],"")</f>
        <v>8.4000000000000039</v>
      </c>
      <c r="S38" s="44">
        <f>TabDez[[#This Row],[Data]]</f>
        <v>44900</v>
      </c>
      <c r="T38" s="56">
        <f>COUNTIFS(TabDez[Data],TabDez[[#This Row],[DtAux]],TabDez[Ini],"&gt;0",TabDez[Lnc?],"=N")</f>
        <v>0</v>
      </c>
      <c r="U38" s="35"/>
      <c r="V38" s="46"/>
    </row>
    <row r="39" spans="1:22" ht="33.75" x14ac:dyDescent="0.2">
      <c r="A39" s="21" t="s">
        <v>15</v>
      </c>
      <c r="B39" s="28">
        <f t="shared" si="6"/>
        <v>44900</v>
      </c>
      <c r="C39" s="25"/>
      <c r="D39" s="25"/>
      <c r="E39" s="25"/>
      <c r="F39" s="25"/>
      <c r="G39" s="26">
        <f>(TabDez[[#This Row],[Fim]]-TabDez[[#This Row],[Ini]])+(TabDez[[#This Row],[Fim.]]-TabDez[[#This Row],[Ini.]])</f>
        <v>0</v>
      </c>
      <c r="H39" s="3">
        <f>G39*Param!$D$3</f>
        <v>0</v>
      </c>
      <c r="I39" s="7"/>
      <c r="J39" s="11" t="s">
        <v>39</v>
      </c>
      <c r="K39" s="48" t="str">
        <f>VLOOKUP(J39,TabCatalogo[[#Data],[NMProjeto]:[IDAtividade2]],9,FALSE)</f>
        <v>PJ9350</v>
      </c>
      <c r="L39" s="37" t="s">
        <v>87</v>
      </c>
      <c r="M39" s="48">
        <f>VLOOKUP(TEXT(K39,"Texto")&amp;"-"&amp;TEXT(L39,"Texto"),TabCatalogo[[Atividade]:[IDAtividade2]],4,FALSE)</f>
        <v>295478</v>
      </c>
      <c r="N39" s="6" t="s">
        <v>101</v>
      </c>
      <c r="O39" s="50">
        <f t="shared" si="8"/>
        <v>4.9999999999999996E-2</v>
      </c>
      <c r="P39" s="33" t="str">
        <f>IF(AND(C39&lt;&gt;"",D39&lt;&gt;""),IF(TabDez[[#This Row],[Ini]]&lt;=TabDez[[#This Row],[Fim]],IF(J38="",IF(AND(NOT(C39&gt;=C38),TabDez[[#This Row],[Ac]]=""),Param!$C$5,""),IF(AND(NOT(C39&gt;=D38),TabDez[[#This Row],[Ac]]=""),Param!$C$5,"")),Param!$C$7),"")</f>
        <v/>
      </c>
      <c r="Q39" s="34" t="str">
        <f>(IF(NOT(B39=B38),Param!$C$6,""))</f>
        <v/>
      </c>
      <c r="R39" s="7">
        <f>SUMIFS(TabDez[HrDec],TabDez[Data],B39,TabDez[Novo Dia?],"")</f>
        <v>8.4000000000000039</v>
      </c>
      <c r="S39" s="44">
        <f>TabDez[[#This Row],[Data]]</f>
        <v>44900</v>
      </c>
      <c r="T39" s="56">
        <f>COUNTIFS(TabDez[Data],TabDez[[#This Row],[DtAux]],TabDez[Ini],"&gt;0",TabDez[Lnc?],"=N")</f>
        <v>0</v>
      </c>
      <c r="U39" s="35"/>
      <c r="V39" s="46"/>
    </row>
    <row r="40" spans="1:22" ht="22.5" x14ac:dyDescent="0.2">
      <c r="A40" s="21" t="s">
        <v>15</v>
      </c>
      <c r="B40" s="28">
        <f t="shared" si="6"/>
        <v>44900</v>
      </c>
      <c r="C40" s="25">
        <f>E32</f>
        <v>0.5444444444444444</v>
      </c>
      <c r="D40" s="25">
        <f>TabDez[[#This Row],[Ini]]+TabDez[[#This Row],[Suges]]</f>
        <v>0.59444444444444444</v>
      </c>
      <c r="E40" s="25"/>
      <c r="F40" s="25"/>
      <c r="G40" s="26">
        <f>(TabDez[[#This Row],[Fim]]-TabDez[[#This Row],[Ini]])+(TabDez[[#This Row],[Fim.]]-TabDez[[#This Row],[Ini.]])</f>
        <v>5.0000000000000044E-2</v>
      </c>
      <c r="H40" s="3">
        <f>G40*Param!$D$3</f>
        <v>1.2000000000000011</v>
      </c>
      <c r="I40" s="7"/>
      <c r="J40" s="11" t="s">
        <v>40</v>
      </c>
      <c r="K40" s="48" t="str">
        <f>VLOOKUP(J40,TabCatalogo[[#Data],[NMProjeto]:[IDAtividade2]],9,FALSE)</f>
        <v>PJ9802</v>
      </c>
      <c r="L40" s="37" t="s">
        <v>84</v>
      </c>
      <c r="M40" s="48">
        <f>VLOOKUP(TEXT(K40,"Texto")&amp;"-"&amp;TEXT(L40,"Texto"),TabCatalogo[[Atividade]:[IDAtividade2]],4,FALSE)</f>
        <v>291726</v>
      </c>
      <c r="N40" s="6" t="s">
        <v>108</v>
      </c>
      <c r="O40" s="50">
        <f t="shared" si="8"/>
        <v>4.9999999999999996E-2</v>
      </c>
      <c r="P40" s="33" t="str">
        <f>IF(AND(C40&lt;&gt;"",D40&lt;&gt;""),IF(TabDez[[#This Row],[Ini]]&lt;=TabDez[[#This Row],[Fim]],IF(J39="",IF(AND(NOT(C40&gt;=C39),TabDez[[#This Row],[Ac]]=""),Param!$C$5,""),IF(AND(NOT(C40&gt;=D39),TabDez[[#This Row],[Ac]]=""),Param!$C$5,"")),Param!$C$7),"")</f>
        <v/>
      </c>
      <c r="Q40" s="34" t="str">
        <f>(IF(NOT(B40=B39),Param!$C$6,""))</f>
        <v/>
      </c>
      <c r="R40" s="7">
        <f>SUMIFS(TabDez[HrDec],TabDez[Data],B40,TabDez[Novo Dia?],"")</f>
        <v>8.4000000000000039</v>
      </c>
      <c r="S40" s="44">
        <f>TabDez[[#This Row],[Data]]</f>
        <v>44900</v>
      </c>
      <c r="T40" s="56">
        <f>COUNTIFS(TabDez[Data],TabDez[[#This Row],[DtAux]],TabDez[Ini],"&gt;0",TabDez[Lnc?],"=N")</f>
        <v>0</v>
      </c>
      <c r="U40" s="35"/>
      <c r="V40" s="46"/>
    </row>
    <row r="41" spans="1:22" ht="33.75" x14ac:dyDescent="0.2">
      <c r="A41" s="21" t="s">
        <v>15</v>
      </c>
      <c r="B41" s="28">
        <f t="shared" si="6"/>
        <v>44900</v>
      </c>
      <c r="C41" s="25">
        <f>D40</f>
        <v>0.59444444444444444</v>
      </c>
      <c r="D41" s="25">
        <f>TabDez[[#This Row],[Ini]]+TabDez[[#This Row],[Suges]]</f>
        <v>0.64444444444444449</v>
      </c>
      <c r="E41" s="25"/>
      <c r="F41" s="25"/>
      <c r="G41" s="26">
        <f>(TabDez[[#This Row],[Fim]]-TabDez[[#This Row],[Ini]])+(TabDez[[#This Row],[Fim.]]-TabDez[[#This Row],[Ini.]])</f>
        <v>5.0000000000000044E-2</v>
      </c>
      <c r="H41" s="3">
        <f>G41*Param!$D$3</f>
        <v>1.2000000000000011</v>
      </c>
      <c r="I41" s="7"/>
      <c r="J41" s="11" t="s">
        <v>41</v>
      </c>
      <c r="K41" s="48" t="str">
        <f>VLOOKUP(J41,TabCatalogo[[#Data],[NMProjeto]:[IDAtividade2]],9,FALSE)</f>
        <v>PJ9803</v>
      </c>
      <c r="L41" s="37" t="s">
        <v>84</v>
      </c>
      <c r="M41" s="48">
        <f>VLOOKUP(TEXT(K41,"Texto")&amp;"-"&amp;TEXT(L41,"Texto"),TabCatalogo[[Atividade]:[IDAtividade2]],4,FALSE)</f>
        <v>297157</v>
      </c>
      <c r="N41" s="6" t="s">
        <v>103</v>
      </c>
      <c r="O41" s="50">
        <f t="shared" si="8"/>
        <v>4.9999999999999996E-2</v>
      </c>
      <c r="P41" s="33" t="str">
        <f>IF(AND(C41&lt;&gt;"",D41&lt;&gt;""),IF(TabDez[[#This Row],[Ini]]&lt;=TabDez[[#This Row],[Fim]],IF(J40="",IF(AND(NOT(C41&gt;=C40),TabDez[[#This Row],[Ac]]=""),Param!$C$5,""),IF(AND(NOT(C41&gt;=D40),TabDez[[#This Row],[Ac]]=""),Param!$C$5,"")),Param!$C$7),"")</f>
        <v/>
      </c>
      <c r="Q41" s="34" t="str">
        <f>(IF(NOT(B41=B40),Param!$C$6,""))</f>
        <v/>
      </c>
      <c r="R41" s="7">
        <f>SUMIFS(TabDez[HrDec],TabDez[Data],B41,TabDez[Novo Dia?],"")</f>
        <v>8.4000000000000039</v>
      </c>
      <c r="S41" s="44">
        <f>TabDez[[#This Row],[Data]]</f>
        <v>44900</v>
      </c>
      <c r="T41" s="56">
        <f>COUNTIFS(TabDez[Data],TabDez[[#This Row],[DtAux]],TabDez[Ini],"&gt;0",TabDez[Lnc?],"=N")</f>
        <v>0</v>
      </c>
      <c r="U41" s="35"/>
      <c r="V41" s="46"/>
    </row>
    <row r="42" spans="1:22" ht="22.5" x14ac:dyDescent="0.2">
      <c r="A42" s="21" t="s">
        <v>15</v>
      </c>
      <c r="B42" s="28">
        <f t="shared" si="6"/>
        <v>44900</v>
      </c>
      <c r="C42" s="25">
        <f>D41</f>
        <v>0.64444444444444449</v>
      </c>
      <c r="D42" s="25">
        <f>TabDez[[#This Row],[Ini]]+TabDez[[#This Row],[Suges]]</f>
        <v>0.69444444444444453</v>
      </c>
      <c r="E42" s="25"/>
      <c r="F42" s="25"/>
      <c r="G42" s="26">
        <f>(TabDez[[#This Row],[Fim]]-TabDez[[#This Row],[Ini]])+(TabDez[[#This Row],[Fim.]]-TabDez[[#This Row],[Ini.]])</f>
        <v>5.0000000000000044E-2</v>
      </c>
      <c r="H42" s="3">
        <f>G42*Param!$D$3</f>
        <v>1.2000000000000011</v>
      </c>
      <c r="I42" s="7"/>
      <c r="J42" s="11" t="s">
        <v>42</v>
      </c>
      <c r="K42" s="48" t="str">
        <f>VLOOKUP(J42,TabCatalogo[[#Data],[NMProjeto]:[IDAtividade2]],9,FALSE)</f>
        <v>PJ9167</v>
      </c>
      <c r="L42" s="37" t="s">
        <v>91</v>
      </c>
      <c r="M42" s="48">
        <f>VLOOKUP(TEXT(K42,"Texto")&amp;"-"&amp;TEXT(L42,"Texto"),TabCatalogo[[Atividade]:[IDAtividade2]],4,FALSE)</f>
        <v>291502</v>
      </c>
      <c r="N42" s="6" t="s">
        <v>73</v>
      </c>
      <c r="O42" s="50">
        <f t="shared" si="8"/>
        <v>4.9999999999999996E-2</v>
      </c>
      <c r="P42" s="33" t="str">
        <f>IF(AND(C42&lt;&gt;"",D42&lt;&gt;""),IF(TabDez[[#This Row],[Ini]]&lt;=TabDez[[#This Row],[Fim]],IF(J41="",IF(AND(NOT(C42&gt;=C41),TabDez[[#This Row],[Ac]]=""),Param!$C$5,""),IF(AND(NOT(C42&gt;=D41),TabDez[[#This Row],[Ac]]=""),Param!$C$5,"")),Param!$C$7),"")</f>
        <v/>
      </c>
      <c r="Q42" s="34" t="str">
        <f>(IF(NOT(B42=B41),Param!$C$6,""))</f>
        <v/>
      </c>
      <c r="R42" s="7">
        <f>SUMIFS(TabDez[HrDec],TabDez[Data],B42,TabDez[Novo Dia?],"")</f>
        <v>8.4000000000000039</v>
      </c>
      <c r="S42" s="44">
        <f>TabDez[[#This Row],[Data]]</f>
        <v>44900</v>
      </c>
      <c r="T42" s="56">
        <f>COUNTIFS(TabDez[Data],TabDez[[#This Row],[DtAux]],TabDez[Ini],"&gt;0",TabDez[Lnc?],"=N")</f>
        <v>0</v>
      </c>
      <c r="U42" s="35"/>
      <c r="V42" s="46"/>
    </row>
    <row r="43" spans="1:22" ht="33.75" x14ac:dyDescent="0.2">
      <c r="A43" s="21" t="s">
        <v>15</v>
      </c>
      <c r="B43" s="28">
        <f t="shared" si="6"/>
        <v>44900</v>
      </c>
      <c r="C43" s="25"/>
      <c r="D43" s="25"/>
      <c r="E43" s="25"/>
      <c r="F43" s="25"/>
      <c r="G43" s="26">
        <f>(TabDez[[#This Row],[Fim]]-TabDez[[#This Row],[Ini]])+(TabDez[[#This Row],[Fim.]]-TabDez[[#This Row],[Ini.]])</f>
        <v>0</v>
      </c>
      <c r="H43" s="3">
        <f>G43*Param!$D$3</f>
        <v>0</v>
      </c>
      <c r="I43" s="7"/>
      <c r="J43" s="11" t="s">
        <v>43</v>
      </c>
      <c r="K43" s="48" t="str">
        <f>VLOOKUP(J43,TabCatalogo[[#Data],[NMProjeto]:[IDAtividade2]],9,FALSE)</f>
        <v>PJ9500</v>
      </c>
      <c r="L43" s="37" t="s">
        <v>86</v>
      </c>
      <c r="M43" s="48">
        <f>VLOOKUP(TEXT(K43,"Texto")&amp;"-"&amp;TEXT(L43,"Texto"),TabCatalogo[[Atividade]:[IDAtividade2]],4,FALSE)</f>
        <v>284913</v>
      </c>
      <c r="N43" s="6" t="s">
        <v>57</v>
      </c>
      <c r="O43" s="50">
        <f>O42</f>
        <v>4.9999999999999996E-2</v>
      </c>
      <c r="P43" s="33" t="str">
        <f>IF(AND(C43&lt;&gt;"",D43&lt;&gt;""),IF(TabDez[[#This Row],[Ini]]&lt;=TabDez[[#This Row],[Fim]],IF(J42="",IF(AND(NOT(C43&gt;=C42),TabDez[[#This Row],[Ac]]=""),Param!$C$5,""),IF(AND(NOT(C43&gt;=D42),TabDez[[#This Row],[Ac]]=""),Param!$C$5,"")),Param!$C$7),"")</f>
        <v/>
      </c>
      <c r="Q43" s="34" t="str">
        <f>(IF(NOT(B43=B42),Param!$C$6,""))</f>
        <v/>
      </c>
      <c r="R43" s="7">
        <f>SUMIFS(TabDez[HrDec],TabDez[Data],B43,TabDez[Novo Dia?],"")</f>
        <v>8.4000000000000039</v>
      </c>
      <c r="S43" s="44">
        <f>TabDez[[#This Row],[Data]]</f>
        <v>44900</v>
      </c>
      <c r="T43" s="56">
        <f>COUNTIFS(TabDez[Data],TabDez[[#This Row],[DtAux]],TabDez[Ini],"&gt;0",TabDez[Lnc?],"=N")</f>
        <v>0</v>
      </c>
      <c r="U43" s="35"/>
      <c r="V43" s="46"/>
    </row>
    <row r="44" spans="1:22" ht="33.75" x14ac:dyDescent="0.2">
      <c r="A44" s="21" t="s">
        <v>15</v>
      </c>
      <c r="B44" s="28">
        <f t="shared" si="6"/>
        <v>44900</v>
      </c>
      <c r="C44" s="25">
        <f>D42</f>
        <v>0.69444444444444453</v>
      </c>
      <c r="D44" s="25">
        <f>TabDez[[#This Row],[Ini]]+TabDez[[#This Row],[Suges]]</f>
        <v>0.74444444444444458</v>
      </c>
      <c r="E44" s="25"/>
      <c r="F44" s="25"/>
      <c r="G44" s="26">
        <f>(TabDez[[#This Row],[Fim]]-TabDez[[#This Row],[Ini]])+(TabDez[[#This Row],[Fim.]]-TabDez[[#This Row],[Ini.]])</f>
        <v>5.0000000000000044E-2</v>
      </c>
      <c r="H44" s="3">
        <f>G44*Param!$D$3</f>
        <v>1.2000000000000011</v>
      </c>
      <c r="I44" s="7"/>
      <c r="J44" s="11" t="s">
        <v>44</v>
      </c>
      <c r="K44" s="48" t="str">
        <f>VLOOKUP(J44,TabCatalogo[[#Data],[NMProjeto]:[IDAtividade2]],9,FALSE)</f>
        <v>PJ9908</v>
      </c>
      <c r="L44" s="37" t="s">
        <v>94</v>
      </c>
      <c r="M44" s="48">
        <f>VLOOKUP(TEXT(K44,"Texto")&amp;"-"&amp;TEXT(L44,"Texto"),TabCatalogo[[Atividade]:[IDAtividade2]],4,FALSE)</f>
        <v>295048</v>
      </c>
      <c r="N44" s="20" t="s">
        <v>104</v>
      </c>
      <c r="O44" s="49">
        <f>O43</f>
        <v>4.9999999999999996E-2</v>
      </c>
      <c r="P44" s="33" t="str">
        <f>IF(AND(C44&lt;&gt;"",D44&lt;&gt;""),IF(TabDez[[#This Row],[Ini]]&lt;=TabDez[[#This Row],[Fim]],IF(J43="",IF(AND(NOT(C44&gt;=C43),TabDez[[#This Row],[Ac]]=""),Param!$C$5,""),IF(AND(NOT(C44&gt;=D43),TabDez[[#This Row],[Ac]]=""),Param!$C$5,"")),Param!$C$7),"")</f>
        <v/>
      </c>
      <c r="Q44" s="34" t="str">
        <f>(IF(NOT(B44=B43),Param!$C$6,""))</f>
        <v/>
      </c>
      <c r="R44" s="7">
        <f>SUMIFS(TabDez[HrDec],TabDez[Data],B44,TabDez[Novo Dia?],"")</f>
        <v>8.4000000000000039</v>
      </c>
      <c r="S44" s="44">
        <f>TabDez[[#This Row],[Data]]</f>
        <v>44900</v>
      </c>
      <c r="T44" s="56">
        <f>COUNTIFS(TabDez[Data],TabDez[[#This Row],[DtAux]],TabDez[Ini],"&gt;0",TabDez[Lnc?],"=N")</f>
        <v>0</v>
      </c>
      <c r="U44" s="35"/>
      <c r="V44" s="46"/>
    </row>
    <row r="45" spans="1:22" ht="22.5" x14ac:dyDescent="0.2">
      <c r="A45" s="21" t="s">
        <v>15</v>
      </c>
      <c r="B45" s="28">
        <f t="shared" si="6"/>
        <v>44900</v>
      </c>
      <c r="C45" s="25"/>
      <c r="D45" s="25"/>
      <c r="E45" s="25"/>
      <c r="F45" s="25"/>
      <c r="G45" s="26">
        <f>(TabDez[[#This Row],[Fim]]-TabDez[[#This Row],[Ini]])+(TabDez[[#This Row],[Fim.]]-TabDez[[#This Row],[Ini.]])</f>
        <v>0</v>
      </c>
      <c r="H45" s="3">
        <f>G45*Param!$D$3</f>
        <v>0</v>
      </c>
      <c r="I45" s="20"/>
      <c r="J45" s="11" t="s">
        <v>76</v>
      </c>
      <c r="K45" s="48" t="str">
        <f>VLOOKUP(J45,TabCatalogo[[#Data],[NMProjeto]:[IDAtividade2]],9,FALSE)</f>
        <v>PJ10040</v>
      </c>
      <c r="L45" s="37" t="s">
        <v>94</v>
      </c>
      <c r="M45" s="48">
        <f>VLOOKUP(TEXT(K45,"Texto")&amp;"-"&amp;TEXT(L45,"Texto"),TabCatalogo[[Atividade]:[IDAtividade2]],4,FALSE)</f>
        <v>295700</v>
      </c>
      <c r="N45" s="22"/>
      <c r="O45" s="49">
        <v>4.1666666666666699E-2</v>
      </c>
      <c r="P45" s="33"/>
      <c r="Q45" s="30"/>
      <c r="R45" s="7">
        <f>SUMIFS(TabDez[HrDec],TabDez[Data],B45,TabDez[Novo Dia?],"")</f>
        <v>8.4000000000000039</v>
      </c>
      <c r="S45" s="44">
        <f>TabDez[[#This Row],[Data]]</f>
        <v>44900</v>
      </c>
      <c r="T45" s="55">
        <f>COUNTIFS(TabDez[Data],TabDez[[#This Row],[DtAux]],TabDez[Ini],"&gt;0",TabDez[Lnc?],"=N")</f>
        <v>0</v>
      </c>
      <c r="U45" s="32"/>
      <c r="V45" s="38"/>
    </row>
    <row r="46" spans="1:22" ht="34.5" thickBot="1" x14ac:dyDescent="0.25">
      <c r="A46" s="21" t="s">
        <v>15</v>
      </c>
      <c r="B46" s="28">
        <f>B45</f>
        <v>44900</v>
      </c>
      <c r="C46" s="25"/>
      <c r="D46" s="25"/>
      <c r="E46" s="25"/>
      <c r="F46" s="25"/>
      <c r="G46" s="26">
        <f>(TabDez[[#This Row],[Fim]]-TabDez[[#This Row],[Ini]])+(TabDez[[#This Row],[Fim.]]-TabDez[[#This Row],[Ini.]])</f>
        <v>0</v>
      </c>
      <c r="H46" s="20">
        <f>G46*Param!$D$3</f>
        <v>0</v>
      </c>
      <c r="I46" s="20"/>
      <c r="J46" s="11" t="s">
        <v>95</v>
      </c>
      <c r="K46" s="48" t="str">
        <f>VLOOKUP(J46,TabCatalogo[[#Data],[NMProjeto]:[IDAtividade2]],9,FALSE)</f>
        <v>PJ9205</v>
      </c>
      <c r="L46" s="37" t="s">
        <v>97</v>
      </c>
      <c r="M46" s="48">
        <f>VLOOKUP(TEXT(K46,"Texto")&amp;"-"&amp;TEXT(L46,"Texto"),TabCatalogo[[Atividade]:[IDAtividade2]],4,FALSE)</f>
        <v>288043</v>
      </c>
      <c r="N46" s="20" t="s">
        <v>99</v>
      </c>
      <c r="O46" s="49">
        <v>4.1666666666666699E-2</v>
      </c>
      <c r="P46" s="33"/>
      <c r="Q46" s="30"/>
      <c r="R46" s="7">
        <f>SUMIFS(TabDez[HrDec],TabDez[Data],B46,TabDez[Novo Dia?],"")</f>
        <v>8.4000000000000039</v>
      </c>
      <c r="S46" s="44">
        <f>TabDez[[#This Row],[Data]]</f>
        <v>44900</v>
      </c>
      <c r="T46" s="55">
        <f>COUNTIFS(TabDez[Data],TabDez[[#This Row],[DtAux]],TabDez[Ini],"&gt;0",TabDez[Lnc?],"=N")</f>
        <v>0</v>
      </c>
      <c r="U46" s="32"/>
      <c r="V46" s="38"/>
    </row>
    <row r="47" spans="1:22" ht="18.75" thickTop="1" x14ac:dyDescent="0.2">
      <c r="B47" s="12"/>
      <c r="C47" s="12"/>
      <c r="D47" s="12"/>
      <c r="E47" s="12"/>
      <c r="F47" s="12"/>
      <c r="G47" s="12"/>
      <c r="H47" s="6"/>
      <c r="I47" s="32">
        <f>SUBTOTAL(109,TabDez[Ac])</f>
        <v>0</v>
      </c>
      <c r="J47" s="11"/>
      <c r="K47" s="51"/>
      <c r="L47" s="11"/>
      <c r="M47" s="51"/>
      <c r="N47" s="11"/>
      <c r="O47" s="52"/>
      <c r="P47" s="12"/>
      <c r="Q47" s="6"/>
      <c r="R47" s="32">
        <f>SUBTOTAL(109,TabDez[Hr Dia])</f>
        <v>279.75000000000006</v>
      </c>
      <c r="S47"/>
      <c r="T47" s="57"/>
      <c r="U47"/>
      <c r="V47"/>
    </row>
    <row r="48" spans="1:22" x14ac:dyDescent="0.2">
      <c r="I48" s="35"/>
    </row>
    <row r="49" spans="7:9" s="2" customFormat="1" ht="12.75" x14ac:dyDescent="0.2">
      <c r="G49" s="26"/>
      <c r="H49" s="3"/>
      <c r="I49" s="4"/>
    </row>
    <row r="50" spans="7:9" s="2" customFormat="1" ht="12.75" x14ac:dyDescent="0.2">
      <c r="G50" s="26"/>
      <c r="H50" s="3"/>
      <c r="I50" s="4"/>
    </row>
    <row r="51" spans="7:9" s="2" customFormat="1" ht="12.75" x14ac:dyDescent="0.2">
      <c r="G51" s="26"/>
      <c r="H51" s="3"/>
      <c r="I51" s="4"/>
    </row>
    <row r="52" spans="7:9" s="2" customFormat="1" ht="12.75" x14ac:dyDescent="0.2">
      <c r="G52" s="26"/>
      <c r="H52" s="3"/>
      <c r="I52" s="4"/>
    </row>
    <row r="53" spans="7:9" s="2" customFormat="1" ht="12.75" x14ac:dyDescent="0.2">
      <c r="G53" s="26"/>
      <c r="H53" s="3"/>
      <c r="I53" s="4"/>
    </row>
    <row r="54" spans="7:9" s="2" customFormat="1" ht="12.75" x14ac:dyDescent="0.2">
      <c r="G54" s="26"/>
      <c r="H54" s="3"/>
      <c r="I54" s="4"/>
    </row>
    <row r="55" spans="7:9" s="2" customFormat="1" ht="12.75" x14ac:dyDescent="0.2">
      <c r="G55" s="26"/>
      <c r="H55" s="3"/>
      <c r="I55" s="4"/>
    </row>
    <row r="62" spans="7:9" s="2" customFormat="1" ht="12.75" x14ac:dyDescent="0.2">
      <c r="G62" s="58"/>
      <c r="H62" s="3"/>
    </row>
    <row r="63" spans="7:9" s="2" customFormat="1" ht="12.75" x14ac:dyDescent="0.2">
      <c r="G63" s="58"/>
      <c r="H63" s="3"/>
    </row>
    <row r="65" spans="1:23" ht="12.75" x14ac:dyDescent="0.2">
      <c r="A65" s="2"/>
      <c r="B65" s="2"/>
      <c r="C65" s="2"/>
      <c r="D65" s="2"/>
      <c r="E65" s="2"/>
      <c r="F65" s="2"/>
      <c r="G65" s="58"/>
    </row>
    <row r="78" spans="1:23" ht="12.75" x14ac:dyDescent="0.2">
      <c r="A78" s="2"/>
      <c r="B78" s="2"/>
      <c r="C78" s="2"/>
      <c r="D78" s="2"/>
      <c r="E78" s="2"/>
      <c r="F78" s="2"/>
      <c r="W78" s="6"/>
    </row>
    <row r="79" spans="1:23" ht="12.75" x14ac:dyDescent="0.2">
      <c r="A79" s="2"/>
      <c r="B79" s="2"/>
      <c r="C79" s="2"/>
      <c r="D79" s="2"/>
      <c r="E79" s="2"/>
      <c r="F79" s="2"/>
      <c r="W79" s="6"/>
    </row>
    <row r="80" spans="1:23" ht="12.75" x14ac:dyDescent="0.2">
      <c r="A80" s="2"/>
      <c r="B80" s="2"/>
      <c r="C80" s="2"/>
      <c r="D80" s="2"/>
      <c r="E80" s="2"/>
      <c r="F80" s="2"/>
      <c r="W80" s="6"/>
    </row>
    <row r="81" spans="1:23" ht="12.75" x14ac:dyDescent="0.2">
      <c r="A81" s="2"/>
      <c r="B81" s="2"/>
      <c r="C81" s="2"/>
      <c r="D81" s="2"/>
      <c r="E81" s="2"/>
      <c r="F81" s="2"/>
      <c r="G81" s="2"/>
      <c r="H81" s="2"/>
      <c r="K81" s="2"/>
      <c r="M81" s="2"/>
      <c r="N81" s="2"/>
      <c r="O81" s="2"/>
      <c r="P81" s="2"/>
      <c r="Q81" s="2"/>
      <c r="R81" s="2"/>
      <c r="S81" s="2"/>
      <c r="T81" s="2"/>
      <c r="W81" s="6"/>
    </row>
    <row r="82" spans="1:23" ht="12.75" x14ac:dyDescent="0.2">
      <c r="A82" s="2"/>
      <c r="B82" s="2"/>
      <c r="C82" s="2"/>
      <c r="D82" s="2"/>
      <c r="E82" s="2"/>
      <c r="F82" s="2"/>
      <c r="G82" s="2"/>
      <c r="H82" s="2"/>
      <c r="K82" s="2"/>
      <c r="M82" s="2"/>
      <c r="N82" s="2"/>
      <c r="O82" s="2"/>
      <c r="P82" s="2"/>
      <c r="Q82" s="2"/>
      <c r="R82" s="2"/>
      <c r="S82" s="2"/>
      <c r="T82" s="2"/>
      <c r="W82" s="6"/>
    </row>
    <row r="83" spans="1:23" ht="12.75" x14ac:dyDescent="0.2">
      <c r="A83" s="2"/>
      <c r="B83" s="2"/>
      <c r="C83" s="2"/>
      <c r="D83" s="2"/>
      <c r="E83" s="2"/>
      <c r="F83" s="2"/>
      <c r="G83" s="2"/>
      <c r="H83" s="2"/>
      <c r="K83" s="2"/>
      <c r="M83" s="2"/>
      <c r="N83" s="2"/>
      <c r="O83" s="2"/>
      <c r="P83" s="2"/>
      <c r="Q83" s="2"/>
      <c r="R83" s="2"/>
      <c r="S83" s="2"/>
      <c r="T83" s="2"/>
      <c r="W83" s="6"/>
    </row>
    <row r="145" spans="1:24" ht="12.75" x14ac:dyDescent="0.2">
      <c r="A145" s="2"/>
      <c r="B145" s="2"/>
      <c r="C145" s="2"/>
      <c r="D145" s="2"/>
      <c r="E145" s="2"/>
      <c r="F145" s="2"/>
      <c r="G145" s="2"/>
      <c r="H145" s="2"/>
      <c r="K145" s="2"/>
      <c r="M145" s="2"/>
      <c r="N145" s="2"/>
      <c r="O145" s="2"/>
      <c r="P145" s="2"/>
      <c r="Q145" s="2"/>
      <c r="R145" s="2"/>
      <c r="S145" s="2"/>
      <c r="T145" s="2"/>
      <c r="X145" s="2" t="e">
        <f>AND(#REF!&lt;&gt;"",#REF!&lt;&gt;"")</f>
        <v>#REF!</v>
      </c>
    </row>
    <row r="172" spans="1:25" ht="12.75" x14ac:dyDescent="0.2">
      <c r="A172" s="2"/>
      <c r="B172" s="2"/>
      <c r="C172" s="2"/>
      <c r="D172" s="2"/>
      <c r="E172" s="2"/>
      <c r="F172" s="2"/>
      <c r="G172" s="2"/>
      <c r="H172" s="2"/>
      <c r="K172" s="2"/>
      <c r="M172" s="2"/>
      <c r="N172" s="2"/>
      <c r="O172" s="2"/>
      <c r="P172" s="2"/>
      <c r="Q172" s="2"/>
      <c r="R172" s="2"/>
      <c r="S172" s="2"/>
      <c r="T172" s="2"/>
      <c r="W172" s="2">
        <v>4.9000000000000004</v>
      </c>
      <c r="X172" s="2">
        <v>9</v>
      </c>
      <c r="Y172" s="2">
        <f>W172/X172</f>
        <v>0.54444444444444451</v>
      </c>
    </row>
    <row r="221" spans="2:25" s="21" customFormat="1" ht="33" customHeight="1" x14ac:dyDescent="0.2">
      <c r="B221" s="29"/>
      <c r="C221" s="26"/>
      <c r="D221" s="26"/>
      <c r="E221" s="26"/>
      <c r="F221" s="26"/>
      <c r="G221" s="26"/>
      <c r="H221" s="3"/>
      <c r="I221" s="2"/>
      <c r="J221" s="2"/>
      <c r="K221" s="23"/>
      <c r="L221" s="2"/>
      <c r="M221" s="23"/>
      <c r="N221" s="3"/>
      <c r="O221"/>
      <c r="P221" s="3"/>
      <c r="Q221" s="3"/>
      <c r="R221" s="3"/>
      <c r="S221" s="3"/>
      <c r="T221" s="56"/>
      <c r="U221" s="2"/>
      <c r="V221" s="2"/>
      <c r="W221" s="2"/>
      <c r="X221" s="2"/>
      <c r="Y221" s="2"/>
    </row>
    <row r="228" spans="1:24" ht="12.75" x14ac:dyDescent="0.2">
      <c r="A228" s="2"/>
      <c r="B228" s="2"/>
      <c r="C228" s="2"/>
      <c r="D228" s="2"/>
      <c r="E228" s="2"/>
      <c r="F228" s="2"/>
      <c r="G228" s="2"/>
      <c r="H228" s="2"/>
      <c r="K228" s="2"/>
      <c r="M228" s="2"/>
      <c r="N228" s="2"/>
      <c r="O228" s="2"/>
      <c r="P228" s="2"/>
      <c r="Q228" s="2"/>
      <c r="R228" s="2"/>
      <c r="S228" s="2"/>
      <c r="T228" s="2"/>
      <c r="X228" s="2">
        <v>8.3699999999999992</v>
      </c>
    </row>
    <row r="229" spans="1:24" ht="12.75" x14ac:dyDescent="0.2">
      <c r="A229" s="2"/>
      <c r="B229" s="2"/>
      <c r="C229" s="2"/>
      <c r="D229" s="2"/>
      <c r="E229" s="2"/>
      <c r="F229" s="2"/>
      <c r="G229" s="2"/>
      <c r="H229" s="2"/>
      <c r="K229" s="2"/>
      <c r="M229" s="2"/>
      <c r="N229" s="2"/>
      <c r="O229" s="2"/>
      <c r="P229" s="2"/>
      <c r="Q229" s="2"/>
      <c r="R229" s="2"/>
      <c r="S229" s="2"/>
      <c r="T229" s="2"/>
      <c r="X229" s="2">
        <v>0.5</v>
      </c>
    </row>
    <row r="230" spans="1:24" ht="12.75" x14ac:dyDescent="0.2">
      <c r="A230" s="2"/>
      <c r="B230" s="2"/>
      <c r="C230" s="2"/>
      <c r="D230" s="2"/>
      <c r="E230" s="2"/>
      <c r="F230" s="2"/>
      <c r="G230" s="2"/>
      <c r="H230" s="2"/>
      <c r="K230" s="2"/>
      <c r="M230" s="2"/>
      <c r="N230" s="2"/>
      <c r="O230" s="2"/>
      <c r="P230" s="2"/>
      <c r="Q230" s="2"/>
      <c r="R230" s="2"/>
      <c r="S230" s="2"/>
      <c r="T230" s="2"/>
      <c r="X230" s="2">
        <f>X228-X229</f>
        <v>7.8699999999999992</v>
      </c>
    </row>
    <row r="231" spans="1:24" ht="12.75" x14ac:dyDescent="0.2">
      <c r="A231" s="2"/>
      <c r="B231" s="2"/>
      <c r="C231" s="2"/>
      <c r="D231" s="2"/>
      <c r="E231" s="2"/>
      <c r="F231" s="2"/>
      <c r="G231" s="2"/>
      <c r="H231" s="2"/>
      <c r="K231" s="2"/>
      <c r="M231" s="2"/>
      <c r="N231" s="2"/>
      <c r="O231" s="2"/>
      <c r="P231" s="2"/>
      <c r="Q231" s="2"/>
      <c r="R231" s="2"/>
      <c r="S231" s="2"/>
      <c r="T231" s="2"/>
      <c r="X231" s="2">
        <v>8</v>
      </c>
    </row>
    <row r="232" spans="1:24" ht="12.75" x14ac:dyDescent="0.2">
      <c r="A232" s="2"/>
      <c r="B232" s="2"/>
      <c r="C232" s="2"/>
      <c r="D232" s="2"/>
      <c r="E232" s="2"/>
      <c r="F232" s="2"/>
      <c r="G232" s="2"/>
      <c r="H232" s="2"/>
      <c r="K232" s="2"/>
      <c r="M232" s="2"/>
      <c r="N232" s="2"/>
      <c r="O232" s="2"/>
      <c r="P232" s="2"/>
      <c r="Q232" s="2"/>
      <c r="R232" s="2"/>
      <c r="S232" s="2"/>
      <c r="T232" s="2"/>
      <c r="X232" s="2">
        <f>X230/X231</f>
        <v>0.9837499999999999</v>
      </c>
    </row>
    <row r="233" spans="1:24" ht="12.75" x14ac:dyDescent="0.2">
      <c r="A233" s="2"/>
      <c r="B233" s="2"/>
      <c r="C233" s="2"/>
      <c r="D233" s="2"/>
      <c r="E233" s="2"/>
      <c r="F233" s="2"/>
      <c r="G233" s="2"/>
      <c r="H233" s="2"/>
      <c r="K233" s="2"/>
      <c r="M233" s="2"/>
      <c r="N233" s="2"/>
      <c r="O233" s="2"/>
      <c r="P233" s="2"/>
      <c r="Q233" s="2"/>
      <c r="R233" s="2"/>
      <c r="S233" s="2"/>
      <c r="T233" s="2"/>
      <c r="X233" s="5">
        <f>X232/Param!$D$3</f>
        <v>4.0989583333333329E-2</v>
      </c>
    </row>
  </sheetData>
  <conditionalFormatting sqref="A1:A1048576">
    <cfRule type="cellIs" dxfId="83" priority="31" operator="equal">
      <formula>"N"</formula>
    </cfRule>
    <cfRule type="cellIs" dxfId="82" priority="32" operator="equal">
      <formula>"S"</formula>
    </cfRule>
  </conditionalFormatting>
  <dataValidations count="3">
    <dataValidation type="list" allowBlank="1" showInputMessage="1" showErrorMessage="1" sqref="L18 L3 L6:L16 L21:L31 L33 L36:L46" xr:uid="{5B2003C7-C736-4E48-AD8D-4B205280C6CE}">
      <formula1>INDIRECT(K3&amp;"__")</formula1>
    </dataValidation>
    <dataValidation type="list" allowBlank="1" showInputMessage="1" showErrorMessage="1" sqref="L4:L5 L19:L20 L34:L35" xr:uid="{CB087CF0-98BB-432C-94D8-A3F99200509F}">
      <formula1>INDIRECT(K4&amp;"_")</formula1>
    </dataValidation>
    <dataValidation type="list" allowBlank="1" showInputMessage="1" showErrorMessage="1" sqref="J3:J16 J18:J31 J33:J46" xr:uid="{50226BA5-FBA9-45EC-BBB1-24C8A501D01B}">
      <formula1>_xlfn.ANCHORARRAY(ListaProj)</formula1>
    </dataValidation>
  </dataValidations>
  <pageMargins left="0.78740157499999996" right="0.78740157499999996" top="0.984251969" bottom="0.984251969" header="0.49212598499999999" footer="0.49212598499999999"/>
  <pageSetup paperSize="9" orientation="portrait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3" operator="equal" id="{0C3D2473-097F-4E12-81C9-AE07BADAD870}">
            <xm:f>Param!$C$5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5" operator="equal" id="{44A48D87-D61A-4226-9546-17F9A4A0384D}">
            <xm:f>Param!$C$7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P1 P3:P16 P18:P31 P33:P1048576</xm:sqref>
        </x14:conditionalFormatting>
        <x14:conditionalFormatting xmlns:xm="http://schemas.microsoft.com/office/excel/2006/main">
          <x14:cfRule type="cellIs" priority="34" operator="equal" id="{79F237C3-2A5E-46E4-BA5C-B5637FBBAD01}">
            <xm:f>Param!$C$6</xm:f>
            <x14:dxf>
              <font>
                <b/>
                <i val="0"/>
                <color theme="0"/>
              </font>
              <fill>
                <patternFill>
                  <bgColor rgb="FFFFC000"/>
                </patternFill>
              </fill>
            </x14:dxf>
          </x14:cfRule>
          <xm:sqref>Q1 Q3:Q16 Q18:Q31 Q33:Q1048576</xm:sqref>
        </x14:conditionalFormatting>
        <x14:conditionalFormatting xmlns:xm="http://schemas.microsoft.com/office/excel/2006/main">
          <x14:cfRule type="beginsWith" priority="36" operator="beginsWith" id="{A1951EEF-2E12-4C2B-8723-D16F159DF153}">
            <xm:f>LEFT(I1,LEN(Param!$C$8))=Param!$C$8</xm:f>
            <xm:f>Param!$C$8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I1:I1048576</xm:sqref>
        </x14:conditionalFormatting>
        <x14:conditionalFormatting xmlns:xm="http://schemas.microsoft.com/office/excel/2006/main">
          <x14:cfRule type="cellIs" priority="28" operator="equal" id="{CDA5DCEF-C8A1-4851-A2C3-643DC9D2C440}">
            <xm:f>Param!$C$5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" operator="equal" id="{625C796C-E261-4C2E-97AA-B06ADF6784AD}">
            <xm:f>Param!$C$7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P2</xm:sqref>
        </x14:conditionalFormatting>
        <x14:conditionalFormatting xmlns:xm="http://schemas.microsoft.com/office/excel/2006/main">
          <x14:cfRule type="cellIs" priority="29" operator="equal" id="{3F27BCBE-9752-4F0C-8AC5-EA8D3FE5AC6F}">
            <xm:f>Param!$C$6</xm:f>
            <x14:dxf>
              <font>
                <b/>
                <i val="0"/>
                <color theme="0"/>
              </font>
              <fill>
                <patternFill>
                  <bgColor rgb="FFFFC000"/>
                </patternFill>
              </fill>
            </x14:dxf>
          </x14:cfRule>
          <xm:sqref>Q2</xm:sqref>
        </x14:conditionalFormatting>
        <x14:conditionalFormatting xmlns:xm="http://schemas.microsoft.com/office/excel/2006/main">
          <x14:cfRule type="cellIs" priority="25" operator="equal" id="{AE649C54-A8FE-47AA-9F8C-992C21763F45}">
            <xm:f>Param!$C$5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" operator="equal" id="{5B8F0AE6-6154-4D1B-B890-001BA2296990}">
            <xm:f>Param!$C$7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P17</xm:sqref>
        </x14:conditionalFormatting>
        <x14:conditionalFormatting xmlns:xm="http://schemas.microsoft.com/office/excel/2006/main">
          <x14:cfRule type="cellIs" priority="26" operator="equal" id="{2757653C-B595-4F8B-8A08-246BCAC37ED6}">
            <xm:f>Param!$C$6</xm:f>
            <x14:dxf>
              <font>
                <b/>
                <i val="0"/>
                <color theme="0"/>
              </font>
              <fill>
                <patternFill>
                  <bgColor rgb="FFFFC000"/>
                </patternFill>
              </fill>
            </x14:dxf>
          </x14:cfRule>
          <xm:sqref>Q17</xm:sqref>
        </x14:conditionalFormatting>
        <x14:conditionalFormatting xmlns:xm="http://schemas.microsoft.com/office/excel/2006/main">
          <x14:cfRule type="cellIs" priority="22" operator="equal" id="{C061395A-8172-4BD5-8698-9F6B4B551FB0}">
            <xm:f>Param!$C$5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" operator="equal" id="{969263FB-289E-4D53-A43A-7E16466F64A3}">
            <xm:f>Param!$C$7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P32</xm:sqref>
        </x14:conditionalFormatting>
        <x14:conditionalFormatting xmlns:xm="http://schemas.microsoft.com/office/excel/2006/main">
          <x14:cfRule type="cellIs" priority="23" operator="equal" id="{4A9D04DB-2BE2-49BD-BD05-F0DABC6470B6}">
            <xm:f>Param!$C$6</xm:f>
            <x14:dxf>
              <font>
                <b/>
                <i val="0"/>
                <color theme="0"/>
              </font>
              <fill>
                <patternFill>
                  <bgColor rgb="FFFFC000"/>
                </patternFill>
              </fill>
            </x14:dxf>
          </x14:cfRule>
          <xm:sqref>Q32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359F-D581-46FA-B607-9F9528B9C8B1}">
  <sheetPr codeName="Planilha11"/>
  <dimension ref="B2:Z78"/>
  <sheetViews>
    <sheetView zoomScale="80" zoomScaleNormal="80" workbookViewId="0">
      <selection activeCell="I13" sqref="I13"/>
    </sheetView>
  </sheetViews>
  <sheetFormatPr defaultColWidth="9.140625" defaultRowHeight="12.75" x14ac:dyDescent="0.2"/>
  <cols>
    <col min="1" max="1" width="9.140625" style="10"/>
    <col min="2" max="2" width="13.140625" style="10" customWidth="1"/>
    <col min="3" max="3" width="48.28515625" style="10" customWidth="1"/>
    <col min="4" max="4" width="10.7109375" style="10" customWidth="1"/>
    <col min="5" max="5" width="34.140625" style="10" customWidth="1"/>
    <col min="6" max="6" width="7.7109375" style="10" customWidth="1"/>
    <col min="7" max="7" width="6.5703125" style="10" bestFit="1" customWidth="1"/>
    <col min="8" max="8" width="51.85546875" style="10" customWidth="1"/>
    <col min="9" max="9" width="29.85546875" style="10" customWidth="1"/>
    <col min="10" max="10" width="29.140625" style="15" customWidth="1"/>
    <col min="11" max="11" width="13" style="10" bestFit="1" customWidth="1"/>
    <col min="12" max="12" width="18.85546875" style="10" customWidth="1"/>
    <col min="13" max="13" width="18.42578125" style="10" customWidth="1"/>
    <col min="14" max="14" width="29.42578125" style="10" customWidth="1"/>
    <col min="15" max="15" width="11.7109375" style="10" customWidth="1"/>
    <col min="16" max="16" width="12.5703125" style="10" bestFit="1" customWidth="1"/>
    <col min="17" max="17" width="12.5703125" style="10" customWidth="1"/>
    <col min="18" max="18" width="14.28515625" style="15" bestFit="1" customWidth="1"/>
    <col min="19" max="19" width="59.140625" style="10" customWidth="1"/>
    <col min="20" max="20" width="9.140625" style="10"/>
    <col min="22" max="22" width="35.140625" style="10" customWidth="1"/>
    <col min="23" max="16384" width="9.140625" style="10"/>
  </cols>
  <sheetData>
    <row r="2" spans="2:18" x14ac:dyDescent="0.2">
      <c r="C2" s="43" t="s">
        <v>23</v>
      </c>
      <c r="D2" s="43" t="s">
        <v>4</v>
      </c>
      <c r="F2" s="6"/>
    </row>
    <row r="3" spans="2:18" x14ac:dyDescent="0.2">
      <c r="C3" s="43" t="s">
        <v>21</v>
      </c>
      <c r="D3" s="43">
        <v>24</v>
      </c>
    </row>
    <row r="4" spans="2:18" s="6" customFormat="1" x14ac:dyDescent="0.2">
      <c r="B4" s="14"/>
      <c r="C4" s="43" t="s">
        <v>22</v>
      </c>
      <c r="D4" s="43">
        <v>8.5</v>
      </c>
      <c r="H4" s="8"/>
      <c r="J4" s="16"/>
      <c r="R4" s="16"/>
    </row>
    <row r="5" spans="2:18" s="6" customFormat="1" x14ac:dyDescent="0.2">
      <c r="B5" s="14"/>
      <c r="C5" s="43" t="s">
        <v>30</v>
      </c>
      <c r="D5" s="43"/>
      <c r="J5" s="16"/>
      <c r="R5" s="16"/>
    </row>
    <row r="6" spans="2:18" s="6" customFormat="1" x14ac:dyDescent="0.2">
      <c r="B6" s="14"/>
      <c r="C6" s="43" t="s">
        <v>31</v>
      </c>
      <c r="D6" s="43"/>
      <c r="J6" s="16"/>
      <c r="R6" s="16"/>
    </row>
    <row r="7" spans="2:18" s="6" customFormat="1" x14ac:dyDescent="0.2">
      <c r="B7" s="14"/>
      <c r="C7" s="54" t="s">
        <v>74</v>
      </c>
      <c r="D7" s="54"/>
      <c r="J7" s="16"/>
      <c r="R7" s="16"/>
    </row>
    <row r="8" spans="2:18" s="6" customFormat="1" x14ac:dyDescent="0.2">
      <c r="B8" s="14"/>
      <c r="C8" s="43" t="s">
        <v>32</v>
      </c>
      <c r="D8" s="43"/>
      <c r="J8" s="16"/>
      <c r="R8" s="16"/>
    </row>
    <row r="9" spans="2:18" s="6" customFormat="1" x14ac:dyDescent="0.2">
      <c r="B9" s="14"/>
      <c r="C9" s="14"/>
      <c r="J9" s="16"/>
      <c r="R9" s="16"/>
    </row>
    <row r="10" spans="2:18" s="6" customFormat="1" x14ac:dyDescent="0.2">
      <c r="B10" s="14"/>
      <c r="C10" s="14"/>
      <c r="J10" s="16"/>
      <c r="R10" s="16"/>
    </row>
    <row r="11" spans="2:18" ht="25.5" x14ac:dyDescent="0.2">
      <c r="B11" s="17" t="s">
        <v>10</v>
      </c>
      <c r="C11" s="14" t="s">
        <v>59</v>
      </c>
      <c r="D11" s="14" t="s">
        <v>13</v>
      </c>
      <c r="E11" s="18" t="s">
        <v>60</v>
      </c>
      <c r="F11" s="17" t="s">
        <v>36</v>
      </c>
      <c r="G11" s="17" t="s">
        <v>33</v>
      </c>
      <c r="H11" s="17" t="s">
        <v>9</v>
      </c>
      <c r="I11" s="17" t="s">
        <v>7</v>
      </c>
      <c r="J11" s="13" t="s">
        <v>2</v>
      </c>
      <c r="K11" s="17" t="s">
        <v>62</v>
      </c>
      <c r="L11" s="17" t="s">
        <v>63</v>
      </c>
      <c r="M11" s="42" t="s">
        <v>64</v>
      </c>
      <c r="R11" s="10"/>
    </row>
    <row r="12" spans="2:18" ht="25.5" x14ac:dyDescent="0.2">
      <c r="B12" s="12" t="s">
        <v>6</v>
      </c>
      <c r="C12" s="6" t="s">
        <v>12</v>
      </c>
      <c r="D12" s="6">
        <v>279650</v>
      </c>
      <c r="E12" s="16" t="s">
        <v>71</v>
      </c>
      <c r="F12" s="38">
        <v>0</v>
      </c>
      <c r="G12" s="39">
        <f>TabCatalogo[[#This Row],[Hr Dia]]*Param!$D$3</f>
        <v>0</v>
      </c>
      <c r="H12" s="6"/>
      <c r="I12" s="16"/>
      <c r="J12" s="6" t="str">
        <f>TabCatalogo[[#This Row],[IDProjeto]]&amp;"-"&amp;TabCatalogo[[#This Row],[NMAtividade]]</f>
        <v>PJ9516-3.3 - Reunião de alinhamento Fábrica</v>
      </c>
      <c r="K12" s="12" t="str">
        <f>TabCatalogo[[#This Row],[IDProjeto]]</f>
        <v>PJ9516</v>
      </c>
      <c r="L12" s="12" t="str">
        <f>TabCatalogo[[#This Row],[IDProjeto]]&amp;"_"</f>
        <v>PJ9516_</v>
      </c>
      <c r="M12" s="16">
        <f>TabCatalogo[[#This Row],[IDAtividade]]</f>
        <v>279650</v>
      </c>
      <c r="R12" s="10"/>
    </row>
    <row r="13" spans="2:18" ht="25.5" x14ac:dyDescent="0.2">
      <c r="B13" s="12" t="s">
        <v>6</v>
      </c>
      <c r="C13" s="6" t="s">
        <v>12</v>
      </c>
      <c r="D13" s="6">
        <v>291454</v>
      </c>
      <c r="E13" s="16" t="s">
        <v>72</v>
      </c>
      <c r="F13" s="38"/>
      <c r="G13" s="47" t="e">
        <f>TabCatalogo[[#This Row],[Hr Dia]]*Param!#REF!</f>
        <v>#REF!</v>
      </c>
      <c r="H13" s="6"/>
      <c r="I13" s="16"/>
      <c r="J13" s="6" t="str">
        <f>TabCatalogo[[#This Row],[IDProjeto]]&amp;"-"&amp;TabCatalogo[[#This Row],[NMAtividade]]</f>
        <v>PJ9516-3.4 - Apoio a outras áreas</v>
      </c>
      <c r="K13" s="12" t="str">
        <f>TabCatalogo[[#This Row],[IDProjeto]]</f>
        <v>PJ9516</v>
      </c>
      <c r="L13" s="12" t="str">
        <f>TabCatalogo[[#This Row],[IDProjeto]]&amp;"_"</f>
        <v>PJ9516_</v>
      </c>
      <c r="M13" s="16">
        <f>TabCatalogo[[#This Row],[IDAtividade]]</f>
        <v>291454</v>
      </c>
      <c r="R13" s="10"/>
    </row>
    <row r="14" spans="2:18" ht="25.5" x14ac:dyDescent="0.2">
      <c r="B14" s="12" t="s">
        <v>6</v>
      </c>
      <c r="C14" s="6" t="s">
        <v>12</v>
      </c>
      <c r="D14" s="6">
        <v>292965</v>
      </c>
      <c r="E14" s="16" t="s">
        <v>81</v>
      </c>
      <c r="F14" s="38"/>
      <c r="G14" s="47" t="e">
        <f>TabCatalogo[[#This Row],[Hr Dia]]*Param!#REF!</f>
        <v>#REF!</v>
      </c>
      <c r="H14" s="6"/>
      <c r="I14" s="16"/>
      <c r="J14" s="6" t="str">
        <f>TabCatalogo[[#This Row],[IDProjeto]]&amp;"-"&amp;TabCatalogo[[#This Row],[NMAtividade]]</f>
        <v>PJ9516-3  -  Ociosidade - Ataque Cibernético</v>
      </c>
      <c r="K14" s="12" t="str">
        <f>TabCatalogo[[#This Row],[IDProjeto]]</f>
        <v>PJ9516</v>
      </c>
      <c r="L14" s="12" t="str">
        <f>TabCatalogo[[#This Row],[IDProjeto]]&amp;"_"</f>
        <v>PJ9516_</v>
      </c>
      <c r="M14" s="16">
        <f>TabCatalogo[[#This Row],[IDAtividade]]</f>
        <v>292965</v>
      </c>
      <c r="R14" s="10"/>
    </row>
    <row r="15" spans="2:18" ht="25.5" x14ac:dyDescent="0.2">
      <c r="B15" s="12" t="s">
        <v>11</v>
      </c>
      <c r="C15" s="6" t="s">
        <v>8</v>
      </c>
      <c r="D15" s="6">
        <v>274413</v>
      </c>
      <c r="E15" s="16" t="s">
        <v>14</v>
      </c>
      <c r="F15" s="38">
        <v>0</v>
      </c>
      <c r="G15" s="39">
        <f>TabCatalogo[[#This Row],[Hr Dia]]*Param!$D$3</f>
        <v>0</v>
      </c>
      <c r="H15" s="6"/>
      <c r="I15" s="16"/>
      <c r="J15" s="6" t="str">
        <f>TabCatalogo[[#This Row],[IDProjeto]]&amp;"-"&amp;TabCatalogo[[#This Row],[NMAtividade]]</f>
        <v>PJ9426-1.3.2.1  -  Elaborar propostas comerciais</v>
      </c>
      <c r="K15" s="12" t="str">
        <f>TabCatalogo[[#This Row],[IDProjeto]]</f>
        <v>PJ9426</v>
      </c>
      <c r="L15" s="12" t="str">
        <f>TabCatalogo[[#This Row],[IDProjeto]]&amp;"_"</f>
        <v>PJ9426_</v>
      </c>
      <c r="M15" s="16">
        <f>TabCatalogo[[#This Row],[IDAtividade]]</f>
        <v>274413</v>
      </c>
      <c r="R15" s="10"/>
    </row>
    <row r="16" spans="2:18" x14ac:dyDescent="0.2">
      <c r="B16" s="12"/>
      <c r="C16" s="6"/>
      <c r="D16" s="6"/>
      <c r="E16" s="16"/>
      <c r="F16" s="38"/>
      <c r="G16" s="6"/>
      <c r="H16" s="6"/>
      <c r="I16" s="16"/>
      <c r="J16" s="6" t="str">
        <f>TabCatalogo[[#This Row],[IDProjeto]]&amp;"-"&amp;TabCatalogo[[#This Row],[NMAtividade]]</f>
        <v>-</v>
      </c>
      <c r="K16" s="12">
        <f>TabCatalogo[[#This Row],[IDProjeto]]</f>
        <v>0</v>
      </c>
      <c r="L16" s="12" t="str">
        <f>TabCatalogo[[#This Row],[IDProjeto]]&amp;"_"</f>
        <v>_</v>
      </c>
      <c r="M16" s="16">
        <f>TabCatalogo[[#This Row],[IDAtividade]]</f>
        <v>0</v>
      </c>
      <c r="R16" s="10"/>
    </row>
    <row r="17" spans="2:18" x14ac:dyDescent="0.2">
      <c r="B17" s="12"/>
      <c r="C17" s="6"/>
      <c r="D17" s="6"/>
      <c r="E17" s="16"/>
      <c r="F17" s="38"/>
      <c r="G17" s="6"/>
      <c r="H17" s="6"/>
      <c r="I17" s="16"/>
      <c r="J17" s="6" t="str">
        <f>TabCatalogo[[#This Row],[IDProjeto]]&amp;"-"&amp;TabCatalogo[[#This Row],[NMAtividade]]</f>
        <v>-</v>
      </c>
      <c r="K17" s="12">
        <f>TabCatalogo[[#This Row],[IDProjeto]]</f>
        <v>0</v>
      </c>
      <c r="L17" s="12" t="str">
        <f>TabCatalogo[[#This Row],[IDProjeto]]&amp;"_"</f>
        <v>_</v>
      </c>
      <c r="M17" s="16">
        <f>TabCatalogo[[#This Row],[IDAtividade]]</f>
        <v>0</v>
      </c>
      <c r="R17" s="10"/>
    </row>
    <row r="18" spans="2:18" x14ac:dyDescent="0.2">
      <c r="B18" s="12"/>
      <c r="C18" s="6"/>
      <c r="D18" s="6"/>
      <c r="E18" s="16"/>
      <c r="F18" s="38"/>
      <c r="G18" s="6"/>
      <c r="H18" s="6"/>
      <c r="I18" s="16"/>
      <c r="J18" s="6" t="str">
        <f>TabCatalogo[[#This Row],[IDProjeto]]&amp;"-"&amp;TabCatalogo[[#This Row],[NMAtividade]]</f>
        <v>-</v>
      </c>
      <c r="K18" s="12">
        <f>TabCatalogo[[#This Row],[IDProjeto]]</f>
        <v>0</v>
      </c>
      <c r="L18" s="12" t="str">
        <f>TabCatalogo[[#This Row],[IDProjeto]]&amp;"_"</f>
        <v>_</v>
      </c>
      <c r="M18" s="16">
        <f>TabCatalogo[[#This Row],[IDAtividade]]</f>
        <v>0</v>
      </c>
      <c r="R18" s="10"/>
    </row>
    <row r="19" spans="2:18" ht="25.5" x14ac:dyDescent="0.2">
      <c r="B19" s="12" t="s">
        <v>45</v>
      </c>
      <c r="C19" s="6" t="s">
        <v>37</v>
      </c>
      <c r="D19" s="6">
        <v>296556</v>
      </c>
      <c r="E19" s="16" t="s">
        <v>107</v>
      </c>
      <c r="F19" s="38">
        <v>2.0833333333333332E-2</v>
      </c>
      <c r="G19" s="39">
        <f>TabCatalogo[[#This Row],[Hr Dia]]*Param!$D$3</f>
        <v>0.5</v>
      </c>
      <c r="H19" s="6" t="s">
        <v>77</v>
      </c>
      <c r="I19" s="16"/>
      <c r="J19" s="6" t="str">
        <f>TabCatalogo[[#This Row],[IDProjeto]]&amp;"-"&amp;TabCatalogo[[#This Row],[NMAtividade]]</f>
        <v>PJ9278-Sprint 16 - Gestão</v>
      </c>
      <c r="K19" s="12" t="str">
        <f>TabCatalogo[[#This Row],[IDProjeto]]</f>
        <v>PJ9278</v>
      </c>
      <c r="L19" s="12" t="str">
        <f>TabCatalogo[[#This Row],[IDProjeto]]&amp;"_"</f>
        <v>PJ9278_</v>
      </c>
      <c r="M19" s="16">
        <f>TabCatalogo[[#This Row],[IDAtividade]]</f>
        <v>296556</v>
      </c>
      <c r="R19" s="10"/>
    </row>
    <row r="20" spans="2:18" ht="25.5" x14ac:dyDescent="0.2">
      <c r="B20" s="12" t="s">
        <v>46</v>
      </c>
      <c r="C20" s="6" t="s">
        <v>38</v>
      </c>
      <c r="D20" s="6">
        <v>287637</v>
      </c>
      <c r="E20" s="16" t="s">
        <v>88</v>
      </c>
      <c r="F20" s="38">
        <v>2.0833333333333332E-2</v>
      </c>
      <c r="G20" s="39">
        <f>TabCatalogo[[#This Row],[Hr Dia]]*Param!$D$3</f>
        <v>0.5</v>
      </c>
      <c r="H20" s="6" t="s">
        <v>83</v>
      </c>
      <c r="I20" s="16"/>
      <c r="J20" s="6" t="str">
        <f>TabCatalogo[[#This Row],[IDProjeto]]&amp;"-"&amp;TabCatalogo[[#This Row],[NMAtividade]]</f>
        <v>PJ9228-Gestão Sprint 6</v>
      </c>
      <c r="K20" s="12" t="str">
        <f>TabCatalogo[[#This Row],[IDProjeto]]</f>
        <v>PJ9228</v>
      </c>
      <c r="L20" s="12" t="str">
        <f>TabCatalogo[[#This Row],[IDProjeto]]&amp;"_"</f>
        <v>PJ9228_</v>
      </c>
      <c r="M20" s="16">
        <f>TabCatalogo[[#This Row],[IDAtividade]]</f>
        <v>287637</v>
      </c>
      <c r="R20" s="10"/>
    </row>
    <row r="21" spans="2:18" ht="25.5" x14ac:dyDescent="0.2">
      <c r="B21" s="12" t="s">
        <v>70</v>
      </c>
      <c r="C21" s="6" t="s">
        <v>69</v>
      </c>
      <c r="D21" s="6">
        <v>297156</v>
      </c>
      <c r="E21" s="16" t="s">
        <v>105</v>
      </c>
      <c r="F21" s="38">
        <v>2.0833333333333332E-2</v>
      </c>
      <c r="G21" s="39">
        <f>TabCatalogo[[#This Row],[Hr Dia]]*Param!$D$3</f>
        <v>0.5</v>
      </c>
      <c r="H21" s="6" t="s">
        <v>85</v>
      </c>
      <c r="I21" s="16"/>
      <c r="J21" s="6" t="str">
        <f>TabCatalogo[[#This Row],[IDProjeto]]&amp;"-"&amp;TabCatalogo[[#This Row],[NMAtividade]]</f>
        <v>PJ9646-Sprint 5 - Gestão</v>
      </c>
      <c r="K21" s="12" t="str">
        <f>TabCatalogo[[#This Row],[IDProjeto]]</f>
        <v>PJ9646</v>
      </c>
      <c r="L21" s="12" t="str">
        <f>TabCatalogo[[#This Row],[IDProjeto]]&amp;"_"</f>
        <v>PJ9646_</v>
      </c>
      <c r="M21" s="16">
        <f>TabCatalogo[[#This Row],[IDAtividade]]</f>
        <v>297156</v>
      </c>
      <c r="R21" s="10"/>
    </row>
    <row r="22" spans="2:18" ht="25.5" x14ac:dyDescent="0.2">
      <c r="B22" s="12" t="s">
        <v>47</v>
      </c>
      <c r="C22" s="6" t="s">
        <v>39</v>
      </c>
      <c r="D22" s="6">
        <v>295478</v>
      </c>
      <c r="E22" s="16" t="s">
        <v>87</v>
      </c>
      <c r="F22" s="38">
        <v>2.0833333333333332E-2</v>
      </c>
      <c r="G22" s="39">
        <f>TabCatalogo[[#This Row],[Hr Dia]]*Param!$D$3</f>
        <v>0.5</v>
      </c>
      <c r="H22" s="6" t="s">
        <v>53</v>
      </c>
      <c r="I22" s="16"/>
      <c r="J22" s="6" t="str">
        <f>TabCatalogo[[#This Row],[IDProjeto]]&amp;"-"&amp;TabCatalogo[[#This Row],[NMAtividade]]</f>
        <v>PJ9350-Sprint 6 - Gestão</v>
      </c>
      <c r="K22" s="12" t="str">
        <f>TabCatalogo[[#This Row],[IDProjeto]]</f>
        <v>PJ9350</v>
      </c>
      <c r="L22" s="12" t="str">
        <f>TabCatalogo[[#This Row],[IDProjeto]]&amp;"_"</f>
        <v>PJ9350_</v>
      </c>
      <c r="M22" s="16">
        <f>TabCatalogo[[#This Row],[IDAtividade]]</f>
        <v>295478</v>
      </c>
      <c r="R22" s="10"/>
    </row>
    <row r="23" spans="2:18" ht="25.5" x14ac:dyDescent="0.2">
      <c r="B23" s="12" t="s">
        <v>48</v>
      </c>
      <c r="C23" s="6" t="s">
        <v>40</v>
      </c>
      <c r="D23" s="6">
        <v>291726</v>
      </c>
      <c r="E23" s="16" t="s">
        <v>84</v>
      </c>
      <c r="F23" s="38">
        <v>2.0833333333333332E-2</v>
      </c>
      <c r="G23" s="39">
        <f>TabCatalogo[[#This Row],[Hr Dia]]*Param!$D$3</f>
        <v>0.5</v>
      </c>
      <c r="H23" s="6" t="s">
        <v>54</v>
      </c>
      <c r="I23" s="16"/>
      <c r="J23" s="6" t="str">
        <f>TabCatalogo[[#This Row],[IDProjeto]]&amp;"-"&amp;TabCatalogo[[#This Row],[NMAtividade]]</f>
        <v>PJ9802-Sprint 3 - Gestão</v>
      </c>
      <c r="K23" s="12" t="str">
        <f>TabCatalogo[[#This Row],[IDProjeto]]</f>
        <v>PJ9802</v>
      </c>
      <c r="L23" s="12" t="str">
        <f>TabCatalogo[[#This Row],[IDProjeto]]&amp;"_"</f>
        <v>PJ9802_</v>
      </c>
      <c r="M23" s="16">
        <f>TabCatalogo[[#This Row],[IDAtividade]]</f>
        <v>291726</v>
      </c>
      <c r="R23" s="10"/>
    </row>
    <row r="24" spans="2:18" ht="25.5" x14ac:dyDescent="0.2">
      <c r="B24" s="12" t="s">
        <v>49</v>
      </c>
      <c r="C24" s="6" t="s">
        <v>41</v>
      </c>
      <c r="D24" s="6">
        <v>297157</v>
      </c>
      <c r="E24" s="16" t="s">
        <v>84</v>
      </c>
      <c r="F24" s="38">
        <v>2.0833333333333332E-2</v>
      </c>
      <c r="G24" s="39">
        <f>TabCatalogo[[#This Row],[Hr Dia]]*Param!$D$3</f>
        <v>0.5</v>
      </c>
      <c r="H24" s="6" t="s">
        <v>55</v>
      </c>
      <c r="I24" s="16"/>
      <c r="J24" s="6" t="str">
        <f>TabCatalogo[[#This Row],[IDProjeto]]&amp;"-"&amp;TabCatalogo[[#This Row],[NMAtividade]]</f>
        <v>PJ9803-Sprint 3 - Gestão</v>
      </c>
      <c r="K24" s="12" t="str">
        <f>TabCatalogo[[#This Row],[IDProjeto]]</f>
        <v>PJ9803</v>
      </c>
      <c r="L24" s="12" t="str">
        <f>TabCatalogo[[#This Row],[IDProjeto]]&amp;"_"</f>
        <v>PJ9803_</v>
      </c>
      <c r="M24" s="16">
        <f>TabCatalogo[[#This Row],[IDAtividade]]</f>
        <v>297157</v>
      </c>
      <c r="R24" s="10"/>
    </row>
    <row r="25" spans="2:18" ht="25.5" x14ac:dyDescent="0.2">
      <c r="B25" s="12" t="s">
        <v>50</v>
      </c>
      <c r="C25" s="6" t="s">
        <v>42</v>
      </c>
      <c r="D25" s="6">
        <v>284393</v>
      </c>
      <c r="E25" s="16" t="s">
        <v>89</v>
      </c>
      <c r="F25" s="38">
        <v>2.0833333333333332E-2</v>
      </c>
      <c r="G25" s="39">
        <f>TabCatalogo[[#This Row],[Hr Dia]]*Param!$D$3</f>
        <v>0.5</v>
      </c>
      <c r="H25" s="6" t="s">
        <v>56</v>
      </c>
      <c r="I25" s="16"/>
      <c r="J25" s="6" t="str">
        <f>TabCatalogo[[#This Row],[IDProjeto]]&amp;"-"&amp;TabCatalogo[[#This Row],[NMAtividade]]</f>
        <v>PJ9167-Sprint 9 - Gestão</v>
      </c>
      <c r="K25" s="12" t="str">
        <f>TabCatalogo[[#This Row],[IDProjeto]]</f>
        <v>PJ9167</v>
      </c>
      <c r="L25" s="12" t="str">
        <f>TabCatalogo[[#This Row],[IDProjeto]]&amp;"_"</f>
        <v>PJ9167_</v>
      </c>
      <c r="M25" s="16">
        <f>TabCatalogo[[#This Row],[IDAtividade]]</f>
        <v>284393</v>
      </c>
      <c r="R25" s="10"/>
    </row>
    <row r="26" spans="2:18" ht="25.5" x14ac:dyDescent="0.2">
      <c r="B26" s="12" t="s">
        <v>50</v>
      </c>
      <c r="C26" s="6" t="s">
        <v>42</v>
      </c>
      <c r="D26" s="6">
        <v>285546</v>
      </c>
      <c r="E26" s="16" t="s">
        <v>90</v>
      </c>
      <c r="F26" s="38">
        <v>2.0833333333333332E-2</v>
      </c>
      <c r="G26" s="39">
        <f>TabCatalogo[[#This Row],[Hr Dia]]*Param!$D$3</f>
        <v>0.5</v>
      </c>
      <c r="H26" s="6" t="s">
        <v>56</v>
      </c>
      <c r="I26" s="16"/>
      <c r="J26" s="6" t="str">
        <f>TabCatalogo[[#This Row],[IDProjeto]]&amp;"-"&amp;TabCatalogo[[#This Row],[NMAtividade]]</f>
        <v>PJ9167-Sprint 10 - Gestão</v>
      </c>
      <c r="K26" s="12" t="str">
        <f>TabCatalogo[[#This Row],[IDProjeto]]</f>
        <v>PJ9167</v>
      </c>
      <c r="L26" s="12" t="str">
        <f>TabCatalogo[[#This Row],[IDProjeto]]&amp;"_"</f>
        <v>PJ9167_</v>
      </c>
      <c r="M26" s="16">
        <f>TabCatalogo[[#This Row],[IDAtividade]]</f>
        <v>285546</v>
      </c>
      <c r="R26" s="10"/>
    </row>
    <row r="27" spans="2:18" ht="25.5" x14ac:dyDescent="0.2">
      <c r="B27" s="12" t="s">
        <v>50</v>
      </c>
      <c r="C27" s="6" t="s">
        <v>42</v>
      </c>
      <c r="D27" s="6">
        <v>291502</v>
      </c>
      <c r="E27" s="16" t="s">
        <v>91</v>
      </c>
      <c r="F27" s="38">
        <v>2.0833333333333332E-2</v>
      </c>
      <c r="G27" s="39">
        <f>TabCatalogo[[#This Row],[Hr Dia]]*Param!$D$3</f>
        <v>0.5</v>
      </c>
      <c r="H27" s="6" t="s">
        <v>73</v>
      </c>
      <c r="I27" s="16"/>
      <c r="J27" s="6" t="str">
        <f>TabCatalogo[[#This Row],[IDProjeto]]&amp;"-"&amp;TabCatalogo[[#This Row],[NMAtividade]]</f>
        <v>PJ9167-Sprint 12 - Gestão</v>
      </c>
      <c r="K27" s="12" t="str">
        <f>TabCatalogo[[#This Row],[IDProjeto]]</f>
        <v>PJ9167</v>
      </c>
      <c r="L27" s="12" t="str">
        <f>TabCatalogo[[#This Row],[IDProjeto]]&amp;"_"</f>
        <v>PJ9167_</v>
      </c>
      <c r="M27" s="16">
        <f>TabCatalogo[[#This Row],[IDAtividade]]</f>
        <v>291502</v>
      </c>
      <c r="R27" s="10"/>
    </row>
    <row r="28" spans="2:18" ht="25.5" x14ac:dyDescent="0.2">
      <c r="B28" s="12" t="s">
        <v>51</v>
      </c>
      <c r="C28" s="6" t="s">
        <v>43</v>
      </c>
      <c r="D28" s="6">
        <v>284913</v>
      </c>
      <c r="E28" s="16" t="s">
        <v>86</v>
      </c>
      <c r="F28" s="38">
        <v>1.0416666666666666E-2</v>
      </c>
      <c r="G28" s="39">
        <f>TabCatalogo[[#This Row],[Hr Dia]]*Param!$D$3</f>
        <v>0.25</v>
      </c>
      <c r="H28" s="6" t="s">
        <v>57</v>
      </c>
      <c r="I28" s="16"/>
      <c r="J28" s="6" t="str">
        <f>TabCatalogo[[#This Row],[IDProjeto]]&amp;"-"&amp;TabCatalogo[[#This Row],[NMAtividade]]</f>
        <v>PJ9500-Sprint 2 - Gestão</v>
      </c>
      <c r="K28" s="12" t="str">
        <f>TabCatalogo[[#This Row],[IDProjeto]]</f>
        <v>PJ9500</v>
      </c>
      <c r="L28" s="12" t="str">
        <f>TabCatalogo[[#This Row],[IDProjeto]]&amp;"_"</f>
        <v>PJ9500_</v>
      </c>
      <c r="M28" s="16">
        <f>TabCatalogo[[#This Row],[IDAtividade]]</f>
        <v>284913</v>
      </c>
      <c r="R28" s="10"/>
    </row>
    <row r="29" spans="2:18" ht="25.5" x14ac:dyDescent="0.2">
      <c r="B29" s="12" t="s">
        <v>52</v>
      </c>
      <c r="C29" s="6" t="s">
        <v>44</v>
      </c>
      <c r="D29" s="6">
        <v>295048</v>
      </c>
      <c r="E29" s="16" t="s">
        <v>94</v>
      </c>
      <c r="F29" s="38">
        <v>2.0833333333333332E-2</v>
      </c>
      <c r="G29" s="39">
        <f>TabCatalogo[[#This Row],[Hr Dia]]*Param!$D$3</f>
        <v>0.5</v>
      </c>
      <c r="H29" s="6"/>
      <c r="I29" s="16"/>
      <c r="J29" s="6" t="str">
        <f>TabCatalogo[[#This Row],[IDProjeto]]&amp;"-"&amp;TabCatalogo[[#This Row],[NMAtividade]]</f>
        <v>PJ9908-Sprint 1 - Gestão do Projeto</v>
      </c>
      <c r="K29" s="12" t="str">
        <f>TabCatalogo[[#This Row],[IDProjeto]]</f>
        <v>PJ9908</v>
      </c>
      <c r="L29" s="12" t="str">
        <f>TabCatalogo[[#This Row],[IDProjeto]]&amp;"_"</f>
        <v>PJ9908_</v>
      </c>
      <c r="M29" s="16">
        <f>TabCatalogo[[#This Row],[IDAtividade]]</f>
        <v>295048</v>
      </c>
      <c r="R29" s="10"/>
    </row>
    <row r="30" spans="2:18" ht="25.5" x14ac:dyDescent="0.2">
      <c r="B30" s="12" t="s">
        <v>75</v>
      </c>
      <c r="C30" s="6" t="s">
        <v>76</v>
      </c>
      <c r="D30" s="6">
        <v>295700</v>
      </c>
      <c r="E30" s="16" t="s">
        <v>94</v>
      </c>
      <c r="F30" s="38">
        <v>2.0833333333333332E-2</v>
      </c>
      <c r="G30" s="39">
        <f>TabCatalogo[[#This Row],[Hr Dia]]*Param!$D$3</f>
        <v>0.5</v>
      </c>
      <c r="H30" s="6"/>
      <c r="I30" s="16"/>
      <c r="J30" s="6" t="str">
        <f>TabCatalogo[[#This Row],[IDProjeto]]&amp;"-"&amp;TabCatalogo[[#This Row],[NMAtividade]]</f>
        <v>PJ10040-Sprint 1 - Gestão do Projeto</v>
      </c>
      <c r="K30" s="12" t="str">
        <f>TabCatalogo[[#This Row],[IDProjeto]]</f>
        <v>PJ10040</v>
      </c>
      <c r="L30" s="12" t="str">
        <f>TabCatalogo[[#This Row],[IDProjeto]]&amp;"_"</f>
        <v>PJ10040_</v>
      </c>
      <c r="M30" s="16">
        <f>TabCatalogo[[#This Row],[IDAtividade]]</f>
        <v>295700</v>
      </c>
      <c r="R30" s="10"/>
    </row>
    <row r="31" spans="2:18" ht="25.5" x14ac:dyDescent="0.2">
      <c r="B31" s="12" t="s">
        <v>93</v>
      </c>
      <c r="C31" s="6" t="s">
        <v>92</v>
      </c>
      <c r="D31" s="6">
        <v>295683</v>
      </c>
      <c r="E31" s="16" t="s">
        <v>94</v>
      </c>
      <c r="F31" s="38">
        <v>2.0833333333333332E-2</v>
      </c>
      <c r="G31" s="39">
        <f>TabCatalogo[[#This Row],[Hr Dia]]*Param!$D$3</f>
        <v>0.5</v>
      </c>
      <c r="H31" s="6"/>
      <c r="I31" s="16"/>
      <c r="J31" s="6" t="str">
        <f>TabCatalogo[[#This Row],[IDProjeto]]&amp;"-"&amp;TabCatalogo[[#This Row],[NMAtividade]]</f>
        <v>PJ10166-Sprint 1 - Gestão do Projeto</v>
      </c>
      <c r="K31" s="12" t="str">
        <f>TabCatalogo[[#This Row],[IDProjeto]]</f>
        <v>PJ10166</v>
      </c>
      <c r="L31" s="12" t="str">
        <f>TabCatalogo[[#This Row],[IDProjeto]]&amp;"_"</f>
        <v>PJ10166_</v>
      </c>
      <c r="M31" s="16">
        <f>TabCatalogo[[#This Row],[IDAtividade]]</f>
        <v>295683</v>
      </c>
      <c r="R31" s="10"/>
    </row>
    <row r="32" spans="2:18" ht="25.5" x14ac:dyDescent="0.2">
      <c r="B32" s="12" t="s">
        <v>96</v>
      </c>
      <c r="C32" s="6" t="s">
        <v>95</v>
      </c>
      <c r="D32" s="6">
        <v>288043</v>
      </c>
      <c r="E32" s="16" t="s">
        <v>97</v>
      </c>
      <c r="F32" s="38">
        <v>2.0833333333333332E-2</v>
      </c>
      <c r="G32" s="39">
        <f>TabCatalogo[[#This Row],[Hr Dia]]*Param!$D$3</f>
        <v>0.5</v>
      </c>
      <c r="H32" s="6" t="s">
        <v>98</v>
      </c>
      <c r="I32" s="16"/>
      <c r="J32" s="6" t="str">
        <f>TabCatalogo[[#This Row],[IDProjeto]]&amp;"-"&amp;TabCatalogo[[#This Row],[NMAtividade]]</f>
        <v>PJ9205-Sprint 15 - Gestão</v>
      </c>
      <c r="K32" s="12" t="str">
        <f>TabCatalogo[[#This Row],[IDProjeto]]</f>
        <v>PJ9205</v>
      </c>
      <c r="L32" s="12" t="str">
        <f>TabCatalogo[[#This Row],[IDProjeto]]&amp;"_"</f>
        <v>PJ9205_</v>
      </c>
      <c r="M32" s="16">
        <f>TabCatalogo[[#This Row],[IDAtividade]]</f>
        <v>288043</v>
      </c>
      <c r="R32" s="10"/>
    </row>
    <row r="33" spans="2:26" x14ac:dyDescent="0.2">
      <c r="B33" s="12"/>
      <c r="C33" s="6"/>
      <c r="D33" s="6"/>
      <c r="E33" s="16"/>
      <c r="F33" s="38"/>
      <c r="G33" s="47" t="e">
        <f>TabCatalogo[[#This Row],[Hr Dia]]*Param!#REF!</f>
        <v>#REF!</v>
      </c>
      <c r="H33" s="6"/>
      <c r="I33" s="16"/>
      <c r="J33" s="6"/>
      <c r="K33" s="12">
        <f>TabCatalogo[[#This Row],[IDProjeto]]</f>
        <v>0</v>
      </c>
      <c r="L33" s="12" t="str">
        <f>TabCatalogo[[#This Row],[IDProjeto]]&amp;"_"</f>
        <v>_</v>
      </c>
      <c r="M33" s="16">
        <f>TabCatalogo[[#This Row],[IDAtividade]]</f>
        <v>0</v>
      </c>
      <c r="R33" s="10"/>
    </row>
    <row r="34" spans="2:26" x14ac:dyDescent="0.2">
      <c r="B34" s="12"/>
      <c r="C34" s="6"/>
      <c r="D34" s="6"/>
      <c r="E34" s="16"/>
      <c r="F34" s="38"/>
      <c r="G34" s="47" t="e">
        <f>TabCatalogo[[#This Row],[Hr Dia]]*Param!#REF!</f>
        <v>#REF!</v>
      </c>
      <c r="H34" s="6"/>
      <c r="I34" s="16"/>
      <c r="J34" s="6"/>
      <c r="K34" s="12">
        <f>TabCatalogo[[#This Row],[IDProjeto]]</f>
        <v>0</v>
      </c>
      <c r="L34" s="12" t="str">
        <f>TabCatalogo[[#This Row],[IDProjeto]]&amp;"_"</f>
        <v>_</v>
      </c>
      <c r="M34" s="16">
        <f>TabCatalogo[[#This Row],[IDAtividade]]</f>
        <v>0</v>
      </c>
      <c r="R34" s="10"/>
    </row>
    <row r="35" spans="2:26" x14ac:dyDescent="0.2">
      <c r="B35" s="12"/>
      <c r="C35" s="6"/>
      <c r="D35" s="6"/>
      <c r="E35" s="16"/>
      <c r="F35" s="38"/>
      <c r="G35" s="47" t="e">
        <f>TabCatalogo[[#This Row],[Hr Dia]]*Param!#REF!</f>
        <v>#REF!</v>
      </c>
      <c r="H35" s="6"/>
      <c r="I35" s="16"/>
      <c r="J35" s="6"/>
      <c r="K35" s="12">
        <f>TabCatalogo[[#This Row],[IDProjeto]]</f>
        <v>0</v>
      </c>
      <c r="L35" s="12" t="str">
        <f>TabCatalogo[[#This Row],[IDProjeto]]&amp;"_"</f>
        <v>_</v>
      </c>
      <c r="M35" s="16">
        <f>TabCatalogo[[#This Row],[IDAtividade]]</f>
        <v>0</v>
      </c>
      <c r="R35" s="10"/>
    </row>
    <row r="36" spans="2:26" x14ac:dyDescent="0.2">
      <c r="B36" s="12">
        <f>SUBTOTAL(103,TabCatalogo[IDProjeto])</f>
        <v>18</v>
      </c>
      <c r="C36" s="12"/>
      <c r="D36" s="12"/>
      <c r="E36" s="12"/>
      <c r="F36" s="12"/>
      <c r="G36" s="12"/>
      <c r="H36" s="12"/>
      <c r="I36" s="12"/>
      <c r="J36" s="6" t="s">
        <v>5</v>
      </c>
      <c r="K36" s="12"/>
      <c r="L36" s="12"/>
      <c r="M36" s="16"/>
      <c r="R36" s="10"/>
    </row>
    <row r="37" spans="2:26" x14ac:dyDescent="0.2">
      <c r="U37" s="10"/>
      <c r="Z37"/>
    </row>
    <row r="38" spans="2:26" x14ac:dyDescent="0.2">
      <c r="S38" s="12"/>
      <c r="U38" s="10"/>
      <c r="W38" s="19"/>
      <c r="Z38"/>
    </row>
    <row r="39" spans="2:26" x14ac:dyDescent="0.2">
      <c r="S39" s="12"/>
      <c r="U39" s="10"/>
      <c r="W39" s="19"/>
      <c r="Z39"/>
    </row>
    <row r="40" spans="2:26" x14ac:dyDescent="0.2">
      <c r="S40" s="12"/>
      <c r="U40" s="10"/>
      <c r="W40" s="19"/>
      <c r="Z40"/>
    </row>
    <row r="41" spans="2:26" ht="15.75" x14ac:dyDescent="0.2">
      <c r="C41" s="40" t="s">
        <v>61</v>
      </c>
      <c r="S41" s="12"/>
      <c r="U41" s="10"/>
      <c r="W41" s="19"/>
      <c r="Z41"/>
    </row>
    <row r="42" spans="2:26" x14ac:dyDescent="0.2">
      <c r="C42" s="41" cm="1">
        <f t="array" ref="C42:C54">_xlfn.UNIQUE(C16:C32)</f>
        <v>0</v>
      </c>
      <c r="S42" s="12"/>
      <c r="U42" s="10"/>
      <c r="W42" s="19"/>
      <c r="Z42"/>
    </row>
    <row r="43" spans="2:26" ht="25.5" x14ac:dyDescent="0.2">
      <c r="C43" s="41" t="str">
        <v>PJ9278 - COPEL HLD - SGE - Sistema de Gestão Empresarial - JAVA</v>
      </c>
      <c r="H43" s="10" cm="1">
        <f t="array" ref="H43:H55">_xlfn.UNIQUE(C16:C32)</f>
        <v>0</v>
      </c>
      <c r="S43" s="12"/>
      <c r="U43" s="10"/>
      <c r="W43" s="19"/>
      <c r="Z43"/>
    </row>
    <row r="44" spans="2:26" ht="25.5" x14ac:dyDescent="0.2">
      <c r="C44" s="41" t="str">
        <v>PJ9228 - COPEL HLD - GAMOS - Gestão de Aquisição de Materiais, Obras e Serviços - JAVA</v>
      </c>
      <c r="H44" s="10" t="str">
        <v>PJ9278 - COPEL HLD - SGE - Sistema de Gestão Empresarial - JAVA</v>
      </c>
      <c r="S44" s="12"/>
      <c r="U44" s="10"/>
      <c r="W44" s="19"/>
      <c r="Z44"/>
    </row>
    <row r="45" spans="2:26" ht="25.5" x14ac:dyDescent="0.2">
      <c r="C45" s="41" t="str">
        <v>PJ9646 - COPEL DIS - PAVe - Posto de Atendimento Virtual para Clientes - JAVA</v>
      </c>
      <c r="H45" s="10" t="str">
        <v>PJ9228 - COPEL HLD - GAMOS - Gestão de Aquisição de Materiais, Obras e Serviços - JAVA</v>
      </c>
      <c r="S45" s="12"/>
      <c r="U45" s="10"/>
      <c r="W45" s="19"/>
      <c r="Z45"/>
    </row>
    <row r="46" spans="2:26" ht="25.5" x14ac:dyDescent="0.2">
      <c r="C46" s="41" t="str">
        <v>PJ9350 - COPEL DIS - PDR - Solução de Redes de Distribuição Digitais - JAVA</v>
      </c>
      <c r="H46" s="10" t="str">
        <v>PJ9646 - COPEL DIS - PAVe - Posto de Atendimento Virtual para Clientes - JAVA</v>
      </c>
      <c r="S46" s="12"/>
      <c r="U46" s="10"/>
      <c r="W46" s="19"/>
      <c r="Z46"/>
    </row>
    <row r="47" spans="2:26" ht="25.5" x14ac:dyDescent="0.2">
      <c r="C47" s="41" t="str">
        <v>PJ9802 - COPEL DIS - NTC - Normas Técnicas Copel - JAVA</v>
      </c>
      <c r="H47" s="10" t="str">
        <v>PJ9350 - COPEL DIS - PDR - Solução de Redes de Distribuição Digitais - JAVA</v>
      </c>
      <c r="S47" s="12"/>
      <c r="U47" s="10"/>
      <c r="W47" s="19"/>
      <c r="Z47"/>
    </row>
    <row r="48" spans="2:26" ht="25.5" x14ac:dyDescent="0.2">
      <c r="C48" s="41" t="str">
        <v>PJ9803 - COPEL DIS - NTC - Normas Técnicas Copel - FLUTTER</v>
      </c>
      <c r="H48" s="10" t="str">
        <v>PJ9802 - COPEL DIS - NTC - Normas Técnicas Copel - JAVA</v>
      </c>
      <c r="S48" s="12"/>
      <c r="U48" s="10"/>
      <c r="W48" s="19"/>
      <c r="Z48"/>
    </row>
    <row r="49" spans="3:26" ht="25.5" x14ac:dyDescent="0.2">
      <c r="C49" s="41" t="str">
        <v>PJ9167 - COPEL HLD - App Copel - FLUTTER</v>
      </c>
      <c r="H49" s="10" t="str">
        <v>PJ9803 - COPEL DIS - NTC - Normas Técnicas Copel - FLUTTER</v>
      </c>
      <c r="S49" s="12"/>
      <c r="U49" s="10"/>
      <c r="W49" s="19"/>
      <c r="Z49"/>
    </row>
    <row r="50" spans="3:26" ht="25.5" x14ac:dyDescent="0.2">
      <c r="C50" s="41" t="str">
        <v>PJ9500 - COPEL GET - ETM - Aplicativo de Gestão de Eventos - FLUTTER</v>
      </c>
      <c r="H50" s="10" t="str">
        <v>PJ9167 - COPEL HLD - App Copel - FLUTTER</v>
      </c>
      <c r="S50" s="12"/>
      <c r="U50" s="10"/>
      <c r="W50" s="19"/>
      <c r="Z50"/>
    </row>
    <row r="51" spans="3:26" ht="25.5" x14ac:dyDescent="0.2">
      <c r="C51" s="41" t="str">
        <v>PJ9908 - COPEL GET - IMTS - Inspeção de Manutenção Tipo O em Substração - FLUTTER</v>
      </c>
      <c r="H51" s="10" t="str">
        <v>PJ9500 - COPEL GET - ETM - Aplicativo de Gestão de Eventos - FLUTTER</v>
      </c>
      <c r="S51" s="12"/>
      <c r="U51" s="10"/>
      <c r="W51" s="19"/>
      <c r="Z51"/>
    </row>
    <row r="52" spans="3:26" ht="25.5" x14ac:dyDescent="0.2">
      <c r="C52" s="41" t="str">
        <v>PJ10040 - COPEL DIS - BIP - Sistema BIP - JAVA</v>
      </c>
      <c r="H52" s="10" t="str">
        <v>PJ9908 - COPEL GET - IMTS - Inspeção de Manutenção Tipo O em Substração - FLUTTER</v>
      </c>
      <c r="S52" s="12"/>
      <c r="U52" s="10"/>
      <c r="W52" s="19"/>
      <c r="Z52"/>
    </row>
    <row r="53" spans="3:26" ht="25.5" x14ac:dyDescent="0.2">
      <c r="C53" s="41" t="str">
        <v>PJ10166 - COPEL DIS - GGR - Gestão De Grupos De Trabalho - JAVA</v>
      </c>
      <c r="H53" s="10" t="str">
        <v>PJ10040 - COPEL DIS - BIP - Sistema BIP - JAVA</v>
      </c>
      <c r="S53" s="12"/>
      <c r="U53" s="10"/>
      <c r="W53" s="19"/>
      <c r="Z53"/>
    </row>
    <row r="54" spans="3:26" ht="25.5" x14ac:dyDescent="0.2">
      <c r="C54" s="41" t="str">
        <v>PJ9205 - COPEL HLD - CPS - Controle de Participação Societária - JAVA</v>
      </c>
      <c r="H54" t="str">
        <v>PJ10166 - COPEL DIS - GGR - Gestão De Grupos De Trabalho - JAVA</v>
      </c>
      <c r="S54" s="12"/>
      <c r="U54" s="10"/>
      <c r="W54" s="19"/>
      <c r="Z54"/>
    </row>
    <row r="55" spans="3:26" x14ac:dyDescent="0.2">
      <c r="C55" s="41"/>
      <c r="H55" t="str">
        <v>PJ9205 - COPEL HLD - CPS - Controle de Participação Societária - JAVA</v>
      </c>
      <c r="U55" s="10"/>
      <c r="W55"/>
    </row>
    <row r="56" spans="3:26" x14ac:dyDescent="0.2">
      <c r="C56" s="41"/>
      <c r="H56"/>
    </row>
    <row r="57" spans="3:26" x14ac:dyDescent="0.2">
      <c r="C57" s="41"/>
      <c r="H57"/>
    </row>
    <row r="59" spans="3:26" x14ac:dyDescent="0.2">
      <c r="H59"/>
    </row>
    <row r="60" spans="3:26" x14ac:dyDescent="0.2">
      <c r="H60"/>
    </row>
    <row r="61" spans="3:26" x14ac:dyDescent="0.2">
      <c r="H61"/>
    </row>
    <row r="62" spans="3:26" x14ac:dyDescent="0.2">
      <c r="H62"/>
    </row>
    <row r="63" spans="3:26" x14ac:dyDescent="0.2">
      <c r="H63"/>
    </row>
    <row r="64" spans="3:26" x14ac:dyDescent="0.2">
      <c r="H64"/>
    </row>
    <row r="65" spans="8:8" x14ac:dyDescent="0.2">
      <c r="H65"/>
    </row>
    <row r="66" spans="8:8" x14ac:dyDescent="0.2">
      <c r="H66"/>
    </row>
    <row r="67" spans="8:8" x14ac:dyDescent="0.2">
      <c r="H67"/>
    </row>
    <row r="68" spans="8:8" x14ac:dyDescent="0.2">
      <c r="H68"/>
    </row>
    <row r="69" spans="8:8" x14ac:dyDescent="0.2">
      <c r="H69"/>
    </row>
    <row r="70" spans="8:8" x14ac:dyDescent="0.2">
      <c r="H70"/>
    </row>
    <row r="71" spans="8:8" x14ac:dyDescent="0.2">
      <c r="H71"/>
    </row>
    <row r="72" spans="8:8" x14ac:dyDescent="0.2">
      <c r="H72"/>
    </row>
    <row r="73" spans="8:8" x14ac:dyDescent="0.2">
      <c r="H73"/>
    </row>
    <row r="74" spans="8:8" x14ac:dyDescent="0.2">
      <c r="H74"/>
    </row>
    <row r="75" spans="8:8" x14ac:dyDescent="0.2">
      <c r="H75"/>
    </row>
    <row r="76" spans="8:8" x14ac:dyDescent="0.2">
      <c r="H76"/>
    </row>
    <row r="77" spans="8:8" x14ac:dyDescent="0.2">
      <c r="H77"/>
    </row>
    <row r="78" spans="8:8" x14ac:dyDescent="0.2">
      <c r="H78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30</vt:i4>
      </vt:variant>
    </vt:vector>
  </HeadingPairs>
  <TitlesOfParts>
    <vt:vector size="32" baseType="lpstr">
      <vt:lpstr>dez22</vt:lpstr>
      <vt:lpstr>Param</vt:lpstr>
      <vt:lpstr>ListaProj</vt:lpstr>
      <vt:lpstr>PJ10040_</vt:lpstr>
      <vt:lpstr>PJ10040__</vt:lpstr>
      <vt:lpstr>PJ10166_</vt:lpstr>
      <vt:lpstr>PJ10166__</vt:lpstr>
      <vt:lpstr>PJ9167_</vt:lpstr>
      <vt:lpstr>PJ9167__</vt:lpstr>
      <vt:lpstr>PJ9205_</vt:lpstr>
      <vt:lpstr>PJ9205__</vt:lpstr>
      <vt:lpstr>PJ9228_</vt:lpstr>
      <vt:lpstr>PJ9228__</vt:lpstr>
      <vt:lpstr>PJ9278_</vt:lpstr>
      <vt:lpstr>PJ9278__</vt:lpstr>
      <vt:lpstr>PJ9350_</vt:lpstr>
      <vt:lpstr>PJ9350__</vt:lpstr>
      <vt:lpstr>PJ9426_</vt:lpstr>
      <vt:lpstr>PJ9426__</vt:lpstr>
      <vt:lpstr>PJ9500_</vt:lpstr>
      <vt:lpstr>PJ9500__</vt:lpstr>
      <vt:lpstr>PJ9516_</vt:lpstr>
      <vt:lpstr>PJ9516__</vt:lpstr>
      <vt:lpstr>'dez22'!PJ9646_</vt:lpstr>
      <vt:lpstr>PJ9646_</vt:lpstr>
      <vt:lpstr>PJ9646__</vt:lpstr>
      <vt:lpstr>PJ9802_</vt:lpstr>
      <vt:lpstr>PJ9802__</vt:lpstr>
      <vt:lpstr>PJ9803_</vt:lpstr>
      <vt:lpstr>PJ9803__</vt:lpstr>
      <vt:lpstr>PJ9908_</vt:lpstr>
      <vt:lpstr>PJ9908__</vt:lpstr>
    </vt:vector>
  </TitlesOfParts>
  <Company>Quick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Alexandre</cp:lastModifiedBy>
  <cp:lastPrinted>2017-02-15T19:35:25Z</cp:lastPrinted>
  <dcterms:created xsi:type="dcterms:W3CDTF">2007-07-12T17:29:03Z</dcterms:created>
  <dcterms:modified xsi:type="dcterms:W3CDTF">2022-12-15T03:37:28Z</dcterms:modified>
</cp:coreProperties>
</file>