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licers/slicer1.xml" ContentType="application/vnd.ms-excel.slicer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\Documents\Simple Dashboards &amp; Presentations\"/>
    </mc:Choice>
  </mc:AlternateContent>
  <xr:revisionPtr revIDLastSave="0" documentId="13_ncr:1_{F218BDC7-ADB2-466E-900A-DAB93BB0A36B}" xr6:coauthVersionLast="45" xr6:coauthVersionMax="45" xr10:uidLastSave="{00000000-0000-0000-0000-000000000000}"/>
  <bookViews>
    <workbookView xWindow="-120" yWindow="-120" windowWidth="20730" windowHeight="11310" tabRatio="848" xr2:uid="{00000000-000D-0000-FFFF-FFFF00000000}"/>
  </bookViews>
  <sheets>
    <sheet name="Exercício" sheetId="11" r:id="rId1"/>
    <sheet name="Tab Adm Vendas" sheetId="7" r:id="rId2"/>
    <sheet name="Impostos s Vendas" sheetId="9" r:id="rId3"/>
    <sheet name="Tab Custo" sheetId="3" r:id="rId4"/>
    <sheet name="Tab Vendas" sheetId="1" r:id="rId5"/>
    <sheet name="Resumo de Vendas e Custos" sheetId="14" r:id="rId6"/>
    <sheet name="Gráficos" sheetId="21" state="hidden" r:id="rId7"/>
    <sheet name="DRE" sheetId="15" r:id="rId8"/>
    <sheet name="Dashboard" sheetId="19" r:id="rId9"/>
  </sheets>
  <definedNames>
    <definedName name="_xlnm._FilterDatabase" localSheetId="3" hidden="1">'Tab Custo'!$A$1:$D$4</definedName>
    <definedName name="_xlnm._FilterDatabase" localSheetId="4" hidden="1">'Tab Vendas'!$A$1:$F$31</definedName>
    <definedName name="Abril">'Resumo de Vendas e Custos'!$O$7</definedName>
    <definedName name="Agosto">'Resumo de Vendas e Custos'!$O$8</definedName>
    <definedName name="Dezembro">'Resumo de Vendas e Custos'!$O$12</definedName>
    <definedName name="Fevereiro">'Resumo de Vendas e Custos'!$O$5</definedName>
    <definedName name="Janeiro">'Resumo de Vendas e Custos'!$O$4</definedName>
    <definedName name="Março">'Resumo de Vendas e Custos'!$O$6</definedName>
    <definedName name="Novembro">'Resumo de Vendas e Custos'!$O$11</definedName>
    <definedName name="Outubro">'Resumo de Vendas e Custos'!$O$10</definedName>
    <definedName name="SegmentaçãodeDados_Cliente">#N/A</definedName>
    <definedName name="SegmentaçãodeDados_Meses">#N/A</definedName>
    <definedName name="SegmentaçãodeDados_Produto">#N/A</definedName>
    <definedName name="Setembro">'Resumo de Vendas e Custos'!$O$9</definedName>
  </definedNames>
  <calcPr calcId="191029"/>
  <pivotCaches>
    <pivotCache cacheId="0" r:id="rId10"/>
    <pivotCache cacheId="1" r:id="rId11"/>
  </pivotCaches>
  <extLst>
    <ext xmlns:x14="http://schemas.microsoft.com/office/spreadsheetml/2009/9/main" uri="{BBE1A952-AA13-448e-AADC-164F8A28A991}">
      <x14:slicerCaches>
        <x14:slicerCache r:id="rId12"/>
        <x14:slicerCache r:id="rId13"/>
        <x14:slicerCache r:id="rId1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13" i="14" l="1"/>
  <c r="AF13" i="14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2" i="1"/>
  <c r="D17" i="15"/>
  <c r="E17" i="15"/>
  <c r="F17" i="15"/>
  <c r="G17" i="15"/>
  <c r="H17" i="15"/>
  <c r="I17" i="15"/>
  <c r="J17" i="15"/>
  <c r="K17" i="15"/>
  <c r="L17" i="15"/>
  <c r="M17" i="15"/>
  <c r="N17" i="15"/>
  <c r="D16" i="15"/>
  <c r="E16" i="15"/>
  <c r="F16" i="15"/>
  <c r="G16" i="15"/>
  <c r="H16" i="15"/>
  <c r="I16" i="15"/>
  <c r="J16" i="15"/>
  <c r="K16" i="15"/>
  <c r="L16" i="15"/>
  <c r="M16" i="15"/>
  <c r="N16" i="15"/>
  <c r="C17" i="15"/>
  <c r="C16" i="15"/>
  <c r="O18" i="15"/>
  <c r="D13" i="15"/>
  <c r="E13" i="15"/>
  <c r="F13" i="15"/>
  <c r="G13" i="15"/>
  <c r="H13" i="15"/>
  <c r="I13" i="15"/>
  <c r="J13" i="15"/>
  <c r="K13" i="15"/>
  <c r="L13" i="15"/>
  <c r="M13" i="15"/>
  <c r="N13" i="15"/>
  <c r="C13" i="15"/>
  <c r="C11" i="15"/>
  <c r="D11" i="15"/>
  <c r="E11" i="15"/>
  <c r="F11" i="15"/>
  <c r="G11" i="15"/>
  <c r="H11" i="15"/>
  <c r="I11" i="15"/>
  <c r="J11" i="15"/>
  <c r="K11" i="15"/>
  <c r="L11" i="15"/>
  <c r="M11" i="15"/>
  <c r="N11" i="15"/>
  <c r="G10" i="15"/>
  <c r="H10" i="15"/>
  <c r="I10" i="15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2" i="1"/>
  <c r="J15" i="15" l="1"/>
  <c r="N10" i="15"/>
  <c r="N12" i="15" s="1"/>
  <c r="N14" i="15" s="1"/>
  <c r="J10" i="15"/>
  <c r="J12" i="15" s="1"/>
  <c r="J14" i="15" s="1"/>
  <c r="M10" i="15"/>
  <c r="M12" i="15" s="1"/>
  <c r="M14" i="15" s="1"/>
  <c r="F10" i="15"/>
  <c r="F12" i="15" s="1"/>
  <c r="F14" i="15" s="1"/>
  <c r="L10" i="15"/>
  <c r="L12" i="15" s="1"/>
  <c r="L14" i="15" s="1"/>
  <c r="E10" i="15"/>
  <c r="E12" i="15" s="1"/>
  <c r="E14" i="15" s="1"/>
  <c r="K10" i="15"/>
  <c r="K12" i="15" s="1"/>
  <c r="K14" i="15" s="1"/>
  <c r="D10" i="15"/>
  <c r="D12" i="15" s="1"/>
  <c r="D14" i="15" s="1"/>
  <c r="C10" i="15"/>
  <c r="M15" i="15"/>
  <c r="I15" i="15"/>
  <c r="E15" i="15"/>
  <c r="L15" i="15"/>
  <c r="H15" i="15"/>
  <c r="N15" i="15"/>
  <c r="F15" i="15"/>
  <c r="D15" i="15"/>
  <c r="H12" i="15"/>
  <c r="H14" i="15" s="1"/>
  <c r="H19" i="15" s="1"/>
  <c r="H20" i="15" s="1"/>
  <c r="H22" i="15" s="1"/>
  <c r="G12" i="15"/>
  <c r="G14" i="15" s="1"/>
  <c r="I12" i="15"/>
  <c r="I14" i="15" s="1"/>
  <c r="O13" i="15"/>
  <c r="O11" i="15"/>
  <c r="O17" i="15"/>
  <c r="K15" i="15"/>
  <c r="G15" i="15"/>
  <c r="O16" i="15"/>
  <c r="C15" i="15"/>
  <c r="J19" i="15" l="1"/>
  <c r="J20" i="15" s="1"/>
  <c r="J22" i="15" s="1"/>
  <c r="I19" i="15"/>
  <c r="I20" i="15" s="1"/>
  <c r="I22" i="15" s="1"/>
  <c r="E19" i="15"/>
  <c r="E20" i="15" s="1"/>
  <c r="E22" i="15" s="1"/>
  <c r="M19" i="15"/>
  <c r="M20" i="15" s="1"/>
  <c r="M22" i="15" s="1"/>
  <c r="O10" i="15"/>
  <c r="C12" i="15"/>
  <c r="L19" i="15"/>
  <c r="L20" i="15" s="1"/>
  <c r="L22" i="15" s="1"/>
  <c r="D19" i="15"/>
  <c r="D20" i="15" s="1"/>
  <c r="D22" i="15" s="1"/>
  <c r="F19" i="15"/>
  <c r="F20" i="15" s="1"/>
  <c r="F22" i="15" s="1"/>
  <c r="N19" i="15"/>
  <c r="N20" i="15" s="1"/>
  <c r="N22" i="15" s="1"/>
  <c r="K19" i="15"/>
  <c r="K20" i="15" s="1"/>
  <c r="K22" i="15" s="1"/>
  <c r="G19" i="15"/>
  <c r="G20" i="15" s="1"/>
  <c r="G22" i="15" s="1"/>
  <c r="O15" i="15"/>
  <c r="C14" i="15" l="1"/>
  <c r="C19" i="15" s="1"/>
  <c r="O12" i="15"/>
  <c r="O14" i="15"/>
  <c r="C20" i="15"/>
  <c r="O19" i="15"/>
  <c r="C22" i="15" l="1"/>
  <c r="O22" i="15" s="1"/>
  <c r="O20" i="15"/>
  <c r="H3" i="1" l="1"/>
  <c r="I3" i="1" s="1"/>
  <c r="M3" i="1" s="1"/>
  <c r="H4" i="1"/>
  <c r="I4" i="1" s="1"/>
  <c r="M4" i="1" s="1"/>
  <c r="H5" i="1"/>
  <c r="I5" i="1" s="1"/>
  <c r="M5" i="1" s="1"/>
  <c r="H6" i="1"/>
  <c r="I6" i="1" s="1"/>
  <c r="M6" i="1" s="1"/>
  <c r="H7" i="1"/>
  <c r="I7" i="1" s="1"/>
  <c r="M7" i="1" s="1"/>
  <c r="H8" i="1"/>
  <c r="I8" i="1" s="1"/>
  <c r="M8" i="1" s="1"/>
  <c r="H9" i="1"/>
  <c r="I9" i="1" s="1"/>
  <c r="M9" i="1" s="1"/>
  <c r="H10" i="1"/>
  <c r="I10" i="1" s="1"/>
  <c r="M10" i="1" s="1"/>
  <c r="H11" i="1"/>
  <c r="I11" i="1" s="1"/>
  <c r="M11" i="1" s="1"/>
  <c r="H12" i="1"/>
  <c r="I12" i="1"/>
  <c r="M12" i="1" s="1"/>
  <c r="H13" i="1"/>
  <c r="I13" i="1" s="1"/>
  <c r="M13" i="1" s="1"/>
  <c r="H14" i="1"/>
  <c r="I14" i="1"/>
  <c r="M14" i="1" s="1"/>
  <c r="H15" i="1"/>
  <c r="I15" i="1" s="1"/>
  <c r="M15" i="1" s="1"/>
  <c r="H16" i="1"/>
  <c r="I16" i="1" s="1"/>
  <c r="M16" i="1" s="1"/>
  <c r="H17" i="1"/>
  <c r="I17" i="1" s="1"/>
  <c r="M17" i="1" s="1"/>
  <c r="H18" i="1"/>
  <c r="I18" i="1" s="1"/>
  <c r="M18" i="1" s="1"/>
  <c r="H19" i="1"/>
  <c r="I19" i="1" s="1"/>
  <c r="M19" i="1" s="1"/>
  <c r="H20" i="1"/>
  <c r="I20" i="1" s="1"/>
  <c r="M20" i="1" s="1"/>
  <c r="H21" i="1"/>
  <c r="I21" i="1" s="1"/>
  <c r="M21" i="1" s="1"/>
  <c r="H22" i="1"/>
  <c r="I22" i="1" s="1"/>
  <c r="M22" i="1" s="1"/>
  <c r="H23" i="1"/>
  <c r="I23" i="1" s="1"/>
  <c r="M23" i="1" s="1"/>
  <c r="H24" i="1"/>
  <c r="I24" i="1" s="1"/>
  <c r="M24" i="1" s="1"/>
  <c r="H25" i="1"/>
  <c r="I25" i="1" s="1"/>
  <c r="M25" i="1" s="1"/>
  <c r="H26" i="1"/>
  <c r="I26" i="1" s="1"/>
  <c r="M26" i="1" s="1"/>
  <c r="H27" i="1"/>
  <c r="I27" i="1" s="1"/>
  <c r="M27" i="1" s="1"/>
  <c r="H28" i="1"/>
  <c r="I28" i="1"/>
  <c r="M28" i="1" s="1"/>
  <c r="H29" i="1"/>
  <c r="I29" i="1" s="1"/>
  <c r="M29" i="1" s="1"/>
  <c r="H30" i="1"/>
  <c r="I30" i="1"/>
  <c r="M30" i="1" s="1"/>
  <c r="H31" i="1"/>
  <c r="I31" i="1" s="1"/>
  <c r="M31" i="1" s="1"/>
  <c r="I2" i="1"/>
  <c r="M2" i="1" s="1"/>
  <c r="H2" i="1"/>
  <c r="L27" i="1" l="1"/>
  <c r="L3" i="1"/>
  <c r="L19" i="1"/>
  <c r="L11" i="1"/>
  <c r="L26" i="1"/>
  <c r="L16" i="1"/>
  <c r="L10" i="1"/>
  <c r="L24" i="1"/>
  <c r="L18" i="1"/>
  <c r="L8" i="1"/>
  <c r="L15" i="1"/>
  <c r="L30" i="1"/>
  <c r="L22" i="1"/>
  <c r="L14" i="1"/>
  <c r="L6" i="1"/>
  <c r="L31" i="1"/>
  <c r="L23" i="1"/>
  <c r="L7" i="1"/>
  <c r="L29" i="1"/>
  <c r="L25" i="1"/>
  <c r="L21" i="1"/>
  <c r="L17" i="1"/>
  <c r="L13" i="1"/>
  <c r="L9" i="1"/>
  <c r="L5" i="1"/>
  <c r="L2" i="1"/>
  <c r="L28" i="1"/>
  <c r="L20" i="1"/>
  <c r="L12" i="1"/>
  <c r="L4" i="1"/>
  <c r="K3" i="7"/>
  <c r="K2" i="7"/>
  <c r="G31" i="1" l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</calcChain>
</file>

<file path=xl/sharedStrings.xml><?xml version="1.0" encoding="utf-8"?>
<sst xmlns="http://schemas.openxmlformats.org/spreadsheetml/2006/main" count="291" uniqueCount="105">
  <si>
    <t>Data</t>
  </si>
  <si>
    <t>NF</t>
  </si>
  <si>
    <t>Produto</t>
  </si>
  <si>
    <t>Cliente</t>
  </si>
  <si>
    <t>Qtd</t>
  </si>
  <si>
    <t>Cliente "A"</t>
  </si>
  <si>
    <t>Cliente "B"</t>
  </si>
  <si>
    <t>Cliente "C"</t>
  </si>
  <si>
    <t>Caixa</t>
  </si>
  <si>
    <t>Bobina</t>
  </si>
  <si>
    <t>Celulose</t>
  </si>
  <si>
    <t>Cliente "D"</t>
  </si>
  <si>
    <t>Cliente "E"</t>
  </si>
  <si>
    <t>Valor Venda</t>
  </si>
  <si>
    <t>Custo Unitário</t>
  </si>
  <si>
    <t>Custo Total</t>
  </si>
  <si>
    <t>Data Custo</t>
  </si>
  <si>
    <t>Chave Custo</t>
  </si>
  <si>
    <t>Desp. Administrativas</t>
  </si>
  <si>
    <t>Desp. Vendas</t>
  </si>
  <si>
    <t>Total</t>
  </si>
  <si>
    <t>Impostos sobre vendas</t>
  </si>
  <si>
    <t>Com base nos dados informados nas guias, construa as informações solicitadas</t>
  </si>
  <si>
    <t>1. Tab Vendas</t>
  </si>
  <si>
    <t>. Com base na Tab Custo, trazer o valor do custo unitário para a Tab Vendas (PROCV) e Calcule o valor do Custo Total</t>
  </si>
  <si>
    <t>. Com base na Tab Vendas construa uma Tabela dinâmica com as seguintes características:</t>
  </si>
  <si>
    <t xml:space="preserve">  . Resumo mês a mês</t>
  </si>
  <si>
    <t xml:space="preserve">  . Agrupado por Produto</t>
  </si>
  <si>
    <t>2. Resumo de Vendas</t>
  </si>
  <si>
    <t xml:space="preserve">  . Valor de Venda</t>
  </si>
  <si>
    <t xml:space="preserve">  . Custo Total</t>
  </si>
  <si>
    <t>3. Resumo de Custos</t>
  </si>
  <si>
    <t xml:space="preserve">  . Receita Bruta, Impostos, Receita Líquida, Desp. Adm, Desp. Venda, Resultado e Margem.</t>
  </si>
  <si>
    <t>4. DRE</t>
  </si>
  <si>
    <t>5. Apresentação</t>
  </si>
  <si>
    <t>. Com base nas Tabelas Dinâmicas (Vendas e Custos) construa uma DRE CONSOLIDADA</t>
  </si>
  <si>
    <t>. Com base nos cálculos, fazer uma apresentão (ppt) e apresentar o resultado (máximo 3 slides)</t>
  </si>
  <si>
    <t>Rótulos de Linha</t>
  </si>
  <si>
    <t>Total Geral</t>
  </si>
  <si>
    <t>jan</t>
  </si>
  <si>
    <t>fev</t>
  </si>
  <si>
    <t>mar</t>
  </si>
  <si>
    <t>set</t>
  </si>
  <si>
    <t>nov</t>
  </si>
  <si>
    <t>abr</t>
  </si>
  <si>
    <t>ago</t>
  </si>
  <si>
    <t>out</t>
  </si>
  <si>
    <t>dez</t>
  </si>
  <si>
    <t>Lucro</t>
  </si>
  <si>
    <t>Lucro Liquido</t>
  </si>
  <si>
    <t>Receita Operacional Bruta</t>
  </si>
  <si>
    <t>Deduções da Receita Bruta</t>
  </si>
  <si>
    <t>Receita Operacional Líquida</t>
  </si>
  <si>
    <t>Custo dos Produtos Vendidos</t>
  </si>
  <si>
    <t>Resultado Bruto</t>
  </si>
  <si>
    <t>Despesas Operacionais</t>
  </si>
  <si>
    <t>Despesas com Vendas</t>
  </si>
  <si>
    <t>Despesas Administrativas</t>
  </si>
  <si>
    <t>Outras Receitas/Despesas</t>
  </si>
  <si>
    <t>Resultado Operacional (Ebit)</t>
  </si>
  <si>
    <t>EBITDA (Ebit+Depreciações)</t>
  </si>
  <si>
    <t>Impostos sob Lucro e Participações</t>
  </si>
  <si>
    <t>Resultado Final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</si>
  <si>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</si>
  <si>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</si>
  <si>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</si>
  <si>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</si>
  <si>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</si>
  <si>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</si>
  <si>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</si>
  <si>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</si>
  <si>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</si>
  <si>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</si>
  <si>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</si>
  <si>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</si>
  <si>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Demosntrativo de Resultado</t>
  </si>
  <si>
    <t xml:space="preserve"> </t>
  </si>
  <si>
    <t xml:space="preserve">Resumo </t>
  </si>
  <si>
    <t>Vendas</t>
  </si>
  <si>
    <t>Custos</t>
  </si>
  <si>
    <t xml:space="preserve">Lucro </t>
  </si>
  <si>
    <t xml:space="preserve">Lucro Liquido </t>
  </si>
  <si>
    <t>Acumulado</t>
  </si>
  <si>
    <t>Impostos</t>
  </si>
  <si>
    <t xml:space="preserve">Impostos </t>
  </si>
  <si>
    <t>DRE em 31 de Dezembro de 2020 (em milhares de Reais)</t>
  </si>
  <si>
    <t>Resumo de Custos</t>
  </si>
  <si>
    <t>Produtos/Meses</t>
  </si>
  <si>
    <t xml:space="preserve">Produtos/Meses </t>
  </si>
  <si>
    <t>Resumo de Vendas</t>
  </si>
  <si>
    <t xml:space="preserve">Vendas  </t>
  </si>
  <si>
    <t>Lucro Líquido</t>
  </si>
  <si>
    <t>DASHBOARD | VENDAS</t>
  </si>
  <si>
    <t>Receita Líquida</t>
  </si>
  <si>
    <t xml:space="preserve">Receita Líquida </t>
  </si>
  <si>
    <t xml:space="preserve">Receita Líquida  </t>
  </si>
  <si>
    <t>Impostos s/ Venda</t>
  </si>
  <si>
    <t xml:space="preserve">Impostos s/ Venda </t>
  </si>
  <si>
    <t>Período</t>
  </si>
  <si>
    <t xml:space="preserve">Desp. Vendas </t>
  </si>
  <si>
    <t xml:space="preserve">Período </t>
  </si>
  <si>
    <t xml:space="preserve">Custos </t>
  </si>
  <si>
    <t>Desp. Adm</t>
  </si>
  <si>
    <t xml:space="preserve">Desp. Adm </t>
  </si>
  <si>
    <t>KLABIN 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</si>
</sst>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mmm"/>
    <numFmt numFmtId="165" formatCode="#,##0.00;\(#,##0.00\)"/>
    <numFmt numFmtId="166" formatCode="#,##0.00_ ;\-#,##0.00\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933A"/>
        <bgColor indexed="64"/>
      </patternFill>
    </fill>
    <fill>
      <patternFill patternType="solid">
        <fgColor rgb="FFCDF7CE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</cellStyleXfs>
  <cellXfs count="55">
    <xf numFmtId="0" fontId="0" fillId="0" borderId="0" xfId="0"/>
    <xf numFmtId="14" fontId="0" fillId="0" borderId="0" xfId="0" applyNumberFormat="1"/>
    <xf numFmtId="43" fontId="0" fillId="0" borderId="0" xfId="1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43" fontId="2" fillId="2" borderId="0" xfId="1" applyFont="1" applyFill="1" applyAlignment="1">
      <alignment horizontal="center"/>
    </xf>
    <xf numFmtId="43" fontId="0" fillId="0" borderId="0" xfId="0" applyNumberFormat="1"/>
    <xf numFmtId="0" fontId="3" fillId="2" borderId="0" xfId="0" applyFont="1" applyFill="1" applyAlignment="1">
      <alignment horizontal="center"/>
    </xf>
    <xf numFmtId="0" fontId="4" fillId="0" borderId="0" xfId="0" applyFont="1"/>
    <xf numFmtId="43" fontId="3" fillId="2" borderId="0" xfId="1" applyFont="1" applyFill="1" applyAlignment="1">
      <alignment horizontal="center"/>
    </xf>
    <xf numFmtId="14" fontId="4" fillId="0" borderId="0" xfId="1" applyNumberFormat="1" applyFont="1"/>
    <xf numFmtId="43" fontId="4" fillId="0" borderId="0" xfId="1" applyFont="1"/>
    <xf numFmtId="43" fontId="0" fillId="3" borderId="0" xfId="1" applyFont="1" applyFill="1"/>
    <xf numFmtId="43" fontId="0" fillId="3" borderId="0" xfId="0" applyNumberFormat="1" applyFill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center"/>
    </xf>
    <xf numFmtId="43" fontId="2" fillId="0" borderId="0" xfId="1" applyFont="1"/>
    <xf numFmtId="10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left" wrapText="1" indent="1"/>
    </xf>
    <xf numFmtId="0" fontId="0" fillId="0" borderId="0" xfId="0" applyAlignment="1">
      <alignment horizontal="left" wrapText="1" indent="2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Fill="1"/>
    <xf numFmtId="0" fontId="5" fillId="0" borderId="0" xfId="0" applyFont="1" applyFill="1"/>
    <xf numFmtId="0" fontId="5" fillId="0" borderId="0" xfId="0" applyFont="1" applyFill="1" applyAlignment="1">
      <alignment horizontal="center"/>
    </xf>
    <xf numFmtId="0" fontId="2" fillId="0" borderId="0" xfId="0" applyFont="1"/>
    <xf numFmtId="0" fontId="0" fillId="0" borderId="0" xfId="0" applyFont="1" applyAlignment="1">
      <alignment horizontal="left" indent="1"/>
    </xf>
    <xf numFmtId="0" fontId="2" fillId="0" borderId="1" xfId="0" applyFont="1" applyBorder="1"/>
    <xf numFmtId="164" fontId="0" fillId="0" borderId="1" xfId="0" applyNumberFormat="1" applyBorder="1" applyAlignment="1">
      <alignment horizontal="left"/>
    </xf>
    <xf numFmtId="4" fontId="0" fillId="0" borderId="1" xfId="0" applyNumberFormat="1" applyBorder="1"/>
    <xf numFmtId="4" fontId="2" fillId="0" borderId="1" xfId="0" applyNumberFormat="1" applyFont="1" applyBorder="1"/>
    <xf numFmtId="164" fontId="6" fillId="0" borderId="0" xfId="0" applyNumberFormat="1" applyFont="1"/>
    <xf numFmtId="165" fontId="0" fillId="0" borderId="0" xfId="0" applyNumberFormat="1" applyFont="1"/>
    <xf numFmtId="165" fontId="0" fillId="0" borderId="0" xfId="0" applyNumberFormat="1" applyFont="1" applyAlignment="1"/>
    <xf numFmtId="0" fontId="0" fillId="4" borderId="0" xfId="0" applyFill="1"/>
    <xf numFmtId="0" fontId="5" fillId="4" borderId="0" xfId="0" applyFont="1" applyFill="1"/>
    <xf numFmtId="0" fontId="5" fillId="4" borderId="0" xfId="0" applyFont="1" applyFill="1" applyAlignment="1">
      <alignment horizontal="center"/>
    </xf>
    <xf numFmtId="165" fontId="5" fillId="4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left" indent="1"/>
    </xf>
    <xf numFmtId="165" fontId="9" fillId="0" borderId="0" xfId="0" applyNumberFormat="1" applyFont="1" applyFill="1" applyAlignment="1"/>
    <xf numFmtId="0" fontId="8" fillId="5" borderId="0" xfId="0" applyFont="1" applyFill="1"/>
    <xf numFmtId="165" fontId="8" fillId="5" borderId="0" xfId="0" applyNumberFormat="1" applyFont="1" applyFill="1" applyAlignment="1">
      <alignment horizontal="right"/>
    </xf>
    <xf numFmtId="0" fontId="2" fillId="0" borderId="0" xfId="0" pivotButton="1" applyFont="1"/>
    <xf numFmtId="0" fontId="0" fillId="0" borderId="0" xfId="0" pivotButton="1" applyFont="1"/>
    <xf numFmtId="0" fontId="0" fillId="0" borderId="0" xfId="0" applyFont="1" applyAlignment="1">
      <alignment horizontal="center"/>
    </xf>
    <xf numFmtId="0" fontId="11" fillId="4" borderId="0" xfId="0" applyFont="1" applyFill="1" applyBorder="1" applyAlignment="1">
      <alignment vertical="center"/>
    </xf>
    <xf numFmtId="166" fontId="0" fillId="0" borderId="0" xfId="0" applyNumberFormat="1"/>
    <xf numFmtId="0" fontId="2" fillId="0" borderId="0" xfId="0" applyFont="1" applyFill="1" applyBorder="1"/>
    <xf numFmtId="0" fontId="2" fillId="0" borderId="0" xfId="0" applyFont="1" applyAlignment="1">
      <alignment horizontal="left" indent="1"/>
    </xf>
    <xf numFmtId="4" fontId="0" fillId="0" borderId="0" xfId="0" applyNumberFormat="1"/>
    <xf numFmtId="0" fontId="5" fillId="4" borderId="0" xfId="0" applyFont="1" applyFill="1" applyAlignment="1">
      <alignment horizontal="center"/>
    </xf>
    <xf numFmtId="0" fontId="11" fillId="4" borderId="0" xfId="0" applyFont="1" applyFill="1" applyBorder="1" applyAlignment="1">
      <alignment horizontal="center" vertical="top"/>
    </xf>
  </cellXfs>
  <cellStyles count="4">
    <cellStyle name="Normal" xfId="0" builtinId="0"/>
    <cellStyle name="Normal 2" xfId="2" xr:uid="{4E2299A0-F120-4036-8038-43C9A4ACEBDC}"/>
    <cellStyle name="Separador de milhares 2" xfId="3" xr:uid="{8EF1FDC8-18AA-4D8A-819C-2C250643114D}"/>
    <cellStyle name="Vírgula" xfId="1" builtinId="3"/>
  </cellStyles>
  <dxfs count="10">
    <dxf>
      <font>
        <b val="0"/>
      </font>
    </dxf>
    <dxf>
      <font>
        <b val="0"/>
      </font>
    </dxf>
    <dxf>
      <font>
        <b val="0"/>
      </font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</dxfs>
  <tableStyles count="0" defaultTableStyle="TableStyleMedium2" defaultPivotStyle="PivotStyleLight16"/>
  <colors>
    <mruColors>
      <color rgb="FF88EC8A"/>
      <color rgb="FF11B375"/>
      <color rgb="FF00933A"/>
      <color rgb="FFFFFFFF"/>
      <color rgb="FFCDF7CE"/>
      <color rgb="FF0B8339"/>
      <color rgb="FF0C8255"/>
      <color rgb="FF0EAA49"/>
      <color rgb="FF1A9E1D"/>
      <color rgb="FFBDF5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/>
              <a:t>Receitas mês</a:t>
            </a:r>
            <a:r>
              <a:rPr lang="pt-BR" sz="1400" baseline="0"/>
              <a:t>-a-Mês</a:t>
            </a:r>
            <a:endParaRPr lang="pt-BR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'Resumo de Vendas e Custos'!$P$3</c:f>
              <c:strCache>
                <c:ptCount val="1"/>
                <c:pt idx="0">
                  <c:v>Vendas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'Resumo de Vendas e Custos'!$O$4:$O$12</c:f>
              <c:strCache>
                <c:ptCount val="9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ago</c:v>
                </c:pt>
                <c:pt idx="5">
                  <c:v>set</c:v>
                </c:pt>
                <c:pt idx="6">
                  <c:v>out</c:v>
                </c:pt>
                <c:pt idx="7">
                  <c:v>nov</c:v>
                </c:pt>
                <c:pt idx="8">
                  <c:v>dez</c:v>
                </c:pt>
              </c:strCache>
            </c:strRef>
          </c:cat>
          <c:val>
            <c:numRef>
              <c:f>'Resumo de Vendas e Custos'!$P$4:$P$12</c:f>
              <c:numCache>
                <c:formatCode>#,##0.00_ ;\-#,##0.00\ </c:formatCode>
                <c:ptCount val="9"/>
                <c:pt idx="0">
                  <c:v>466700</c:v>
                </c:pt>
                <c:pt idx="1">
                  <c:v>349600</c:v>
                </c:pt>
                <c:pt idx="2">
                  <c:v>129500</c:v>
                </c:pt>
                <c:pt idx="3">
                  <c:v>205100</c:v>
                </c:pt>
                <c:pt idx="4">
                  <c:v>107420</c:v>
                </c:pt>
                <c:pt idx="5">
                  <c:v>121350</c:v>
                </c:pt>
                <c:pt idx="6">
                  <c:v>133000</c:v>
                </c:pt>
                <c:pt idx="7">
                  <c:v>125750</c:v>
                </c:pt>
                <c:pt idx="8">
                  <c:v>177300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3A-4B85-BD5A-9248BF583966}"/>
            </c:ext>
          </c:extLst>
        </c:ser>
        <c:ser>
          <c:idx val="1"/>
          <c:order val="1"/>
          <c:tx>
            <c:strRef>
              <c:f>'Resumo de Vendas e Custos'!$S$3</c:f>
              <c:strCache>
                <c:ptCount val="1"/>
                <c:pt idx="0">
                  <c:v>Receita Líquida 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'Resumo de Vendas e Custos'!$O$4:$O$12</c:f>
              <c:strCache>
                <c:ptCount val="9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ago</c:v>
                </c:pt>
                <c:pt idx="5">
                  <c:v>set</c:v>
                </c:pt>
                <c:pt idx="6">
                  <c:v>out</c:v>
                </c:pt>
                <c:pt idx="7">
                  <c:v>nov</c:v>
                </c:pt>
                <c:pt idx="8">
                  <c:v>dez</c:v>
                </c:pt>
              </c:strCache>
            </c:strRef>
          </c:cat>
          <c:val>
            <c:numRef>
              <c:f>'Resumo de Vendas e Custos'!$S$4:$S$12</c:f>
              <c:numCache>
                <c:formatCode>#,##0.00_ ;\-#,##0.00\ </c:formatCode>
                <c:ptCount val="9"/>
                <c:pt idx="0">
                  <c:v>337890.8</c:v>
                </c:pt>
                <c:pt idx="1">
                  <c:v>253110.39999999997</c:v>
                </c:pt>
                <c:pt idx="2">
                  <c:v>93758</c:v>
                </c:pt>
                <c:pt idx="3">
                  <c:v>148492.39999999997</c:v>
                </c:pt>
                <c:pt idx="4">
                  <c:v>77772.079999999987</c:v>
                </c:pt>
                <c:pt idx="5">
                  <c:v>87857.4</c:v>
                </c:pt>
                <c:pt idx="6">
                  <c:v>96292</c:v>
                </c:pt>
                <c:pt idx="7">
                  <c:v>91043</c:v>
                </c:pt>
                <c:pt idx="8">
                  <c:v>128365.2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FC-42C4-8654-9C1301D92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2040474335"/>
        <c:axId val="1493852351"/>
      </c:barChart>
      <c:catAx>
        <c:axId val="20404743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3852351"/>
        <c:crosses val="autoZero"/>
        <c:auto val="1"/>
        <c:lblAlgn val="ctr"/>
        <c:lblOffset val="100"/>
        <c:noMultiLvlLbl val="0"/>
      </c:catAx>
      <c:valAx>
        <c:axId val="1493852351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_(&quot;R$&quot;* #,##0.00_);_(&quot;R$&quot;* \(#,##0.00\);_(&quot;R$&quot;* &quot;-&quot;??_);_(@_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047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VENDAS</a:t>
            </a:r>
            <a:r>
              <a:rPr lang="pt-BR" baseline="0"/>
              <a:t> X LUCRO LIQUIDO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'Resumo de Vendas e Custos'!$P$3</c:f>
              <c:strCache>
                <c:ptCount val="1"/>
                <c:pt idx="0">
                  <c:v>Vendas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'Resumo de Vendas e Custos'!$O$4:$O$12</c:f>
              <c:strCache>
                <c:ptCount val="9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ago</c:v>
                </c:pt>
                <c:pt idx="5">
                  <c:v>set</c:v>
                </c:pt>
                <c:pt idx="6">
                  <c:v>out</c:v>
                </c:pt>
                <c:pt idx="7">
                  <c:v>nov</c:v>
                </c:pt>
                <c:pt idx="8">
                  <c:v>dez</c:v>
                </c:pt>
              </c:strCache>
            </c:strRef>
          </c:cat>
          <c:val>
            <c:numRef>
              <c:f>'Resumo de Vendas e Custos'!$P$4:$P$12</c:f>
              <c:numCache>
                <c:formatCode>#,##0.00_ ;\-#,##0.00\ </c:formatCode>
                <c:ptCount val="9"/>
                <c:pt idx="0">
                  <c:v>466700</c:v>
                </c:pt>
                <c:pt idx="1">
                  <c:v>349600</c:v>
                </c:pt>
                <c:pt idx="2">
                  <c:v>129500</c:v>
                </c:pt>
                <c:pt idx="3">
                  <c:v>205100</c:v>
                </c:pt>
                <c:pt idx="4">
                  <c:v>107420</c:v>
                </c:pt>
                <c:pt idx="5">
                  <c:v>121350</c:v>
                </c:pt>
                <c:pt idx="6">
                  <c:v>133000</c:v>
                </c:pt>
                <c:pt idx="7">
                  <c:v>125750</c:v>
                </c:pt>
                <c:pt idx="8">
                  <c:v>177300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BB-4B3E-AC24-9798B5C26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38613711"/>
        <c:axId val="1850085599"/>
      </c:barChart>
      <c:lineChart>
        <c:grouping val="standard"/>
        <c:varyColors val="0"/>
        <c:ser>
          <c:idx val="1"/>
          <c:order val="1"/>
          <c:tx>
            <c:strRef>
              <c:f>'Resumo de Vendas e Custos'!$T$3</c:f>
              <c:strCache>
                <c:ptCount val="1"/>
                <c:pt idx="0">
                  <c:v>Lucro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'Resumo de Vendas e Custos'!$O$4:$O$12</c:f>
              <c:strCache>
                <c:ptCount val="9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ago</c:v>
                </c:pt>
                <c:pt idx="5">
                  <c:v>set</c:v>
                </c:pt>
                <c:pt idx="6">
                  <c:v>out</c:v>
                </c:pt>
                <c:pt idx="7">
                  <c:v>nov</c:v>
                </c:pt>
                <c:pt idx="8">
                  <c:v>dez</c:v>
                </c:pt>
              </c:strCache>
            </c:strRef>
          </c:cat>
          <c:val>
            <c:numRef>
              <c:f>'Resumo de Vendas e Custos'!$T$4:$T$12</c:f>
              <c:numCache>
                <c:formatCode>#,##0.00_ ;\-#,##0.00\ </c:formatCode>
                <c:ptCount val="9"/>
                <c:pt idx="0">
                  <c:v>200700</c:v>
                </c:pt>
                <c:pt idx="1">
                  <c:v>164470</c:v>
                </c:pt>
                <c:pt idx="2">
                  <c:v>65413.4</c:v>
                </c:pt>
                <c:pt idx="3">
                  <c:v>91562.3</c:v>
                </c:pt>
                <c:pt idx="4">
                  <c:v>47398.340000000004</c:v>
                </c:pt>
                <c:pt idx="5">
                  <c:v>62664.26</c:v>
                </c:pt>
                <c:pt idx="6">
                  <c:v>66731.01999999999</c:v>
                </c:pt>
                <c:pt idx="7">
                  <c:v>71479.61</c:v>
                </c:pt>
                <c:pt idx="8">
                  <c:v>90843.28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BB-4B3E-AC24-9798B5C26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613711"/>
        <c:axId val="1850085599"/>
      </c:lineChart>
      <c:catAx>
        <c:axId val="203861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0085599"/>
        <c:crosses val="autoZero"/>
        <c:auto val="1"/>
        <c:lblAlgn val="ctr"/>
        <c:lblOffset val="100"/>
        <c:noMultiLvlLbl val="0"/>
      </c:catAx>
      <c:valAx>
        <c:axId val="185008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\-#,##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861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RECEITA</a:t>
            </a:r>
            <a:r>
              <a:rPr lang="en-US" baseline="0"/>
              <a:t> X PRODUTO</a:t>
            </a:r>
            <a:r>
              <a:rPr lang="en-US"/>
              <a:t>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'Resumo de Vendas e Custos'!$X$16</c:f>
              <c:strCache>
                <c:ptCount val="1"/>
                <c:pt idx="0">
                  <c:v>Vendas  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'Resumo de Vendas e Custos'!$X$17:$X$19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'Resumo de Vendas e Custos'!$W$17:$W$19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8A18-4160-A690-93479F11AC2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43614079"/>
        <c:axId val="1856741791"/>
      </c:barChart>
      <c:catAx>
        <c:axId val="1943614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6741791"/>
        <c:crosses val="autoZero"/>
        <c:auto val="1"/>
        <c:lblAlgn val="ctr"/>
        <c:lblOffset val="100"/>
        <c:noMultiLvlLbl val="0"/>
      </c:catAx>
      <c:valAx>
        <c:axId val="1856741791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_ ;\-#,##0.00\ " sourceLinked="1"/>
        <c:majorTickMark val="none"/>
        <c:minorTickMark val="none"/>
        <c:tickLblPos val="nextTo"/>
        <c:crossAx val="1943614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'Resumo de Vendas e Custos'!$S$3</c:f>
              <c:strCache>
                <c:ptCount val="1"/>
                <c:pt idx="0">
                  <c:v>Receita Líquida 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'Resumo de Vendas e Custos'!$O$4:$O$12</c:f>
              <c:strCache>
                <c:ptCount val="9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ago</c:v>
                </c:pt>
                <c:pt idx="5">
                  <c:v>set</c:v>
                </c:pt>
                <c:pt idx="6">
                  <c:v>out</c:v>
                </c:pt>
                <c:pt idx="7">
                  <c:v>nov</c:v>
                </c:pt>
                <c:pt idx="8">
                  <c:v>dez</c:v>
                </c:pt>
              </c:strCache>
            </c:strRef>
          </c:cat>
          <c:val>
            <c:numRef>
              <c:f>'Resumo de Vendas e Custos'!$S$4:$S$12</c:f>
              <c:numCache>
                <c:formatCode>#,##0.00_ ;\-#,##0.00\ </c:formatCode>
                <c:ptCount val="9"/>
                <c:pt idx="0">
                  <c:v>337890.8</c:v>
                </c:pt>
                <c:pt idx="1">
                  <c:v>253110.39999999997</c:v>
                </c:pt>
                <c:pt idx="2">
                  <c:v>93758</c:v>
                </c:pt>
                <c:pt idx="3">
                  <c:v>148492.39999999997</c:v>
                </c:pt>
                <c:pt idx="4">
                  <c:v>77772.079999999987</c:v>
                </c:pt>
                <c:pt idx="5">
                  <c:v>87857.4</c:v>
                </c:pt>
                <c:pt idx="6">
                  <c:v>96292</c:v>
                </c:pt>
                <c:pt idx="7">
                  <c:v>91043</c:v>
                </c:pt>
                <c:pt idx="8">
                  <c:v>128365.2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A0-4023-9CBA-2F187D4A9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3602479"/>
        <c:axId val="1856736799"/>
      </c:lineChart>
      <c:catAx>
        <c:axId val="194360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6736799"/>
        <c:crosses val="autoZero"/>
        <c:auto val="1"/>
        <c:lblAlgn val="ctr"/>
        <c:lblOffset val="100"/>
        <c:noMultiLvlLbl val="0"/>
      </c:catAx>
      <c:valAx>
        <c:axId val="185673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_ ;\-#,##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360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'Resumo de Vendas e Custos'!$X$22</c:f>
              <c:strCache>
                <c:ptCount val="1"/>
                <c:pt idx="0">
                  <c:v>Vendas 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'Resumo de Vendas e Custos'!$X$23:$X$27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'Resumo de Vendas e Custos'!$W$23:$W$27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7A08-472C-81EB-3A372797AF0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Data Analysis Klabin.xlsx]Resumo de Vendas e Custos!Tabela dinâmica5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'Resumo de Vendas e Custos'!$AH$16</c:f>
              <c:strCache>
                <c:ptCount val="1"/>
                <c:pt idx="0">
                  <c:v>Custos 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'Resumo de Vendas e Custos'!$AE$17:$AE$26</c:f>
              <c:strCache>
                <c:ptCount val="9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ago</c:v>
                </c:pt>
                <c:pt idx="5">
                  <c:v>set</c:v>
                </c:pt>
                <c:pt idx="6">
                  <c:v>out</c:v>
                </c:pt>
                <c:pt idx="7">
                  <c:v>nov</c:v>
                </c:pt>
                <c:pt idx="8">
                  <c:v>dez</c:v>
                </c:pt>
              </c:strCache>
            </c:strRef>
          </c:cat>
          <c:val>
            <c:numRef>
              <c:f>'Resumo de Vendas e Custos'!$AH$17:$AH$26</c:f>
              <c:numCache>
                <c:formatCode>#,##0.00</c:formatCode>
                <c:ptCount val="9"/>
                <c:pt idx="0">
                  <c:v>266000</c:v>
                </c:pt>
                <c:pt idx="1">
                  <c:v>185130</c:v>
                </c:pt>
                <c:pt idx="2">
                  <c:v>64086.599999999991</c:v>
                </c:pt>
                <c:pt idx="3">
                  <c:v>113537.7</c:v>
                </c:pt>
                <c:pt idx="4">
                  <c:v>60021.66</c:v>
                </c:pt>
                <c:pt idx="5">
                  <c:v>58685.739999999991</c:v>
                </c:pt>
                <c:pt idx="6">
                  <c:v>66268.98000000001</c:v>
                </c:pt>
                <c:pt idx="7">
                  <c:v>54270.39</c:v>
                </c:pt>
                <c:pt idx="8">
                  <c:v>86456.72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5CE-417C-B869-7CCB31412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813775"/>
        <c:axId val="482900959"/>
      </c:barChart>
      <c:lineChart>
        <c:grouping val="stacked"/>
        <c:varyColors val="0"/>
        <c:ser>
          <c:idx val="0"/>
          <c:order val="0"/>
          <c:tx>
            <c:strRef>
              <c:f>'Resumo de Vendas e Custos'!$AF$16</c:f>
              <c:strCache>
                <c:ptCount val="1"/>
                <c:pt idx="0">
                  <c:v>Desp. Adm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'Resumo de Vendas e Custos'!$AE$17:$AE$26</c:f>
              <c:strCache>
                <c:ptCount val="9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ago</c:v>
                </c:pt>
                <c:pt idx="5">
                  <c:v>set</c:v>
                </c:pt>
                <c:pt idx="6">
                  <c:v>out</c:v>
                </c:pt>
                <c:pt idx="7">
                  <c:v>nov</c:v>
                </c:pt>
                <c:pt idx="8">
                  <c:v>dez</c:v>
                </c:pt>
              </c:strCache>
            </c:strRef>
          </c:cat>
          <c:val>
            <c:numRef>
              <c:f>'Resumo de Vendas e Custos'!$AF$17:$AF$26</c:f>
              <c:numCache>
                <c:formatCode>#,##0.00</c:formatCode>
                <c:ptCount val="9"/>
                <c:pt idx="0">
                  <c:v>8000</c:v>
                </c:pt>
                <c:pt idx="1">
                  <c:v>7800</c:v>
                </c:pt>
                <c:pt idx="2">
                  <c:v>9000</c:v>
                </c:pt>
                <c:pt idx="3">
                  <c:v>9100</c:v>
                </c:pt>
                <c:pt idx="4">
                  <c:v>5000</c:v>
                </c:pt>
                <c:pt idx="5">
                  <c:v>7500</c:v>
                </c:pt>
                <c:pt idx="6">
                  <c:v>8000</c:v>
                </c:pt>
                <c:pt idx="7">
                  <c:v>8300</c:v>
                </c:pt>
                <c:pt idx="8">
                  <c:v>8500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5CE-417C-B869-7CCB314121BE}"/>
            </c:ext>
          </c:extLst>
        </c:ser>
        <c:ser>
          <c:idx val="1"/>
          <c:order val="1"/>
          <c:tx>
            <c:strRef>
              <c:f>'Resumo de Vendas e Custos'!$AG$16</c:f>
              <c:strCache>
                <c:ptCount val="1"/>
                <c:pt idx="0">
                  <c:v>Desp. Vendas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'Resumo de Vendas e Custos'!$AE$17:$AE$26</c:f>
              <c:strCache>
                <c:ptCount val="9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ago</c:v>
                </c:pt>
                <c:pt idx="5">
                  <c:v>set</c:v>
                </c:pt>
                <c:pt idx="6">
                  <c:v>out</c:v>
                </c:pt>
                <c:pt idx="7">
                  <c:v>nov</c:v>
                </c:pt>
                <c:pt idx="8">
                  <c:v>dez</c:v>
                </c:pt>
              </c:strCache>
            </c:strRef>
          </c:cat>
          <c:val>
            <c:numRef>
              <c:f>'Resumo de Vendas e Custos'!$AG$17:$AG$26</c:f>
              <c:numCache>
                <c:formatCode>#,##0.00</c:formatCode>
                <c:ptCount val="9"/>
                <c:pt idx="0">
                  <c:v>3000</c:v>
                </c:pt>
                <c:pt idx="1">
                  <c:v>3100</c:v>
                </c:pt>
                <c:pt idx="2">
                  <c:v>3200</c:v>
                </c:pt>
                <c:pt idx="3">
                  <c:v>3150</c:v>
                </c:pt>
                <c:pt idx="4">
                  <c:v>2800</c:v>
                </c:pt>
                <c:pt idx="5">
                  <c:v>2950</c:v>
                </c:pt>
                <c:pt idx="6">
                  <c:v>2900</c:v>
                </c:pt>
                <c:pt idx="7">
                  <c:v>2850</c:v>
                </c:pt>
                <c:pt idx="8">
                  <c:v>2700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5CE-417C-B869-7CCB31412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8806735"/>
        <c:axId val="773187695"/>
      </c:lineChart>
      <c:catAx>
        <c:axId val="7308137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2900959"/>
        <c:crosses val="autoZero"/>
        <c:auto val="1"/>
        <c:lblAlgn val="ctr"/>
        <c:lblOffset val="100"/>
        <c:noMultiLvlLbl val="0"/>
      </c:catAx>
      <c:valAx>
        <c:axId val="48290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813775"/>
        <c:crosses val="autoZero"/>
        <c:crossBetween val="between"/>
      </c:valAx>
      <c:valAx>
        <c:axId val="773187695"/>
        <c:scaling>
          <c:orientation val="minMax"/>
        </c:scaling>
        <c:delete val="0"/>
        <c:axPos val="r"/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8806735"/>
        <c:crosses val="max"/>
        <c:crossBetween val="between"/>
      </c:valAx>
      <c:catAx>
        <c:axId val="7188067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31876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7EED-4A9A-8D1F-2C44FF7F57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7EED-4A9A-8D1F-2C44FF7F57E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7EED-4A9A-8D1F-2C44FF7F57E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7EED-4A9A-8D1F-2C44FF7F57EA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 Adm Vendas'!$A$2:$A$3</c:f>
              <c:strCache>
                <c:ptCount val="2"/>
                <c:pt idx="0">
                  <c:v>Desp. Administrativas</c:v>
                </c:pt>
                <c:pt idx="1">
                  <c:v>Desp. Vendas</c:v>
                </c:pt>
              </c:strCache>
            </c:strRef>
          </c:cat>
          <c:val>
            <c:numRef>
              <c:f>'Tab Adm Vendas'!$K$2:$K$3</c:f>
              <c:numCache>
                <c:formatCode>_(* #,##0.00_);_(* \(#,##0.00\);_(* "-"??_);_(@_)</c:formatCode>
                <c:ptCount val="2"/>
                <c:pt idx="0">
                  <c:v>71200</c:v>
                </c:pt>
                <c:pt idx="1">
                  <c:v>26650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ED-4A9A-8D1F-2C44FF7F57EA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'Resumo de Vendas e Custos'!$U$3</c:f>
              <c:strCache>
                <c:ptCount val="1"/>
                <c:pt idx="0">
                  <c:v>Lucro Liquido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dash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'Resumo de Vendas e Custos'!$O$4:$O$12</c:f>
              <c:strCache>
                <c:ptCount val="9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ago</c:v>
                </c:pt>
                <c:pt idx="5">
                  <c:v>set</c:v>
                </c:pt>
                <c:pt idx="6">
                  <c:v>out</c:v>
                </c:pt>
                <c:pt idx="7">
                  <c:v>nov</c:v>
                </c:pt>
                <c:pt idx="8">
                  <c:v>dez</c:v>
                </c:pt>
              </c:strCache>
            </c:strRef>
          </c:cat>
          <c:val>
            <c:numRef>
              <c:f>'Resumo de Vendas e Custos'!$U$4:$U$12</c:f>
              <c:numCache>
                <c:formatCode>#,##0.00_ ;\-#,##0.00\ </c:formatCode>
                <c:ptCount val="9"/>
                <c:pt idx="0">
                  <c:v>71890.8</c:v>
                </c:pt>
                <c:pt idx="1">
                  <c:v>67980.399999999994</c:v>
                </c:pt>
                <c:pt idx="2">
                  <c:v>29671.400000000005</c:v>
                </c:pt>
                <c:pt idx="3">
                  <c:v>34954.69999999999</c:v>
                </c:pt>
                <c:pt idx="4">
                  <c:v>17750.419999999995</c:v>
                </c:pt>
                <c:pt idx="5">
                  <c:v>29171.660000000007</c:v>
                </c:pt>
                <c:pt idx="6">
                  <c:v>30023.019999999997</c:v>
                </c:pt>
                <c:pt idx="7">
                  <c:v>36772.61</c:v>
                </c:pt>
                <c:pt idx="8">
                  <c:v>41908.479999999996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5-482B-A8BF-D7DF3961A0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0317487"/>
        <c:axId val="773205167"/>
      </c:barChart>
      <c:catAx>
        <c:axId val="63031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3205167"/>
        <c:crosses val="autoZero"/>
        <c:auto val="1"/>
        <c:lblAlgn val="ctr"/>
        <c:lblOffset val="100"/>
        <c:noMultiLvlLbl val="0"/>
      </c:catAx>
      <c:valAx>
        <c:axId val="77320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\-#,##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0317487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[Financial Data Analysis Klabin.xlsx]Resumo de Vendas e Custos!Tabela dinâmica10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Vendas x Produto  </a:t>
            </a:r>
          </a:p>
        </c:rich>
      </c:tx>
      <c:layout>
        <c:manualLayout>
          <c:xMode val="edge"/>
          <c:yMode val="edge"/>
          <c:x val="0.55344839710877081"/>
          <c:y val="2.6933236190282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shade val="65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3.819443400195921E-2"/>
              <c:y val="2.657328833853409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565965505805581"/>
                  <c:h val="7.375269470050963E-2"/>
                </c:manualLayout>
              </c15:layout>
            </c:ext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7.8876837577418184E-3"/>
              <c:y val="0.1385334543680679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>
              <a:tint val="65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7.242041983256238E-2"/>
              <c:y val="5.02438382282409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>
              <a:tint val="65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"/>
        <c:spPr>
          <a:solidFill>
            <a:schemeClr val="accent6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"/>
        <c:spPr>
          <a:solidFill>
            <a:schemeClr val="accent6">
              <a:shade val="65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22015742053830559"/>
          <c:y val="0.19405862571276569"/>
          <c:w val="0.45365070495500814"/>
          <c:h val="0.74134997189093055"/>
        </c:manualLayout>
      </c:layout>
      <c:pieChart>
        <c:varyColors val="1"/>
        <c:ser>
          <c:idx val="0"/>
          <c:order val="0"/>
          <c:tx>
            <c:strRef>
              <c:f>'Resumo de Vendas e Custos'!$X$16</c:f>
              <c:strCache>
                <c:ptCount val="1"/>
                <c:pt idx="0">
                  <c:v>Vendas  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tint val="65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9B6-46F9-9356-558A3CCE0400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A9B6-46F9-9356-558A3CCE0400}"/>
              </c:ext>
            </c:extLst>
          </c:dPt>
          <c:dPt>
            <c:idx val="2"/>
            <c:bubble3D val="0"/>
            <c:spPr>
              <a:solidFill>
                <a:schemeClr val="accent6">
                  <a:shade val="65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9B6-46F9-9356-558A3CCE0400}"/>
              </c:ext>
            </c:extLst>
          </c:dPt>
          <c:dLbls>
            <c:dLbl>
              <c:idx val="0"/>
              <c:layout>
                <c:manualLayout>
                  <c:x val="7.242041983256238E-2"/>
                  <c:y val="5.02438382282409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9B6-46F9-9356-558A3CCE0400}"/>
                </c:ext>
              </c:extLst>
            </c:dLbl>
            <c:dLbl>
              <c:idx val="1"/>
              <c:layout>
                <c:manualLayout>
                  <c:x val="-7.8876837577418184E-3"/>
                  <c:y val="0.13853345436806797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9B6-46F9-9356-558A3CCE0400}"/>
                </c:ext>
              </c:extLst>
            </c:dLbl>
            <c:dLbl>
              <c:idx val="2"/>
              <c:layout>
                <c:manualLayout>
                  <c:x val="-3.819443400195921E-2"/>
                  <c:y val="2.657328833853409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565965505805581"/>
                      <c:h val="7.37526947005096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A9B6-46F9-9356-558A3CCE04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'Resumo de Vendas e Custos'!$W$17:$W$20</c:f>
              <c:strCache>
                <c:ptCount val="3"/>
                <c:pt idx="0">
                  <c:v>Bobina</c:v>
                </c:pt>
                <c:pt idx="1">
                  <c:v>Caixa</c:v>
                </c:pt>
                <c:pt idx="2">
                  <c:v>Celulose</c:v>
                </c:pt>
              </c:strCache>
            </c:strRef>
          </c:cat>
          <c:val>
            <c:numRef>
              <c:f>'Resumo de Vendas e Custos'!$X$17:$X$20</c:f>
              <c:numCache>
                <c:formatCode>#,##0.00_ ;\-#,##0.00\ </c:formatCode>
                <c:ptCount val="3"/>
                <c:pt idx="0">
                  <c:v>222750</c:v>
                </c:pt>
                <c:pt idx="1">
                  <c:v>582420</c:v>
                </c:pt>
                <c:pt idx="2">
                  <c:v>1010550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6-46F9-9356-558A3CCE0400}"/>
            </c:ext>
          </c:extLst>
        </c:ser>
        <c:ser>
          <c:idx val="1"/>
          <c:order val="1"/>
          <c:tx>
            <c:strRef>
              <c:f>'Resumo de Vendas e Custos'!$Y$16</c:f>
              <c:strCache>
                <c:ptCount val="1"/>
                <c:pt idx="0">
                  <c:v>Lucro Líquido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tint val="65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1DB-48A1-B5C8-19D1C66E7F81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1DB-48A1-B5C8-19D1C66E7F81}"/>
              </c:ext>
            </c:extLst>
          </c:dPt>
          <c:dPt>
            <c:idx val="2"/>
            <c:bubble3D val="0"/>
            <c:spPr>
              <a:solidFill>
                <a:schemeClr val="accent6">
                  <a:shade val="65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1DB-48A1-B5C8-19D1C66E7F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'Resumo de Vendas e Custos'!$W$17:$W$20</c:f>
              <c:strCache>
                <c:ptCount val="3"/>
                <c:pt idx="0">
                  <c:v>Bobina</c:v>
                </c:pt>
                <c:pt idx="1">
                  <c:v>Caixa</c:v>
                </c:pt>
                <c:pt idx="2">
                  <c:v>Celulose</c:v>
                </c:pt>
              </c:strCache>
            </c:strRef>
          </c:cat>
          <c:val>
            <c:numRef>
              <c:f>'Resumo de Vendas e Custos'!$Y$17:$Y$20</c:f>
              <c:numCache>
                <c:formatCode>#,##0.00_ ;\-#,##0.00\ </c:formatCode>
                <c:ptCount val="3"/>
                <c:pt idx="0">
                  <c:v>-148.41999999999825</c:v>
                </c:pt>
                <c:pt idx="1">
                  <c:v>-48125.660000000025</c:v>
                </c:pt>
                <c:pt idx="2">
                  <c:v>408397.57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B6-46F9-9356-558A3CCE040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kumimoji="0" lang="en-US" sz="1600" b="1" i="0" u="none" strike="noStrike" kern="1200" cap="none" spc="100" normalizeH="0" baseline="0" noProof="0">
                <a:ln>
                  <a:noFill/>
                </a:ln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uLnTx/>
                <a:uFillTx/>
                <a:latin typeface="Calibri" panose="020F0502020204030204"/>
              </a:rPr>
              <a:t>Custos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'Resumo de Vendas e Custos'!$Q$3</c:f>
              <c:strCache>
                <c:ptCount val="1"/>
                <c:pt idx="0">
                  <c:v>Custos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'Resumo de Vendas e Custos'!$Q$4:$Q$12</c:f>
              <c:numCache>
                <c:formatCode>#,##0.00_ ;\-#,##0.00\ </c:formatCode>
                <c:ptCount val="9"/>
                <c:pt idx="0">
                  <c:v>266000</c:v>
                </c:pt>
                <c:pt idx="1">
                  <c:v>185130</c:v>
                </c:pt>
                <c:pt idx="2">
                  <c:v>64086.599999999991</c:v>
                </c:pt>
                <c:pt idx="3">
                  <c:v>113537.7</c:v>
                </c:pt>
                <c:pt idx="4">
                  <c:v>60021.66</c:v>
                </c:pt>
                <c:pt idx="5">
                  <c:v>58685.739999999991</c:v>
                </c:pt>
                <c:pt idx="6">
                  <c:v>66268.98000000001</c:v>
                </c:pt>
                <c:pt idx="7">
                  <c:v>54270.39</c:v>
                </c:pt>
                <c:pt idx="8">
                  <c:v>86456.72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'Resumo de Vendas e Custos'!$W$4:$W$12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158C-4AC0-BB38-14B6A3147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707311"/>
        <c:axId val="1850079359"/>
      </c:areaChart>
      <c:catAx>
        <c:axId val="2111707311"/>
        <c:scaling>
          <c:orientation val="minMax"/>
        </c:scaling>
        <c:delete val="0"/>
        <c:axPos val="b"/>
        <c:numFmt formatCode="mmm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0079359"/>
        <c:crosses val="autoZero"/>
        <c:auto val="1"/>
        <c:lblAlgn val="ctr"/>
        <c:lblOffset val="100"/>
        <c:noMultiLvlLbl val="1"/>
      </c:catAx>
      <c:valAx>
        <c:axId val="185007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_ ;\-#,##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170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9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109537</xdr:rowOff>
    </xdr:from>
    <xdr:to>
      <xdr:col>7</xdr:col>
      <xdr:colOff>352425</xdr:colOff>
      <xdr:row>14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B6BE185-B9CE-4AF8-B82D-326A30173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433386</xdr:colOff>
      <xdr:row>0</xdr:row>
      <xdr:rowOff>100012</xdr:rowOff>
    </xdr:from>
    <xdr:to>
      <xdr:col>16</xdr:col>
      <xdr:colOff>114299</xdr:colOff>
      <xdr:row>14</xdr:row>
      <xdr:rowOff>176212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2EFFB70-6CB6-45A6-A1A9-E80684022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15</xdr:row>
      <xdr:rowOff>90487</xdr:rowOff>
    </xdr:from>
    <xdr:to>
      <xdr:col>7</xdr:col>
      <xdr:colOff>333375</xdr:colOff>
      <xdr:row>29</xdr:row>
      <xdr:rowOff>166687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03C6A2A-854C-46D4-A62D-C707830F8B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466725</xdr:colOff>
      <xdr:row>15</xdr:row>
      <xdr:rowOff>109537</xdr:rowOff>
    </xdr:from>
    <xdr:to>
      <xdr:col>15</xdr:col>
      <xdr:colOff>161925</xdr:colOff>
      <xdr:row>29</xdr:row>
      <xdr:rowOff>185737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7BE9F4B-E27C-495E-B893-E488490D1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190500</xdr:colOff>
      <xdr:row>0</xdr:row>
      <xdr:rowOff>61912</xdr:rowOff>
    </xdr:from>
    <xdr:to>
      <xdr:col>23</xdr:col>
      <xdr:colOff>495300</xdr:colOff>
      <xdr:row>14</xdr:row>
      <xdr:rowOff>138112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452F64F-89C1-43E3-BF7A-903A090AFB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141410</xdr:colOff>
      <xdr:row>15</xdr:row>
      <xdr:rowOff>53486</xdr:rowOff>
    </xdr:from>
    <xdr:to>
      <xdr:col>23</xdr:col>
      <xdr:colOff>456468</xdr:colOff>
      <xdr:row>29</xdr:row>
      <xdr:rowOff>129686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C81CEED-2BCD-46D3-B34F-8038AFF41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47625</xdr:colOff>
      <xdr:row>0</xdr:row>
      <xdr:rowOff>109537</xdr:rowOff>
    </xdr:from>
    <xdr:to>
      <xdr:col>31</xdr:col>
      <xdr:colOff>352425</xdr:colOff>
      <xdr:row>14</xdr:row>
      <xdr:rowOff>185737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838E535-ECB7-4777-A61C-6514B1A58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1266825</xdr:colOff>
      <xdr:row>4</xdr:row>
      <xdr:rowOff>4429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32F8670-E7AB-495D-B89B-619456B2B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0"/>
          <a:ext cx="1266825" cy="766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66674</xdr:colOff>
      <xdr:row>1</xdr:row>
      <xdr:rowOff>23812</xdr:rowOff>
    </xdr:from>
    <xdr:to>
      <xdr:col>11</xdr:col>
      <xdr:colOff>66675</xdr:colOff>
      <xdr:row>11</xdr:row>
      <xdr:rowOff>171450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29BB172-6B1B-4DA4-B5A2-9BA362BC9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128587</xdr:colOff>
      <xdr:row>1</xdr:row>
      <xdr:rowOff>33339</xdr:rowOff>
    </xdr:from>
    <xdr:to>
      <xdr:col>18</xdr:col>
      <xdr:colOff>433387</xdr:colOff>
      <xdr:row>11</xdr:row>
      <xdr:rowOff>180976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D30A4F4-A671-4669-BC54-3E54B2710C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66674</xdr:colOff>
      <xdr:row>12</xdr:row>
      <xdr:rowOff>19050</xdr:rowOff>
    </xdr:from>
    <xdr:to>
      <xdr:col>18</xdr:col>
      <xdr:colOff>438149</xdr:colOff>
      <xdr:row>30</xdr:row>
      <xdr:rowOff>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1C16F59E-4BBA-423D-B9F4-93DDC0F0A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75139</xdr:colOff>
      <xdr:row>14</xdr:row>
      <xdr:rowOff>70909</xdr:rowOff>
    </xdr:from>
    <xdr:to>
      <xdr:col>4</xdr:col>
      <xdr:colOff>579006</xdr:colOff>
      <xdr:row>20</xdr:row>
      <xdr:rowOff>137584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6" name="Cliente">
              <a:extLst>
                <a:ext uri="{FF2B5EF4-FFF2-40B4-BE49-F238E27FC236}">
                  <a16:creationId xmlns:a16="http://schemas.microsoft.com/office/drawing/2014/main" id="{1B071322-CAB4-48EA-BB44-B7AEB7B71E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139" y="2938992"/>
              <a:ext cx="2959200" cy="1209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77259</xdr:colOff>
      <xdr:row>7</xdr:row>
      <xdr:rowOff>189443</xdr:rowOff>
    </xdr:from>
    <xdr:to>
      <xdr:col>4</xdr:col>
      <xdr:colOff>582084</xdr:colOff>
      <xdr:row>14</xdr:row>
      <xdr:rowOff>46568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7" name="Produto">
              <a:extLst>
                <a:ext uri="{FF2B5EF4-FFF2-40B4-BE49-F238E27FC236}">
                  <a16:creationId xmlns:a16="http://schemas.microsoft.com/office/drawing/2014/main" id="{AA1124DC-3C5E-4529-9034-7DDB23A29C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259" y="1724026"/>
              <a:ext cx="2960158" cy="1190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77259</xdr:colOff>
      <xdr:row>20</xdr:row>
      <xdr:rowOff>148167</xdr:rowOff>
    </xdr:from>
    <xdr:to>
      <xdr:col>4</xdr:col>
      <xdr:colOff>581126</xdr:colOff>
      <xdr:row>30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8" name="Meses">
              <a:extLst>
                <a:ext uri="{FF2B5EF4-FFF2-40B4-BE49-F238E27FC236}">
                  <a16:creationId xmlns:a16="http://schemas.microsoft.com/office/drawing/2014/main" id="{2CEEC6B8-C7BD-48BD-A3EA-7B8803E355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259" y="4159250"/>
              <a:ext cx="2959200" cy="17568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328084</xdr:colOff>
      <xdr:row>0</xdr:row>
      <xdr:rowOff>169334</xdr:rowOff>
    </xdr:from>
    <xdr:to>
      <xdr:col>4</xdr:col>
      <xdr:colOff>113444</xdr:colOff>
      <xdr:row>5</xdr:row>
      <xdr:rowOff>1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E992C887-BDFA-4E2B-B47B-F153C98DA3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1917" y="169334"/>
          <a:ext cx="1626860" cy="98425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andre Lima" refreshedDate="44021.638839236111" createdVersion="6" refreshedVersion="6" minRefreshableVersion="3" recordCount="30" xr:uid="{D1BF0E29-DA85-451D-9EA8-5BC996EE0B83}">
  <cacheSource type="worksheet">
    <worksheetSource ref="A1:M31" sheet="Tab Vendas"/>
  </cacheSource>
  <cacheFields count="14">
    <cacheField name="Data" numFmtId="14">
      <sharedItems containsSemiMixedTypes="0" containsNonDate="0" containsDate="1" containsString="0" minDate="2020-01-10T00:00:00" maxDate="2020-12-11T00:00:00" count="14">
        <d v="2020-01-10T00:00:00"/>
        <d v="2020-01-15T00:00:00"/>
        <d v="2020-01-25T00:00:00"/>
        <d v="2020-02-03T00:00:00"/>
        <d v="2020-02-10T00:00:00"/>
        <d v="2020-02-15T00:00:00"/>
        <d v="2020-03-01T00:00:00"/>
        <d v="2020-04-01T00:00:00"/>
        <d v="2020-04-15T00:00:00"/>
        <d v="2020-08-10T00:00:00"/>
        <d v="2020-09-15T00:00:00"/>
        <d v="2020-10-20T00:00:00"/>
        <d v="2020-11-15T00:00:00"/>
        <d v="2020-12-10T00:00:00"/>
      </sharedItems>
      <fieldGroup par="13" base="0">
        <rangePr groupBy="days" startDate="2020-01-10T00:00:00" endDate="2020-12-11T00:00:00"/>
        <groupItems count="368">
          <s v="&lt;10/01/2020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1/12/2020"/>
        </groupItems>
      </fieldGroup>
    </cacheField>
    <cacheField name="NF" numFmtId="0">
      <sharedItems containsSemiMixedTypes="0" containsString="0" containsNumber="1" containsInteger="1" minValue="10" maxValue="100"/>
    </cacheField>
    <cacheField name="Cliente" numFmtId="0">
      <sharedItems count="5">
        <s v="Cliente &quot;A&quot;"/>
        <s v="Cliente &quot;B&quot;"/>
        <s v="Cliente &quot;C&quot;"/>
        <s v="Cliente &quot;D&quot;"/>
        <s v="Cliente &quot;E&quot;"/>
      </sharedItems>
    </cacheField>
    <cacheField name="Produto" numFmtId="0">
      <sharedItems count="3">
        <s v="Caixa"/>
        <s v="Bobina"/>
        <s v="Celulose"/>
      </sharedItems>
    </cacheField>
    <cacheField name="Qtd" numFmtId="0">
      <sharedItems containsSemiMixedTypes="0" containsString="0" containsNumber="1" containsInteger="1" minValue="30" maxValue="150"/>
    </cacheField>
    <cacheField name="Valor Venda" numFmtId="43">
      <sharedItems containsSemiMixedTypes="0" containsString="0" containsNumber="1" containsInteger="1" minValue="33900" maxValue="98000"/>
    </cacheField>
    <cacheField name="Chave Custo" numFmtId="14">
      <sharedItems/>
    </cacheField>
    <cacheField name="Custo Unitário" numFmtId="43">
      <sharedItems containsSemiMixedTypes="0" containsString="0" containsNumber="1" minValue="400" maxValue="895.18"/>
    </cacheField>
    <cacheField name="Custo Total" numFmtId="43">
      <sharedItems containsSemiMixedTypes="0" containsString="0" containsNumber="1" minValue="16977.599999999999" maxValue="60000"/>
    </cacheField>
    <cacheField name="Impostos" numFmtId="43">
      <sharedItems containsSemiMixedTypes="0" containsString="0" containsNumber="1" minValue="9356.4000000000015" maxValue="27048.000000000004"/>
    </cacheField>
    <cacheField name="Receita Líquida" numFmtId="43">
      <sharedItems containsSemiMixedTypes="0" containsString="0" containsNumber="1" minValue="24543.599999999999" maxValue="70952"/>
    </cacheField>
    <cacheField name="Lucro" numFmtId="43">
      <sharedItems containsSemiMixedTypes="0" containsString="0" containsNumber="1" minValue="5545" maxValue="70311.08"/>
    </cacheField>
    <cacheField name="Lucro Liquido" numFmtId="43">
      <sharedItems containsSemiMixedTypes="0" containsString="0" containsNumber="1" minValue="-7979" maxValue="43263.08"/>
    </cacheField>
    <cacheField name="Meses" numFmtId="0" databaseField="0">
      <fieldGroup base="0">
        <rangePr groupBy="months" startDate="2020-01-10T00:00:00" endDate="2020-12-11T00:00:00"/>
        <groupItems count="14">
          <s v="&lt;10/01/2020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1/12/2020"/>
        </groupItems>
      </fieldGroup>
    </cacheField>
  </cacheFields>
  <extLst>
    <ext xmlns:x14="http://schemas.microsoft.com/office/spreadsheetml/2009/9/main" uri="{725AE2AE-9491-48be-B2B4-4EB974FC3084}">
      <x14:pivotCacheDefinition pivotCacheId="175149751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andre Lima" refreshedDate="44022.027775347226" createdVersion="6" refreshedVersion="6" minRefreshableVersion="3" recordCount="9" xr:uid="{DAC7A4BF-EAFE-4DB4-A59F-C03BF962D963}">
  <cacheSource type="worksheet">
    <worksheetSource ref="AE3:AH12" sheet="Resumo de Vendas e Custos"/>
  </cacheSource>
  <cacheFields count="5">
    <cacheField name="Período" numFmtId="14">
      <sharedItems containsSemiMixedTypes="0" containsNonDate="0" containsDate="1" containsString="0" minDate="2020-01-01T00:00:00" maxDate="2020-12-02T00:00:00" count="9">
        <d v="2020-01-01T00:00:00"/>
        <d v="2020-02-01T00:00:00"/>
        <d v="2020-03-01T00:00:00"/>
        <d v="2020-04-01T00:00:00"/>
        <d v="2020-08-01T00:00:00"/>
        <d v="2020-09-01T00:00:00"/>
        <d v="2020-10-01T00:00:00"/>
        <d v="2020-11-01T00:00:00"/>
        <d v="2020-12-01T00:00:00"/>
      </sharedItems>
      <fieldGroup par="4" base="0">
        <rangePr groupBy="days" startDate="2020-01-01T00:00:00" endDate="2020-12-02T00:00:00"/>
        <groupItems count="368">
          <s v="&lt;01/01/2020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2/12/2020"/>
        </groupItems>
      </fieldGroup>
    </cacheField>
    <cacheField name="Desp. Adm" numFmtId="43">
      <sharedItems containsSemiMixedTypes="0" containsString="0" containsNumber="1" containsInteger="1" minValue="5000" maxValue="9100"/>
    </cacheField>
    <cacheField name="Desp. Vendas" numFmtId="43">
      <sharedItems containsSemiMixedTypes="0" containsString="0" containsNumber="1" containsInteger="1" minValue="2700" maxValue="3200"/>
    </cacheField>
    <cacheField name="Custos" numFmtId="43">
      <sharedItems containsSemiMixedTypes="0" containsString="0" containsNumber="1" minValue="54270.39" maxValue="266000"/>
    </cacheField>
    <cacheField name="Meses" numFmtId="0" databaseField="0">
      <fieldGroup base="0">
        <rangePr groupBy="months" startDate="2020-01-01T00:00:00" endDate="2020-12-02T00:00:00"/>
        <groupItems count="14">
          <s v="&lt;01/01/2020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2/12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n v="10"/>
    <x v="0"/>
    <x v="0"/>
    <n v="100"/>
    <n v="50000"/>
    <s v="43831Caixa"/>
    <n v="400"/>
    <n v="40000"/>
    <n v="13800.000000000002"/>
    <n v="36200"/>
    <n v="10000"/>
    <n v="-3800"/>
  </r>
  <r>
    <x v="0"/>
    <n v="11"/>
    <x v="1"/>
    <x v="1"/>
    <n v="40"/>
    <n v="45200"/>
    <s v="43831Bobina"/>
    <n v="800"/>
    <n v="32000"/>
    <n v="12475.2"/>
    <n v="32724.799999999999"/>
    <n v="13200"/>
    <n v="724.79999999999927"/>
  </r>
  <r>
    <x v="1"/>
    <n v="20"/>
    <x v="2"/>
    <x v="0"/>
    <n v="150"/>
    <n v="75000"/>
    <s v="43831Caixa"/>
    <n v="400"/>
    <n v="60000"/>
    <n v="20700"/>
    <n v="54300"/>
    <n v="15000"/>
    <n v="-5700"/>
  </r>
  <r>
    <x v="2"/>
    <n v="21"/>
    <x v="0"/>
    <x v="0"/>
    <n v="125"/>
    <n v="62500"/>
    <s v="43831Caixa"/>
    <n v="400"/>
    <n v="50000"/>
    <n v="17250"/>
    <n v="45250"/>
    <n v="12500"/>
    <n v="-4750"/>
  </r>
  <r>
    <x v="3"/>
    <n v="25"/>
    <x v="1"/>
    <x v="1"/>
    <n v="30"/>
    <n v="33900"/>
    <s v="43862Bobina"/>
    <n v="816"/>
    <n v="24480"/>
    <n v="9356.4000000000015"/>
    <n v="24543.599999999999"/>
    <n v="9420"/>
    <n v="63.599999999998545"/>
  </r>
  <r>
    <x v="4"/>
    <n v="45"/>
    <x v="2"/>
    <x v="0"/>
    <n v="130"/>
    <n v="66300"/>
    <s v="43862Caixa"/>
    <n v="408"/>
    <n v="53040"/>
    <n v="18298.800000000003"/>
    <n v="48001.2"/>
    <n v="13260"/>
    <n v="-5038.8000000000029"/>
  </r>
  <r>
    <x v="5"/>
    <n v="50"/>
    <x v="2"/>
    <x v="0"/>
    <n v="110"/>
    <n v="56100"/>
    <s v="43862Caixa"/>
    <n v="408"/>
    <n v="44880"/>
    <n v="15483.600000000002"/>
    <n v="40616.399999999994"/>
    <n v="11220"/>
    <n v="-4263.6000000000058"/>
  </r>
  <r>
    <x v="6"/>
    <n v="51"/>
    <x v="0"/>
    <x v="1"/>
    <n v="45"/>
    <n v="49500"/>
    <s v="43891Bobina"/>
    <n v="840.48"/>
    <n v="37821.599999999999"/>
    <n v="13662.000000000002"/>
    <n v="35838"/>
    <n v="11678.400000000001"/>
    <n v="-1983.5999999999985"/>
  </r>
  <r>
    <x v="7"/>
    <n v="60"/>
    <x v="1"/>
    <x v="0"/>
    <n v="90"/>
    <n v="46800"/>
    <s v="43922Caixa"/>
    <n v="424.44"/>
    <n v="38199.599999999999"/>
    <n v="12916.800000000001"/>
    <n v="33883.199999999997"/>
    <n v="8600.4000000000015"/>
    <n v="-4316.4000000000015"/>
  </r>
  <r>
    <x v="8"/>
    <n v="52"/>
    <x v="2"/>
    <x v="0"/>
    <n v="95"/>
    <n v="49400"/>
    <s v="43922Caixa"/>
    <n v="424.44"/>
    <n v="40321.800000000003"/>
    <n v="13634.400000000001"/>
    <n v="35765.599999999999"/>
    <n v="9078.1999999999971"/>
    <n v="-4556.2000000000044"/>
  </r>
  <r>
    <x v="9"/>
    <n v="65"/>
    <x v="2"/>
    <x v="0"/>
    <n v="98"/>
    <n v="48020"/>
    <s v="44044Caixa"/>
    <n v="419.73"/>
    <n v="41133.54"/>
    <n v="13253.52"/>
    <n v="34766.479999999996"/>
    <n v="6886.4599999999991"/>
    <n v="-6367.0600000000049"/>
  </r>
  <r>
    <x v="10"/>
    <n v="90"/>
    <x v="0"/>
    <x v="1"/>
    <n v="42"/>
    <n v="50400"/>
    <s v="44075Bobina"/>
    <n v="852.06"/>
    <n v="35786.519999999997"/>
    <n v="13910.400000000001"/>
    <n v="36489.599999999999"/>
    <n v="14613.480000000003"/>
    <n v="703.08000000000175"/>
  </r>
  <r>
    <x v="11"/>
    <n v="81"/>
    <x v="1"/>
    <x v="0"/>
    <n v="100"/>
    <n v="49000"/>
    <s v="44105Caixa"/>
    <n v="434.55"/>
    <n v="43455"/>
    <n v="13524.000000000002"/>
    <n v="35476"/>
    <n v="5545"/>
    <n v="-7979"/>
  </r>
  <r>
    <x v="12"/>
    <n v="85"/>
    <x v="2"/>
    <x v="1"/>
    <n v="35"/>
    <n v="43750"/>
    <s v="44136Bobina"/>
    <n v="895.18"/>
    <n v="31331.3"/>
    <n v="12075.000000000002"/>
    <n v="31675"/>
    <n v="12418.7"/>
    <n v="343.70000000000073"/>
  </r>
  <r>
    <x v="13"/>
    <n v="100"/>
    <x v="0"/>
    <x v="0"/>
    <n v="130"/>
    <n v="79300"/>
    <s v="44166Caixa"/>
    <n v="452.06"/>
    <n v="58767.8"/>
    <n v="21886.800000000003"/>
    <n v="57413.2"/>
    <n v="20532.199999999997"/>
    <n v="-1354.6000000000058"/>
  </r>
  <r>
    <x v="0"/>
    <n v="10"/>
    <x v="3"/>
    <x v="2"/>
    <n v="45"/>
    <n v="49500"/>
    <s v="43831Celulose"/>
    <n v="500"/>
    <n v="22500"/>
    <n v="13662.000000000002"/>
    <n v="35838"/>
    <n v="27000"/>
    <n v="13338"/>
  </r>
  <r>
    <x v="0"/>
    <n v="11"/>
    <x v="4"/>
    <x v="2"/>
    <n v="42"/>
    <n v="63000"/>
    <s v="43831Celulose"/>
    <n v="500"/>
    <n v="21000"/>
    <n v="17388"/>
    <n v="45612"/>
    <n v="42000"/>
    <n v="24612"/>
  </r>
  <r>
    <x v="1"/>
    <n v="20"/>
    <x v="3"/>
    <x v="2"/>
    <n v="41"/>
    <n v="61500"/>
    <s v="43831Celulose"/>
    <n v="500"/>
    <n v="20500"/>
    <n v="16974"/>
    <n v="44526"/>
    <n v="41000"/>
    <n v="24026"/>
  </r>
  <r>
    <x v="2"/>
    <n v="21"/>
    <x v="4"/>
    <x v="2"/>
    <n v="40"/>
    <n v="60000"/>
    <s v="43831Celulose"/>
    <n v="500"/>
    <n v="20000"/>
    <n v="16560"/>
    <n v="43440"/>
    <n v="40000"/>
    <n v="23440"/>
  </r>
  <r>
    <x v="3"/>
    <n v="25"/>
    <x v="4"/>
    <x v="2"/>
    <n v="35"/>
    <n v="52500"/>
    <s v="43862Celulose"/>
    <n v="510"/>
    <n v="17850"/>
    <n v="14490.000000000002"/>
    <n v="38010"/>
    <n v="34650"/>
    <n v="20160"/>
  </r>
  <r>
    <x v="4"/>
    <n v="45"/>
    <x v="3"/>
    <x v="2"/>
    <n v="43"/>
    <n v="68800"/>
    <s v="43862Celulose"/>
    <n v="510"/>
    <n v="21930"/>
    <n v="18988.800000000003"/>
    <n v="49811.199999999997"/>
    <n v="46870"/>
    <n v="27881.199999999997"/>
  </r>
  <r>
    <x v="5"/>
    <n v="50"/>
    <x v="4"/>
    <x v="2"/>
    <n v="45"/>
    <n v="72000"/>
    <s v="43862Celulose"/>
    <n v="510"/>
    <n v="22950"/>
    <n v="19872"/>
    <n v="52128"/>
    <n v="49050"/>
    <n v="29178"/>
  </r>
  <r>
    <x v="6"/>
    <n v="51"/>
    <x v="4"/>
    <x v="2"/>
    <n v="50"/>
    <n v="80000"/>
    <s v="43891Celulose"/>
    <n v="525.29999999999995"/>
    <n v="26264.999999999996"/>
    <n v="22080.000000000004"/>
    <n v="57920"/>
    <n v="53735"/>
    <n v="31655.000000000004"/>
  </r>
  <r>
    <x v="7"/>
    <n v="60"/>
    <x v="3"/>
    <x v="2"/>
    <n v="32"/>
    <n v="52800"/>
    <s v="43922Celulose"/>
    <n v="530.54999999999995"/>
    <n v="16977.599999999999"/>
    <n v="14572.800000000001"/>
    <n v="38227.199999999997"/>
    <n v="35822.400000000001"/>
    <n v="21249.599999999999"/>
  </r>
  <r>
    <x v="8"/>
    <n v="52"/>
    <x v="4"/>
    <x v="2"/>
    <n v="34"/>
    <n v="56100"/>
    <s v="43922Celulose"/>
    <n v="530.54999999999995"/>
    <n v="18038.699999999997"/>
    <n v="15483.600000000002"/>
    <n v="40616.399999999994"/>
    <n v="38061.300000000003"/>
    <n v="22577.699999999997"/>
  </r>
  <r>
    <x v="9"/>
    <n v="65"/>
    <x v="4"/>
    <x v="2"/>
    <n v="36"/>
    <n v="59400"/>
    <s v="44044Celulose"/>
    <n v="524.66999999999996"/>
    <n v="18888.12"/>
    <n v="16394.400000000001"/>
    <n v="43005.599999999999"/>
    <n v="40511.880000000005"/>
    <n v="24117.48"/>
  </r>
  <r>
    <x v="10"/>
    <n v="90"/>
    <x v="4"/>
    <x v="2"/>
    <n v="43"/>
    <n v="70950"/>
    <s v="44075Celulose"/>
    <n v="532.54"/>
    <n v="22899.219999999998"/>
    <n v="19582.2"/>
    <n v="51367.8"/>
    <n v="48050.78"/>
    <n v="28468.580000000005"/>
  </r>
  <r>
    <x v="11"/>
    <n v="81"/>
    <x v="3"/>
    <x v="2"/>
    <n v="42"/>
    <n v="84000"/>
    <s v="44105Celulose"/>
    <n v="543.19000000000005"/>
    <n v="22813.980000000003"/>
    <n v="23184.000000000004"/>
    <n v="60816"/>
    <n v="61186.02"/>
    <n v="38002.019999999997"/>
  </r>
  <r>
    <x v="12"/>
    <n v="85"/>
    <x v="4"/>
    <x v="2"/>
    <n v="41"/>
    <n v="82000"/>
    <s v="44136Celulose"/>
    <n v="559.49"/>
    <n v="22939.09"/>
    <n v="22632.000000000004"/>
    <n v="59368"/>
    <n v="59060.91"/>
    <n v="36428.910000000003"/>
  </r>
  <r>
    <x v="13"/>
    <n v="100"/>
    <x v="4"/>
    <x v="2"/>
    <n v="49"/>
    <n v="98000"/>
    <s v="44166Celulose"/>
    <n v="565.08000000000004"/>
    <n v="27688.920000000002"/>
    <n v="27048.000000000004"/>
    <n v="70952"/>
    <n v="70311.08"/>
    <n v="43263.0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n v="8000"/>
    <n v="3000"/>
    <n v="266000"/>
  </r>
  <r>
    <x v="1"/>
    <n v="7800"/>
    <n v="3100"/>
    <n v="185130"/>
  </r>
  <r>
    <x v="2"/>
    <n v="9000"/>
    <n v="3200"/>
    <n v="64086.599999999991"/>
  </r>
  <r>
    <x v="3"/>
    <n v="9100"/>
    <n v="3150"/>
    <n v="113537.7"/>
  </r>
  <r>
    <x v="4"/>
    <n v="5000"/>
    <n v="2800"/>
    <n v="60021.66"/>
  </r>
  <r>
    <x v="5"/>
    <n v="7500"/>
    <n v="2950"/>
    <n v="58685.739999999991"/>
  </r>
  <r>
    <x v="6"/>
    <n v="8000"/>
    <n v="2900"/>
    <n v="66268.98000000001"/>
  </r>
  <r>
    <x v="7"/>
    <n v="8300"/>
    <n v="2850"/>
    <n v="54270.39"/>
  </r>
  <r>
    <x v="8"/>
    <n v="8500"/>
    <n v="2700"/>
    <n v="86456.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50457C-6B98-4EEF-9E9E-521E22BD0C14}" name="Tabela dinâmica9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Produtos/Meses" colHeaderCaption=" ">
  <location ref="B10:L15" firstHeaderRow="1" firstDataRow="2" firstDataCol="1"/>
  <pivotFields count="14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6">
        <item x="0"/>
        <item x="1"/>
        <item x="2"/>
        <item x="3"/>
        <item x="4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numFmtId="43" showAll="0"/>
    <pivotField showAll="0"/>
    <pivotField numFmtId="43" showAll="0"/>
    <pivotField dataField="1" numFmtId="43" showAll="0"/>
    <pivotField numFmtId="43" showAll="0"/>
    <pivotField numFmtId="43" showAll="0"/>
    <pivotField numFmtId="43" showAll="0"/>
    <pivotField numFmtId="43" showAll="0"/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13"/>
  </colFields>
  <colItems count="10">
    <i>
      <x v="1"/>
    </i>
    <i>
      <x v="2"/>
    </i>
    <i>
      <x v="3"/>
    </i>
    <i>
      <x v="4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Resumo de Custos" fld="8" baseField="3" baseItem="1" numFmtId="44"/>
  </dataFields>
  <formats count="5">
    <format dxfId="4">
      <pivotArea dataOnly="0" labelOnly="1" fieldPosition="0">
        <references count="1">
          <reference field="13" count="9">
            <x v="1"/>
            <x v="2"/>
            <x v="3"/>
            <x v="4"/>
            <x v="8"/>
            <x v="9"/>
            <x v="10"/>
            <x v="11"/>
            <x v="12"/>
          </reference>
        </references>
      </pivotArea>
    </format>
    <format dxfId="3">
      <pivotArea dataOnly="0" labelOnly="1" grandCol="1" outline="0" fieldPosition="0"/>
    </format>
    <format dxfId="2">
      <pivotArea field="3" type="button" dataOnly="0" labelOnly="1" outline="0" axis="axisRow" fieldPosition="0"/>
    </format>
    <format dxfId="1">
      <pivotArea dataOnly="0" labelOnly="1" fieldPosition="0">
        <references count="1">
          <reference field="13" count="9">
            <x v="1"/>
            <x v="2"/>
            <x v="3"/>
            <x v="4"/>
            <x v="8"/>
            <x v="9"/>
            <x v="10"/>
            <x v="11"/>
            <x v="12"/>
          </reference>
        </references>
      </pivotArea>
    </format>
    <format dxfId="0">
      <pivotArea dataOnly="0" labelOnly="1" grandCol="1" outline="0" fieldPosition="0"/>
    </format>
  </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9D6C9C-4F32-4B5B-B336-15E98BB6FBBD}" name="Tabela dinâmica10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7">
  <location ref="W16:Y20" firstHeaderRow="0" firstDataRow="1" firstDataCol="1"/>
  <pivotFields count="14">
    <pivotField numFmtId="14"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dataField="1" numFmtId="43" showAll="0"/>
    <pivotField showAll="0"/>
    <pivotField numFmtId="43" showAll="0"/>
    <pivotField numFmtId="43" showAll="0"/>
    <pivotField numFmtId="43" showAll="0"/>
    <pivotField numFmtId="43" showAll="0"/>
    <pivotField numFmtId="43" showAll="0"/>
    <pivotField dataField="1" numFmtId="43"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Vendas  " fld="5" baseField="3" baseItem="0" numFmtId="166"/>
    <dataField name="Lucro Líquido" fld="12" baseField="3" baseItem="1" numFmtId="166"/>
  </dataFields>
  <chartFormats count="2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0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0" format="8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10" format="9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10" format="10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</chart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676331-70F9-474F-8158-1FAA7F33204F}" name="Tabela dinâmica8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Resumo ">
  <location ref="O16:U43" firstHeaderRow="0" firstDataRow="1" firstDataCol="1"/>
  <pivotFields count="14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6">
        <item x="0"/>
        <item x="1"/>
        <item x="2"/>
        <item x="3"/>
        <item x="4"/>
        <item t="default"/>
      </items>
    </pivotField>
    <pivotField axis="axisRow" showAll="0" insertBlankRow="1">
      <items count="4">
        <item x="1"/>
        <item x="0"/>
        <item x="2"/>
        <item t="default"/>
      </items>
    </pivotField>
    <pivotField showAll="0"/>
    <pivotField dataField="1" numFmtId="43" showAll="0"/>
    <pivotField showAll="0"/>
    <pivotField numFmtId="43" showAll="0"/>
    <pivotField dataField="1" numFmtId="43" showAll="0"/>
    <pivotField dataField="1" numFmtId="43" showAll="0"/>
    <pivotField dataField="1" numFmtId="43" showAll="0"/>
    <pivotField dataField="1" numFmtId="43" showAll="0"/>
    <pivotField dataField="1" numFmtId="43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3"/>
    <field x="13"/>
    <field x="0"/>
  </rowFields>
  <rowItems count="27">
    <i>
      <x/>
    </i>
    <i r="1">
      <x v="1"/>
    </i>
    <i r="1">
      <x v="2"/>
    </i>
    <i r="1">
      <x v="3"/>
    </i>
    <i r="1">
      <x v="9"/>
    </i>
    <i r="1">
      <x v="11"/>
    </i>
    <i t="blank">
      <x/>
    </i>
    <i>
      <x v="1"/>
    </i>
    <i r="1">
      <x v="1"/>
    </i>
    <i r="1">
      <x v="2"/>
    </i>
    <i r="1">
      <x v="4"/>
    </i>
    <i r="1">
      <x v="8"/>
    </i>
    <i r="1">
      <x v="10"/>
    </i>
    <i r="1">
      <x v="12"/>
    </i>
    <i t="blank">
      <x v="1"/>
    </i>
    <i>
      <x v="2"/>
    </i>
    <i r="1">
      <x v="1"/>
    </i>
    <i r="1">
      <x v="2"/>
    </i>
    <i r="1">
      <x v="3"/>
    </i>
    <i r="1">
      <x v="4"/>
    </i>
    <i r="1">
      <x v="8"/>
    </i>
    <i r="1">
      <x v="9"/>
    </i>
    <i r="1">
      <x v="10"/>
    </i>
    <i r="1">
      <x v="11"/>
    </i>
    <i r="1">
      <x v="12"/>
    </i>
    <i t="blank"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Vendas" fld="5" baseField="3" baseItem="0" numFmtId="44"/>
    <dataField name="Custos" fld="8" baseField="11" baseItem="1" numFmtId="44"/>
    <dataField name="Impostos s/ Venda " fld="9" baseField="3" baseItem="0" numFmtId="44"/>
    <dataField name="Receita Líquida  " fld="10" baseField="13" baseItem="1" numFmtId="44"/>
    <dataField name="Lucro " fld="11" baseField="11" baseItem="1" numFmtId="44"/>
    <dataField name="Lucro Liquido " fld="12" baseField="11" baseItem="2" numFmtId="44"/>
  </dataField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B40673-C84E-4E3B-A30C-018432653F64}" name="Tabela dinâmica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9" rowHeaderCaption="Resumo ">
  <location ref="O3:U13" firstHeaderRow="0" firstDataRow="1" firstDataCol="1"/>
  <pivotFields count="14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6">
        <item x="0"/>
        <item x="1"/>
        <item x="2"/>
        <item x="3"/>
        <item x="4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dataField="1" numFmtId="43" showAll="0"/>
    <pivotField showAll="0"/>
    <pivotField numFmtId="43" showAll="0"/>
    <pivotField dataField="1" numFmtId="43" showAll="0"/>
    <pivotField dataField="1" numFmtId="43" showAll="0"/>
    <pivotField dataField="1" numFmtId="43" showAll="0"/>
    <pivotField dataField="1" numFmtId="43" showAll="0"/>
    <pivotField dataField="1" numFmtId="43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13"/>
    <field x="0"/>
    <field x="3"/>
  </rowFields>
  <rowItems count="10">
    <i>
      <x v="1"/>
    </i>
    <i>
      <x v="2"/>
    </i>
    <i>
      <x v="3"/>
    </i>
    <i>
      <x v="4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Vendas" fld="5" baseField="13" baseItem="1" numFmtId="166"/>
    <dataField name="Custos" fld="8" baseField="13" baseItem="1" numFmtId="166"/>
    <dataField name="Impostos s/ Venda" fld="9" baseField="13" baseItem="2" numFmtId="166"/>
    <dataField name="Receita Líquida " fld="10" baseField="13" baseItem="3" numFmtId="166"/>
    <dataField name="Lucro " fld="11" baseField="13" baseItem="2" numFmtId="166"/>
    <dataField name="Lucro Liquido " fld="12" baseField="13" baseItem="3" numFmtId="166"/>
  </dataField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847A0D-AC0A-4E1D-8E88-745D0B80988D}" name="Tabela dinâ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Produtos/Meses " colHeaderCaption=" ">
  <location ref="B3:L8" firstHeaderRow="1" firstDataRow="2" firstDataCol="1"/>
  <pivotFields count="14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6">
        <item x="0"/>
        <item x="1"/>
        <item x="2"/>
        <item x="3"/>
        <item x="4"/>
        <item t="default"/>
      </items>
    </pivotField>
    <pivotField axis="axisRow" showAll="0" insertBlankRow="1">
      <items count="4">
        <item x="1"/>
        <item x="0"/>
        <item x="2"/>
        <item t="default"/>
      </items>
    </pivotField>
    <pivotField showAll="0"/>
    <pivotField dataField="1" numFmtId="43" showAll="0"/>
    <pivotField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13"/>
  </colFields>
  <colItems count="10">
    <i>
      <x v="1"/>
    </i>
    <i>
      <x v="2"/>
    </i>
    <i>
      <x v="3"/>
    </i>
    <i>
      <x v="4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Resumo de Vendas" fld="5" baseField="3" baseItem="1" numFmtId="44"/>
  </dataFields>
  <formats count="5">
    <format dxfId="9">
      <pivotArea dataOnly="0" labelOnly="1" fieldPosition="0">
        <references count="1">
          <reference field="13" count="9">
            <x v="1"/>
            <x v="2"/>
            <x v="3"/>
            <x v="4"/>
            <x v="8"/>
            <x v="9"/>
            <x v="10"/>
            <x v="11"/>
            <x v="12"/>
          </reference>
        </references>
      </pivotArea>
    </format>
    <format dxfId="8">
      <pivotArea dataOnly="0" labelOnly="1" grandCol="1" outline="0" fieldPosition="0"/>
    </format>
    <format dxfId="7">
      <pivotArea field="3" type="button" dataOnly="0" labelOnly="1" outline="0" axis="axisRow" fieldPosition="0"/>
    </format>
    <format dxfId="6">
      <pivotArea dataOnly="0" labelOnly="1" fieldPosition="0">
        <references count="1">
          <reference field="13" count="9">
            <x v="1"/>
            <x v="2"/>
            <x v="3"/>
            <x v="4"/>
            <x v="8"/>
            <x v="9"/>
            <x v="10"/>
            <x v="11"/>
            <x v="12"/>
          </reference>
        </references>
      </pivotArea>
    </format>
    <format dxfId="5">
      <pivotArea dataOnly="0" labelOnly="1" grandCol="1" outline="0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6D6C7E-ED2B-4D25-9606-AD9EC1B7F5ED}" name="Tabela dinâmica6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 rowHeaderCaption="Período ">
  <location ref="AF28:AG29" firstHeaderRow="0" firstDataRow="1" firstDataCol="0"/>
  <pivotFields count="5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numFmtId="43" showAll="0"/>
    <pivotField dataField="1" numFmtId="43" showAll="0"/>
    <pivotField numFmtId="43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Desp. Adm " fld="1" baseField="0" baseItem="1" numFmtId="4"/>
    <dataField name="Desp. Vendas " fld="2" baseField="0" baseItem="1" numFmtId="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9D18C8-C63C-46AE-B5AA-FF1D34E3DB83}" name="Tabela dinâmica5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 rowHeaderCaption="Período ">
  <location ref="AE16:AH26" firstHeaderRow="0" firstDataRow="1" firstDataCol="1"/>
  <pivotFields count="5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numFmtId="43" showAll="0"/>
    <pivotField dataField="1" numFmtId="43" showAll="0"/>
    <pivotField dataField="1" numFmtId="43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10">
    <i>
      <x v="1"/>
    </i>
    <i>
      <x v="2"/>
    </i>
    <i>
      <x v="3"/>
    </i>
    <i>
      <x v="4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Desp. Adm " fld="1" baseField="0" baseItem="1" numFmtId="4"/>
    <dataField name="Desp. Vendas " fld="2" baseField="0" baseItem="1" numFmtId="4"/>
    <dataField name="Custos " fld="3" baseField="0" baseItem="2" numFmtId="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292E9A-6CA9-4661-8F0A-D3079594B951}" name="Tabela dinâmica1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7">
  <location ref="W22:Y28" firstHeaderRow="0" firstDataRow="1" firstDataCol="1"/>
  <pivotFields count="14">
    <pivotField numFmtId="14"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dataField="1" numFmtId="43" showAll="0"/>
    <pivotField showAll="0"/>
    <pivotField numFmtId="43" showAll="0"/>
    <pivotField numFmtId="43" showAll="0"/>
    <pivotField numFmtId="43" showAll="0"/>
    <pivotField numFmtId="43" showAll="0"/>
    <pivotField numFmtId="43" showAll="0"/>
    <pivotField dataField="1" numFmtId="43"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Vendas  " fld="5" baseField="2" baseItem="1" numFmtId="166"/>
    <dataField name="Lucro Líquido" fld="12" baseField="2" baseItem="1" numFmtId="166"/>
  </dataFields>
  <chartFormats count="2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liente" xr10:uid="{6EBEF44D-455B-4FD1-95DB-70AE8F8A813E}" sourceName="Cliente">
  <pivotTables>
    <pivotTable tabId="14" name="Tabela dinâmica10"/>
    <pivotTable tabId="14" name="Tabela dinâmica3"/>
    <pivotTable tabId="14" name="Tabela dinâmica4"/>
    <pivotTable tabId="14" name="Tabela dinâmica8"/>
    <pivotTable tabId="14" name="Tabela dinâmica9"/>
    <pivotTable tabId="14" name="Tabela dinâmica13"/>
  </pivotTables>
  <data>
    <tabular pivotCacheId="1751497512">
      <items count="5">
        <i x="0" s="1"/>
        <i x="1" s="1"/>
        <i x="2" s="1"/>
        <i x="3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" xr10:uid="{F08A021D-511F-4484-B909-F29C7F9BB674}" sourceName="Produto">
  <pivotTables>
    <pivotTable tabId="14" name="Tabela dinâmica10"/>
    <pivotTable tabId="14" name="Tabela dinâmica3"/>
    <pivotTable tabId="14" name="Tabela dinâmica4"/>
    <pivotTable tabId="14" name="Tabela dinâmica8"/>
    <pivotTable tabId="14" name="Tabela dinâmica9"/>
    <pivotTable tabId="14" name="Tabela dinâmica13"/>
  </pivotTables>
  <data>
    <tabular pivotCacheId="1751497512">
      <items count="3">
        <i x="1" s="1"/>
        <i x="0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eses" xr10:uid="{01FE9477-96D4-4D2E-A8A3-EC90AA6E44D9}" sourceName="Meses">
  <pivotTables>
    <pivotTable tabId="14" name="Tabela dinâmica10"/>
    <pivotTable tabId="14" name="Tabela dinâmica3"/>
    <pivotTable tabId="14" name="Tabela dinâmica4"/>
    <pivotTable tabId="14" name="Tabela dinâmica8"/>
    <pivotTable tabId="14" name="Tabela dinâmica9"/>
    <pivotTable tabId="14" name="Tabela dinâmica13"/>
  </pivotTables>
  <data>
    <tabular pivotCacheId="1751497512">
      <items count="14">
        <i x="1" s="1"/>
        <i x="2" s="1"/>
        <i x="3" s="1"/>
        <i x="4" s="1"/>
        <i x="8" s="1"/>
        <i x="9" s="1"/>
        <i x="10" s="1"/>
        <i x="11" s="1"/>
        <i x="12" s="1"/>
        <i x="5" s="1" nd="1"/>
        <i x="6" s="1" nd="1"/>
        <i x="7" s="1" nd="1"/>
        <i x="0" s="1" nd="1"/>
        <i x="13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liente" xr10:uid="{710F001B-B840-4718-A466-4FA541FC7D64}" cache="SegmentaçãodeDados_Cliente" caption="Cliente" columnCount="2" rowHeight="241300"/>
  <slicer name="Produto" xr10:uid="{E0E91F8D-2F97-4F24-8631-7A3ACDCB270F}" cache="SegmentaçãodeDados_Produto" caption="Produto" rowHeight="241300"/>
  <slicer name="Meses" xr10:uid="{ACCC2AE4-912E-4F65-9E80-2546C531FEB9}" cache="SegmentaçãodeDados_Meses" caption="Meses" columnCount="3" rowHeight="241300"/>
</slicers>
</file>

<file path=xl/theme/theme1.xml><?xml version="1.0" encoding="utf-8"?>
<a:theme xmlns:a="http://schemas.openxmlformats.org/drawingml/2006/main" name="Tema do Office">
  <a:themeElements>
    <a:clrScheme name="Personalizada 4">
      <a:dk1>
        <a:sysClr val="windowText" lastClr="000000"/>
      </a:dk1>
      <a:lt1>
        <a:sysClr val="window" lastClr="FFFFFF"/>
      </a:lt1>
      <a:dk2>
        <a:srgbClr val="00933A"/>
      </a:dk2>
      <a:lt2>
        <a:srgbClr val="E7E6E6"/>
      </a:lt2>
      <a:accent1>
        <a:srgbClr val="009946"/>
      </a:accent1>
      <a:accent2>
        <a:srgbClr val="A8D08D"/>
      </a:accent2>
      <a:accent3>
        <a:srgbClr val="A5A5A5"/>
      </a:accent3>
      <a:accent4>
        <a:srgbClr val="00B050"/>
      </a:accent4>
      <a:accent5>
        <a:srgbClr val="00933A"/>
      </a:accent5>
      <a:accent6>
        <a:srgbClr val="70AD47"/>
      </a:accent6>
      <a:hlink>
        <a:srgbClr val="00933A"/>
      </a:hlink>
      <a:folHlink>
        <a:srgbClr val="00933A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24"/>
  <sheetViews>
    <sheetView showGridLines="0" tabSelected="1" zoomScale="90" zoomScaleNormal="90" workbookViewId="0">
      <selection activeCell="G5" sqref="G5"/>
    </sheetView>
  </sheetViews>
  <sheetFormatPr defaultRowHeight="15" x14ac:dyDescent="0.25"/>
  <cols>
    <col min="1" max="1" width="2.85546875" customWidth="1"/>
    <col min="2" max="2" width="82.7109375" style="18" customWidth="1"/>
  </cols>
  <sheetData>
    <row r="2" spans="2:2" x14ac:dyDescent="0.25">
      <c r="B2" s="19" t="s">
        <v>22</v>
      </c>
    </row>
    <row r="4" spans="2:2" x14ac:dyDescent="0.25">
      <c r="B4" s="19" t="s">
        <v>23</v>
      </c>
    </row>
    <row r="5" spans="2:2" ht="30" x14ac:dyDescent="0.25">
      <c r="B5" s="18" t="s">
        <v>24</v>
      </c>
    </row>
    <row r="7" spans="2:2" x14ac:dyDescent="0.25">
      <c r="B7" s="19" t="s">
        <v>28</v>
      </c>
    </row>
    <row r="8" spans="2:2" x14ac:dyDescent="0.25">
      <c r="B8" s="18" t="s">
        <v>25</v>
      </c>
    </row>
    <row r="9" spans="2:2" x14ac:dyDescent="0.25">
      <c r="B9" s="20" t="s">
        <v>26</v>
      </c>
    </row>
    <row r="10" spans="2:2" x14ac:dyDescent="0.25">
      <c r="B10" s="20" t="s">
        <v>27</v>
      </c>
    </row>
    <row r="11" spans="2:2" x14ac:dyDescent="0.25">
      <c r="B11" s="20" t="s">
        <v>29</v>
      </c>
    </row>
    <row r="13" spans="2:2" x14ac:dyDescent="0.25">
      <c r="B13" s="19" t="s">
        <v>31</v>
      </c>
    </row>
    <row r="14" spans="2:2" x14ac:dyDescent="0.25">
      <c r="B14" s="18" t="s">
        <v>25</v>
      </c>
    </row>
    <row r="15" spans="2:2" x14ac:dyDescent="0.25">
      <c r="B15" s="20" t="s">
        <v>26</v>
      </c>
    </row>
    <row r="16" spans="2:2" x14ac:dyDescent="0.25">
      <c r="B16" s="20" t="s">
        <v>27</v>
      </c>
    </row>
    <row r="17" spans="2:2" x14ac:dyDescent="0.25">
      <c r="B17" s="20" t="s">
        <v>30</v>
      </c>
    </row>
    <row r="19" spans="2:2" x14ac:dyDescent="0.25">
      <c r="B19" s="19" t="s">
        <v>33</v>
      </c>
    </row>
    <row r="20" spans="2:2" ht="18" customHeight="1" x14ac:dyDescent="0.25">
      <c r="B20" s="18" t="s">
        <v>35</v>
      </c>
    </row>
    <row r="21" spans="2:2" ht="16.5" customHeight="1" x14ac:dyDescent="0.25">
      <c r="B21" s="20" t="s">
        <v>32</v>
      </c>
    </row>
    <row r="23" spans="2:2" x14ac:dyDescent="0.25">
      <c r="B23" s="19" t="s">
        <v>34</v>
      </c>
    </row>
    <row r="24" spans="2:2" ht="30" x14ac:dyDescent="0.25">
      <c r="B24" s="21" t="s">
        <v>36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"/>
  <sheetViews>
    <sheetView topLeftCell="A4" workbookViewId="0">
      <selection activeCell="D31" sqref="D31:D32"/>
    </sheetView>
  </sheetViews>
  <sheetFormatPr defaultRowHeight="15" x14ac:dyDescent="0.25"/>
  <cols>
    <col min="1" max="1" width="22" bestFit="1" customWidth="1"/>
    <col min="2" max="2" width="11.5703125" bestFit="1" customWidth="1"/>
    <col min="3" max="10" width="10.7109375" bestFit="1" customWidth="1"/>
    <col min="11" max="11" width="10.5703125" bestFit="1" customWidth="1"/>
  </cols>
  <sheetData>
    <row r="1" spans="1:11" x14ac:dyDescent="0.25">
      <c r="B1" s="15">
        <v>43831</v>
      </c>
      <c r="C1" s="15">
        <v>43862</v>
      </c>
      <c r="D1" s="15">
        <v>43891</v>
      </c>
      <c r="E1" s="15">
        <v>43922</v>
      </c>
      <c r="F1" s="15">
        <v>44044</v>
      </c>
      <c r="G1" s="15">
        <v>44075</v>
      </c>
      <c r="H1" s="15">
        <v>44105</v>
      </c>
      <c r="I1" s="15">
        <v>44136</v>
      </c>
      <c r="J1" s="15">
        <v>44166</v>
      </c>
      <c r="K1" s="3" t="s">
        <v>20</v>
      </c>
    </row>
    <row r="2" spans="1:11" x14ac:dyDescent="0.25">
      <c r="A2" s="14" t="s">
        <v>18</v>
      </c>
      <c r="B2" s="2">
        <v>8000</v>
      </c>
      <c r="C2" s="2">
        <v>7800</v>
      </c>
      <c r="D2" s="2">
        <v>9000</v>
      </c>
      <c r="E2" s="2">
        <v>9100</v>
      </c>
      <c r="F2" s="2">
        <v>5000</v>
      </c>
      <c r="G2" s="2">
        <v>7500</v>
      </c>
      <c r="H2" s="2">
        <v>8000</v>
      </c>
      <c r="I2" s="2">
        <v>8300</v>
      </c>
      <c r="J2" s="2">
        <v>8500</v>
      </c>
      <c r="K2" s="16">
        <f>SUM(B2:J2)</f>
        <v>71200</v>
      </c>
    </row>
    <row r="3" spans="1:11" x14ac:dyDescent="0.25">
      <c r="A3" s="14" t="s">
        <v>19</v>
      </c>
      <c r="B3" s="2">
        <v>3000</v>
      </c>
      <c r="C3" s="2">
        <v>3100</v>
      </c>
      <c r="D3" s="2">
        <v>3200</v>
      </c>
      <c r="E3" s="2">
        <v>3150</v>
      </c>
      <c r="F3" s="2">
        <v>2800</v>
      </c>
      <c r="G3" s="2">
        <v>2950</v>
      </c>
      <c r="H3" s="2">
        <v>2900</v>
      </c>
      <c r="I3" s="2">
        <v>2850</v>
      </c>
      <c r="J3" s="2">
        <v>2700</v>
      </c>
      <c r="K3" s="16">
        <f>SUM(B3:J3)</f>
        <v>26650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"/>
  <sheetViews>
    <sheetView workbookViewId="0">
      <selection activeCell="C23" sqref="C23"/>
    </sheetView>
  </sheetViews>
  <sheetFormatPr defaultRowHeight="15" x14ac:dyDescent="0.25"/>
  <cols>
    <col min="1" max="1" width="23" bestFit="1" customWidth="1"/>
  </cols>
  <sheetData>
    <row r="1" spans="1:2" x14ac:dyDescent="0.25">
      <c r="A1" s="14" t="s">
        <v>21</v>
      </c>
      <c r="B1" s="17">
        <v>0.27600000000000002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7"/>
  <sheetViews>
    <sheetView workbookViewId="0">
      <selection activeCell="D2" sqref="D2"/>
    </sheetView>
  </sheetViews>
  <sheetFormatPr defaultRowHeight="15" x14ac:dyDescent="0.25"/>
  <cols>
    <col min="1" max="1" width="15" bestFit="1" customWidth="1"/>
    <col min="2" max="2" width="12.7109375" bestFit="1" customWidth="1"/>
    <col min="3" max="3" width="13.85546875" style="8" bestFit="1" customWidth="1"/>
    <col min="4" max="4" width="19.85546875" bestFit="1" customWidth="1"/>
  </cols>
  <sheetData>
    <row r="1" spans="1:4" s="3" customFormat="1" x14ac:dyDescent="0.25">
      <c r="A1" s="4" t="s">
        <v>16</v>
      </c>
      <c r="B1" s="4" t="s">
        <v>2</v>
      </c>
      <c r="C1" s="7" t="s">
        <v>17</v>
      </c>
      <c r="D1" s="5" t="s">
        <v>14</v>
      </c>
    </row>
    <row r="2" spans="1:4" x14ac:dyDescent="0.25">
      <c r="A2" s="1">
        <v>43831</v>
      </c>
      <c r="B2" t="s">
        <v>8</v>
      </c>
      <c r="C2" s="8" t="str">
        <f>A2&amp;B2</f>
        <v>43831Caixa</v>
      </c>
      <c r="D2" s="6">
        <v>400</v>
      </c>
    </row>
    <row r="3" spans="1:4" x14ac:dyDescent="0.25">
      <c r="A3" s="1">
        <v>43831</v>
      </c>
      <c r="B3" t="s">
        <v>9</v>
      </c>
      <c r="C3" s="8" t="str">
        <f t="shared" ref="C3:C37" si="0">A3&amp;B3</f>
        <v>43831Bobina</v>
      </c>
      <c r="D3" s="6">
        <v>800</v>
      </c>
    </row>
    <row r="4" spans="1:4" x14ac:dyDescent="0.25">
      <c r="A4" s="1">
        <v>43831</v>
      </c>
      <c r="B4" t="s">
        <v>10</v>
      </c>
      <c r="C4" s="8" t="str">
        <f t="shared" si="0"/>
        <v>43831Celulose</v>
      </c>
      <c r="D4" s="6">
        <v>500</v>
      </c>
    </row>
    <row r="5" spans="1:4" x14ac:dyDescent="0.25">
      <c r="A5" s="1">
        <v>43862</v>
      </c>
      <c r="B5" t="s">
        <v>8</v>
      </c>
      <c r="C5" s="8" t="str">
        <f t="shared" si="0"/>
        <v>43862Caixa</v>
      </c>
      <c r="D5" s="6">
        <v>408</v>
      </c>
    </row>
    <row r="6" spans="1:4" x14ac:dyDescent="0.25">
      <c r="A6" s="1">
        <v>43862</v>
      </c>
      <c r="B6" t="s">
        <v>9</v>
      </c>
      <c r="C6" s="8" t="str">
        <f t="shared" si="0"/>
        <v>43862Bobina</v>
      </c>
      <c r="D6" s="6">
        <v>816</v>
      </c>
    </row>
    <row r="7" spans="1:4" x14ac:dyDescent="0.25">
      <c r="A7" s="1">
        <v>43862</v>
      </c>
      <c r="B7" t="s">
        <v>10</v>
      </c>
      <c r="C7" s="8" t="str">
        <f t="shared" si="0"/>
        <v>43862Celulose</v>
      </c>
      <c r="D7" s="6">
        <v>510</v>
      </c>
    </row>
    <row r="8" spans="1:4" x14ac:dyDescent="0.25">
      <c r="A8" s="1">
        <v>43891</v>
      </c>
      <c r="B8" t="s">
        <v>8</v>
      </c>
      <c r="C8" s="8" t="str">
        <f t="shared" si="0"/>
        <v>43891Caixa</v>
      </c>
      <c r="D8" s="6">
        <v>420.24</v>
      </c>
    </row>
    <row r="9" spans="1:4" x14ac:dyDescent="0.25">
      <c r="A9" s="1">
        <v>43891</v>
      </c>
      <c r="B9" t="s">
        <v>9</v>
      </c>
      <c r="C9" s="8" t="str">
        <f t="shared" si="0"/>
        <v>43891Bobina</v>
      </c>
      <c r="D9" s="6">
        <v>840.48</v>
      </c>
    </row>
    <row r="10" spans="1:4" x14ac:dyDescent="0.25">
      <c r="A10" s="1">
        <v>43891</v>
      </c>
      <c r="B10" t="s">
        <v>10</v>
      </c>
      <c r="C10" s="8" t="str">
        <f t="shared" si="0"/>
        <v>43891Celulose</v>
      </c>
      <c r="D10" s="6">
        <v>525.29999999999995</v>
      </c>
    </row>
    <row r="11" spans="1:4" x14ac:dyDescent="0.25">
      <c r="A11" s="1">
        <v>43922</v>
      </c>
      <c r="B11" t="s">
        <v>8</v>
      </c>
      <c r="C11" s="8" t="str">
        <f t="shared" si="0"/>
        <v>43922Caixa</v>
      </c>
      <c r="D11" s="6">
        <v>424.44</v>
      </c>
    </row>
    <row r="12" spans="1:4" x14ac:dyDescent="0.25">
      <c r="A12" s="1">
        <v>43922</v>
      </c>
      <c r="B12" t="s">
        <v>9</v>
      </c>
      <c r="C12" s="8" t="str">
        <f t="shared" si="0"/>
        <v>43922Bobina</v>
      </c>
      <c r="D12" s="6">
        <v>848.88</v>
      </c>
    </row>
    <row r="13" spans="1:4" x14ac:dyDescent="0.25">
      <c r="A13" s="1">
        <v>43922</v>
      </c>
      <c r="B13" t="s">
        <v>10</v>
      </c>
      <c r="C13" s="8" t="str">
        <f t="shared" si="0"/>
        <v>43922Celulose</v>
      </c>
      <c r="D13" s="6">
        <v>530.54999999999995</v>
      </c>
    </row>
    <row r="14" spans="1:4" x14ac:dyDescent="0.25">
      <c r="A14" s="1">
        <v>43952</v>
      </c>
      <c r="B14" t="s">
        <v>8</v>
      </c>
      <c r="C14" s="8" t="str">
        <f t="shared" si="0"/>
        <v>43952Caixa</v>
      </c>
      <c r="D14" s="6">
        <v>437.18</v>
      </c>
    </row>
    <row r="15" spans="1:4" x14ac:dyDescent="0.25">
      <c r="A15" s="1">
        <v>43952</v>
      </c>
      <c r="B15" t="s">
        <v>9</v>
      </c>
      <c r="C15" s="8" t="str">
        <f t="shared" si="0"/>
        <v>43952Bobina</v>
      </c>
      <c r="D15" s="6">
        <v>874.35</v>
      </c>
    </row>
    <row r="16" spans="1:4" x14ac:dyDescent="0.25">
      <c r="A16" s="1">
        <v>43952</v>
      </c>
      <c r="B16" t="s">
        <v>10</v>
      </c>
      <c r="C16" s="8" t="str">
        <f t="shared" si="0"/>
        <v>43952Celulose</v>
      </c>
      <c r="D16" s="6">
        <v>546.47</v>
      </c>
    </row>
    <row r="17" spans="1:4" x14ac:dyDescent="0.25">
      <c r="A17" s="1">
        <v>43983</v>
      </c>
      <c r="B17" t="s">
        <v>8</v>
      </c>
      <c r="C17" s="8" t="str">
        <f t="shared" si="0"/>
        <v>43983Caixa</v>
      </c>
      <c r="D17" s="6">
        <v>424.06</v>
      </c>
    </row>
    <row r="18" spans="1:4" x14ac:dyDescent="0.25">
      <c r="A18" s="1">
        <v>43983</v>
      </c>
      <c r="B18" t="s">
        <v>9</v>
      </c>
      <c r="C18" s="8" t="str">
        <f t="shared" si="0"/>
        <v>43983Bobina</v>
      </c>
      <c r="D18" s="6">
        <v>848.12</v>
      </c>
    </row>
    <row r="19" spans="1:4" x14ac:dyDescent="0.25">
      <c r="A19" s="1">
        <v>43983</v>
      </c>
      <c r="B19" t="s">
        <v>10</v>
      </c>
      <c r="C19" s="8" t="str">
        <f t="shared" si="0"/>
        <v>43983Celulose</v>
      </c>
      <c r="D19" s="6">
        <v>530.08000000000004</v>
      </c>
    </row>
    <row r="20" spans="1:4" x14ac:dyDescent="0.25">
      <c r="A20" s="1">
        <v>44013</v>
      </c>
      <c r="B20" t="s">
        <v>8</v>
      </c>
      <c r="C20" s="8" t="str">
        <f t="shared" si="0"/>
        <v>44013Caixa</v>
      </c>
      <c r="D20" s="6">
        <v>415.58</v>
      </c>
    </row>
    <row r="21" spans="1:4" x14ac:dyDescent="0.25">
      <c r="A21" s="1">
        <v>44013</v>
      </c>
      <c r="B21" t="s">
        <v>9</v>
      </c>
      <c r="C21" s="8" t="str">
        <f t="shared" si="0"/>
        <v>44013Bobina</v>
      </c>
      <c r="D21" s="6">
        <v>831.16</v>
      </c>
    </row>
    <row r="22" spans="1:4" x14ac:dyDescent="0.25">
      <c r="A22" s="1">
        <v>44013</v>
      </c>
      <c r="B22" t="s">
        <v>10</v>
      </c>
      <c r="C22" s="8" t="str">
        <f t="shared" si="0"/>
        <v>44013Celulose</v>
      </c>
      <c r="D22" s="6">
        <v>519.47</v>
      </c>
    </row>
    <row r="23" spans="1:4" x14ac:dyDescent="0.25">
      <c r="A23" s="1">
        <v>44044</v>
      </c>
      <c r="B23" t="s">
        <v>8</v>
      </c>
      <c r="C23" s="8" t="str">
        <f t="shared" si="0"/>
        <v>44044Caixa</v>
      </c>
      <c r="D23" s="6">
        <v>419.73</v>
      </c>
    </row>
    <row r="24" spans="1:4" x14ac:dyDescent="0.25">
      <c r="A24" s="1">
        <v>44044</v>
      </c>
      <c r="B24" t="s">
        <v>9</v>
      </c>
      <c r="C24" s="8" t="str">
        <f t="shared" si="0"/>
        <v>44044Bobina</v>
      </c>
      <c r="D24" s="6">
        <v>839.47</v>
      </c>
    </row>
    <row r="25" spans="1:4" x14ac:dyDescent="0.25">
      <c r="A25" s="1">
        <v>44044</v>
      </c>
      <c r="B25" t="s">
        <v>10</v>
      </c>
      <c r="C25" s="8" t="str">
        <f t="shared" si="0"/>
        <v>44044Celulose</v>
      </c>
      <c r="D25" s="6">
        <v>524.66999999999996</v>
      </c>
    </row>
    <row r="26" spans="1:4" x14ac:dyDescent="0.25">
      <c r="A26" s="1">
        <v>44075</v>
      </c>
      <c r="B26" t="s">
        <v>8</v>
      </c>
      <c r="C26" s="8" t="str">
        <f t="shared" si="0"/>
        <v>44075Caixa</v>
      </c>
      <c r="D26" s="6">
        <v>426.03</v>
      </c>
    </row>
    <row r="27" spans="1:4" x14ac:dyDescent="0.25">
      <c r="A27" s="1">
        <v>44075</v>
      </c>
      <c r="B27" t="s">
        <v>9</v>
      </c>
      <c r="C27" s="8" t="str">
        <f t="shared" si="0"/>
        <v>44075Bobina</v>
      </c>
      <c r="D27" s="6">
        <v>852.06</v>
      </c>
    </row>
    <row r="28" spans="1:4" x14ac:dyDescent="0.25">
      <c r="A28" s="1">
        <v>44075</v>
      </c>
      <c r="B28" t="s">
        <v>10</v>
      </c>
      <c r="C28" s="8" t="str">
        <f t="shared" si="0"/>
        <v>44075Celulose</v>
      </c>
      <c r="D28" s="6">
        <v>532.54</v>
      </c>
    </row>
    <row r="29" spans="1:4" x14ac:dyDescent="0.25">
      <c r="A29" s="1">
        <v>44105</v>
      </c>
      <c r="B29" t="s">
        <v>8</v>
      </c>
      <c r="C29" s="8" t="str">
        <f t="shared" si="0"/>
        <v>44105Caixa</v>
      </c>
      <c r="D29" s="6">
        <v>434.55</v>
      </c>
    </row>
    <row r="30" spans="1:4" x14ac:dyDescent="0.25">
      <c r="A30" s="1">
        <v>44105</v>
      </c>
      <c r="B30" t="s">
        <v>9</v>
      </c>
      <c r="C30" s="8" t="str">
        <f t="shared" si="0"/>
        <v>44105Bobina</v>
      </c>
      <c r="D30" s="6">
        <v>869.1</v>
      </c>
    </row>
    <row r="31" spans="1:4" x14ac:dyDescent="0.25">
      <c r="A31" s="1">
        <v>44105</v>
      </c>
      <c r="B31" t="s">
        <v>10</v>
      </c>
      <c r="C31" s="8" t="str">
        <f t="shared" si="0"/>
        <v>44105Celulose</v>
      </c>
      <c r="D31" s="6">
        <v>543.19000000000005</v>
      </c>
    </row>
    <row r="32" spans="1:4" x14ac:dyDescent="0.25">
      <c r="A32" s="1">
        <v>44136</v>
      </c>
      <c r="B32" t="s">
        <v>8</v>
      </c>
      <c r="C32" s="8" t="str">
        <f t="shared" si="0"/>
        <v>44136Caixa</v>
      </c>
      <c r="D32" s="6">
        <v>447.59</v>
      </c>
    </row>
    <row r="33" spans="1:4" x14ac:dyDescent="0.25">
      <c r="A33" s="1">
        <v>44136</v>
      </c>
      <c r="B33" t="s">
        <v>9</v>
      </c>
      <c r="C33" s="8" t="str">
        <f t="shared" si="0"/>
        <v>44136Bobina</v>
      </c>
      <c r="D33" s="6">
        <v>895.18</v>
      </c>
    </row>
    <row r="34" spans="1:4" x14ac:dyDescent="0.25">
      <c r="A34" s="1">
        <v>44136</v>
      </c>
      <c r="B34" t="s">
        <v>10</v>
      </c>
      <c r="C34" s="8" t="str">
        <f t="shared" si="0"/>
        <v>44136Celulose</v>
      </c>
      <c r="D34" s="6">
        <v>559.49</v>
      </c>
    </row>
    <row r="35" spans="1:4" x14ac:dyDescent="0.25">
      <c r="A35" s="1">
        <v>44166</v>
      </c>
      <c r="B35" t="s">
        <v>8</v>
      </c>
      <c r="C35" s="8" t="str">
        <f t="shared" si="0"/>
        <v>44166Caixa</v>
      </c>
      <c r="D35" s="6">
        <v>452.06</v>
      </c>
    </row>
    <row r="36" spans="1:4" x14ac:dyDescent="0.25">
      <c r="A36" s="1">
        <v>44166</v>
      </c>
      <c r="B36" t="s">
        <v>9</v>
      </c>
      <c r="C36" s="8" t="str">
        <f t="shared" si="0"/>
        <v>44166Bobina</v>
      </c>
      <c r="D36" s="6">
        <v>904.13</v>
      </c>
    </row>
    <row r="37" spans="1:4" x14ac:dyDescent="0.25">
      <c r="A37" s="1">
        <v>44166</v>
      </c>
      <c r="B37" t="s">
        <v>10</v>
      </c>
      <c r="C37" s="8" t="str">
        <f t="shared" si="0"/>
        <v>44166Celulose</v>
      </c>
      <c r="D37" s="6">
        <v>565.08000000000004</v>
      </c>
    </row>
  </sheetData>
  <autoFilter ref="A1:D4" xr:uid="{00000000-0009-0000-0000-000003000000}"/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1"/>
  <sheetViews>
    <sheetView workbookViewId="0">
      <selection activeCell="N4" sqref="N4"/>
    </sheetView>
  </sheetViews>
  <sheetFormatPr defaultRowHeight="15" x14ac:dyDescent="0.25"/>
  <cols>
    <col min="1" max="1" width="10.7109375" bestFit="1" customWidth="1"/>
    <col min="3" max="3" width="10.85546875" bestFit="1" customWidth="1"/>
    <col min="6" max="6" width="18" style="2" bestFit="1" customWidth="1"/>
    <col min="7" max="7" width="13.85546875" style="11" bestFit="1" customWidth="1"/>
    <col min="8" max="8" width="15.28515625" style="2" bestFit="1" customWidth="1"/>
    <col min="9" max="9" width="10.85546875" bestFit="1" customWidth="1"/>
    <col min="10" max="10" width="10.5703125" bestFit="1" customWidth="1"/>
    <col min="11" max="11" width="14.5703125" bestFit="1" customWidth="1"/>
    <col min="12" max="12" width="10.5703125" bestFit="1" customWidth="1"/>
    <col min="13" max="13" width="12.7109375" bestFit="1" customWidth="1"/>
  </cols>
  <sheetData>
    <row r="1" spans="1:13" s="3" customFormat="1" x14ac:dyDescent="0.25">
      <c r="A1" s="4" t="s">
        <v>0</v>
      </c>
      <c r="B1" s="4" t="s">
        <v>1</v>
      </c>
      <c r="C1" s="4" t="s">
        <v>3</v>
      </c>
      <c r="D1" s="4" t="s">
        <v>2</v>
      </c>
      <c r="E1" s="4" t="s">
        <v>4</v>
      </c>
      <c r="F1" s="5" t="s">
        <v>13</v>
      </c>
      <c r="G1" s="9" t="s">
        <v>17</v>
      </c>
      <c r="H1" s="5" t="s">
        <v>14</v>
      </c>
      <c r="I1" s="4" t="s">
        <v>15</v>
      </c>
      <c r="J1" s="3" t="s">
        <v>83</v>
      </c>
      <c r="K1" s="3" t="s">
        <v>93</v>
      </c>
      <c r="L1" s="3" t="s">
        <v>48</v>
      </c>
      <c r="M1" s="3" t="s">
        <v>49</v>
      </c>
    </row>
    <row r="2" spans="1:13" x14ac:dyDescent="0.25">
      <c r="A2" s="1">
        <v>43840</v>
      </c>
      <c r="B2">
        <v>10</v>
      </c>
      <c r="C2" t="s">
        <v>5</v>
      </c>
      <c r="D2" t="s">
        <v>8</v>
      </c>
      <c r="E2">
        <v>100</v>
      </c>
      <c r="F2" s="2">
        <v>50000</v>
      </c>
      <c r="G2" s="10" t="str">
        <f>A2-DAY(A2)+1&amp;D2</f>
        <v>43831Caixa</v>
      </c>
      <c r="H2" s="12">
        <f>VLOOKUP(G2,'Tab Custo'!C:D,2,0)</f>
        <v>400</v>
      </c>
      <c r="I2" s="13">
        <f>H2*E2</f>
        <v>40000</v>
      </c>
      <c r="J2" s="6">
        <f>F2*'Impostos s Vendas'!$B$1</f>
        <v>13800.000000000002</v>
      </c>
      <c r="K2" s="6">
        <f>F2-J2</f>
        <v>36200</v>
      </c>
      <c r="L2" s="6">
        <f>F2-I2</f>
        <v>10000</v>
      </c>
      <c r="M2" s="6">
        <f>F2-J2-I2</f>
        <v>-3800</v>
      </c>
    </row>
    <row r="3" spans="1:13" x14ac:dyDescent="0.25">
      <c r="A3" s="1">
        <v>43840</v>
      </c>
      <c r="B3">
        <v>11</v>
      </c>
      <c r="C3" t="s">
        <v>6</v>
      </c>
      <c r="D3" t="s">
        <v>9</v>
      </c>
      <c r="E3">
        <v>40</v>
      </c>
      <c r="F3" s="2">
        <v>45200</v>
      </c>
      <c r="G3" s="10" t="str">
        <f t="shared" ref="G3:G31" si="0">A3-DAY(A3)+1&amp;D3</f>
        <v>43831Bobina</v>
      </c>
      <c r="H3" s="12">
        <f>VLOOKUP(G3,'Tab Custo'!C:D,2,0)</f>
        <v>800</v>
      </c>
      <c r="I3" s="13">
        <f t="shared" ref="I3:I31" si="1">H3*E3</f>
        <v>32000</v>
      </c>
      <c r="J3" s="6">
        <f>F3*'Impostos s Vendas'!$B$1</f>
        <v>12475.2</v>
      </c>
      <c r="K3" s="6">
        <f t="shared" ref="K3:K31" si="2">F3-J3</f>
        <v>32724.799999999999</v>
      </c>
      <c r="L3" s="6">
        <f t="shared" ref="L3:L31" si="3">F3-I3</f>
        <v>13200</v>
      </c>
      <c r="M3" s="6">
        <f t="shared" ref="M3:M31" si="4">F3-J3-I3</f>
        <v>724.79999999999927</v>
      </c>
    </row>
    <row r="4" spans="1:13" x14ac:dyDescent="0.25">
      <c r="A4" s="1">
        <v>43845</v>
      </c>
      <c r="B4">
        <v>20</v>
      </c>
      <c r="C4" t="s">
        <v>7</v>
      </c>
      <c r="D4" t="s">
        <v>8</v>
      </c>
      <c r="E4">
        <v>150</v>
      </c>
      <c r="F4" s="2">
        <v>75000</v>
      </c>
      <c r="G4" s="10" t="str">
        <f t="shared" si="0"/>
        <v>43831Caixa</v>
      </c>
      <c r="H4" s="12">
        <f>VLOOKUP(G4,'Tab Custo'!C:D,2,0)</f>
        <v>400</v>
      </c>
      <c r="I4" s="13">
        <f t="shared" si="1"/>
        <v>60000</v>
      </c>
      <c r="J4" s="6">
        <f>F4*'Impostos s Vendas'!$B$1</f>
        <v>20700</v>
      </c>
      <c r="K4" s="6">
        <f t="shared" si="2"/>
        <v>54300</v>
      </c>
      <c r="L4" s="6">
        <f t="shared" si="3"/>
        <v>15000</v>
      </c>
      <c r="M4" s="6">
        <f t="shared" si="4"/>
        <v>-5700</v>
      </c>
    </row>
    <row r="5" spans="1:13" x14ac:dyDescent="0.25">
      <c r="A5" s="1">
        <v>43855</v>
      </c>
      <c r="B5">
        <v>21</v>
      </c>
      <c r="C5" t="s">
        <v>5</v>
      </c>
      <c r="D5" t="s">
        <v>8</v>
      </c>
      <c r="E5">
        <v>125</v>
      </c>
      <c r="F5" s="2">
        <v>62500</v>
      </c>
      <c r="G5" s="10" t="str">
        <f t="shared" si="0"/>
        <v>43831Caixa</v>
      </c>
      <c r="H5" s="12">
        <f>VLOOKUP(G5,'Tab Custo'!C:D,2,0)</f>
        <v>400</v>
      </c>
      <c r="I5" s="13">
        <f t="shared" si="1"/>
        <v>50000</v>
      </c>
      <c r="J5" s="6">
        <f>F5*'Impostos s Vendas'!$B$1</f>
        <v>17250</v>
      </c>
      <c r="K5" s="6">
        <f t="shared" si="2"/>
        <v>45250</v>
      </c>
      <c r="L5" s="6">
        <f t="shared" si="3"/>
        <v>12500</v>
      </c>
      <c r="M5" s="6">
        <f t="shared" si="4"/>
        <v>-4750</v>
      </c>
    </row>
    <row r="6" spans="1:13" x14ac:dyDescent="0.25">
      <c r="A6" s="1">
        <v>43864</v>
      </c>
      <c r="B6">
        <v>25</v>
      </c>
      <c r="C6" t="s">
        <v>6</v>
      </c>
      <c r="D6" t="s">
        <v>9</v>
      </c>
      <c r="E6">
        <v>30</v>
      </c>
      <c r="F6" s="2">
        <v>33900</v>
      </c>
      <c r="G6" s="10" t="str">
        <f t="shared" si="0"/>
        <v>43862Bobina</v>
      </c>
      <c r="H6" s="12">
        <f>VLOOKUP(G6,'Tab Custo'!C:D,2,0)</f>
        <v>816</v>
      </c>
      <c r="I6" s="13">
        <f t="shared" si="1"/>
        <v>24480</v>
      </c>
      <c r="J6" s="6">
        <f>F6*'Impostos s Vendas'!$B$1</f>
        <v>9356.4000000000015</v>
      </c>
      <c r="K6" s="6">
        <f t="shared" si="2"/>
        <v>24543.599999999999</v>
      </c>
      <c r="L6" s="6">
        <f t="shared" si="3"/>
        <v>9420</v>
      </c>
      <c r="M6" s="6">
        <f t="shared" si="4"/>
        <v>63.599999999998545</v>
      </c>
    </row>
    <row r="7" spans="1:13" x14ac:dyDescent="0.25">
      <c r="A7" s="1">
        <v>43871</v>
      </c>
      <c r="B7">
        <v>45</v>
      </c>
      <c r="C7" t="s">
        <v>7</v>
      </c>
      <c r="D7" t="s">
        <v>8</v>
      </c>
      <c r="E7">
        <v>130</v>
      </c>
      <c r="F7" s="2">
        <v>66300</v>
      </c>
      <c r="G7" s="10" t="str">
        <f t="shared" si="0"/>
        <v>43862Caixa</v>
      </c>
      <c r="H7" s="12">
        <f>VLOOKUP(G7,'Tab Custo'!C:D,2,0)</f>
        <v>408</v>
      </c>
      <c r="I7" s="13">
        <f t="shared" si="1"/>
        <v>53040</v>
      </c>
      <c r="J7" s="6">
        <f>F7*'Impostos s Vendas'!$B$1</f>
        <v>18298.800000000003</v>
      </c>
      <c r="K7" s="6">
        <f t="shared" si="2"/>
        <v>48001.2</v>
      </c>
      <c r="L7" s="6">
        <f t="shared" si="3"/>
        <v>13260</v>
      </c>
      <c r="M7" s="6">
        <f t="shared" si="4"/>
        <v>-5038.8000000000029</v>
      </c>
    </row>
    <row r="8" spans="1:13" x14ac:dyDescent="0.25">
      <c r="A8" s="1">
        <v>43876</v>
      </c>
      <c r="B8">
        <v>50</v>
      </c>
      <c r="C8" t="s">
        <v>7</v>
      </c>
      <c r="D8" t="s">
        <v>8</v>
      </c>
      <c r="E8">
        <v>110</v>
      </c>
      <c r="F8" s="2">
        <v>56100</v>
      </c>
      <c r="G8" s="10" t="str">
        <f t="shared" si="0"/>
        <v>43862Caixa</v>
      </c>
      <c r="H8" s="12">
        <f>VLOOKUP(G8,'Tab Custo'!C:D,2,0)</f>
        <v>408</v>
      </c>
      <c r="I8" s="13">
        <f t="shared" si="1"/>
        <v>44880</v>
      </c>
      <c r="J8" s="6">
        <f>F8*'Impostos s Vendas'!$B$1</f>
        <v>15483.600000000002</v>
      </c>
      <c r="K8" s="6">
        <f t="shared" si="2"/>
        <v>40616.399999999994</v>
      </c>
      <c r="L8" s="6">
        <f t="shared" si="3"/>
        <v>11220</v>
      </c>
      <c r="M8" s="6">
        <f t="shared" si="4"/>
        <v>-4263.6000000000058</v>
      </c>
    </row>
    <row r="9" spans="1:13" x14ac:dyDescent="0.25">
      <c r="A9" s="1">
        <v>43891</v>
      </c>
      <c r="B9">
        <v>51</v>
      </c>
      <c r="C9" t="s">
        <v>5</v>
      </c>
      <c r="D9" t="s">
        <v>9</v>
      </c>
      <c r="E9">
        <v>45</v>
      </c>
      <c r="F9" s="2">
        <v>49500</v>
      </c>
      <c r="G9" s="10" t="str">
        <f t="shared" si="0"/>
        <v>43891Bobina</v>
      </c>
      <c r="H9" s="12">
        <f>VLOOKUP(G9,'Tab Custo'!C:D,2,0)</f>
        <v>840.48</v>
      </c>
      <c r="I9" s="13">
        <f t="shared" si="1"/>
        <v>37821.599999999999</v>
      </c>
      <c r="J9" s="6">
        <f>F9*'Impostos s Vendas'!$B$1</f>
        <v>13662.000000000002</v>
      </c>
      <c r="K9" s="6">
        <f t="shared" si="2"/>
        <v>35838</v>
      </c>
      <c r="L9" s="6">
        <f t="shared" si="3"/>
        <v>11678.400000000001</v>
      </c>
      <c r="M9" s="6">
        <f t="shared" si="4"/>
        <v>-1983.5999999999985</v>
      </c>
    </row>
    <row r="10" spans="1:13" x14ac:dyDescent="0.25">
      <c r="A10" s="1">
        <v>43922</v>
      </c>
      <c r="B10">
        <v>60</v>
      </c>
      <c r="C10" t="s">
        <v>6</v>
      </c>
      <c r="D10" t="s">
        <v>8</v>
      </c>
      <c r="E10">
        <v>90</v>
      </c>
      <c r="F10" s="2">
        <v>46800</v>
      </c>
      <c r="G10" s="10" t="str">
        <f t="shared" si="0"/>
        <v>43922Caixa</v>
      </c>
      <c r="H10" s="12">
        <f>VLOOKUP(G10,'Tab Custo'!C:D,2,0)</f>
        <v>424.44</v>
      </c>
      <c r="I10" s="13">
        <f t="shared" si="1"/>
        <v>38199.599999999999</v>
      </c>
      <c r="J10" s="6">
        <f>F10*'Impostos s Vendas'!$B$1</f>
        <v>12916.800000000001</v>
      </c>
      <c r="K10" s="6">
        <f t="shared" si="2"/>
        <v>33883.199999999997</v>
      </c>
      <c r="L10" s="6">
        <f t="shared" si="3"/>
        <v>8600.4000000000015</v>
      </c>
      <c r="M10" s="6">
        <f t="shared" si="4"/>
        <v>-4316.4000000000015</v>
      </c>
    </row>
    <row r="11" spans="1:13" x14ac:dyDescent="0.25">
      <c r="A11" s="1">
        <v>43936</v>
      </c>
      <c r="B11">
        <v>52</v>
      </c>
      <c r="C11" t="s">
        <v>7</v>
      </c>
      <c r="D11" t="s">
        <v>8</v>
      </c>
      <c r="E11">
        <v>95</v>
      </c>
      <c r="F11" s="2">
        <v>49400</v>
      </c>
      <c r="G11" s="10" t="str">
        <f t="shared" si="0"/>
        <v>43922Caixa</v>
      </c>
      <c r="H11" s="12">
        <f>VLOOKUP(G11,'Tab Custo'!C:D,2,0)</f>
        <v>424.44</v>
      </c>
      <c r="I11" s="13">
        <f t="shared" si="1"/>
        <v>40321.800000000003</v>
      </c>
      <c r="J11" s="6">
        <f>F11*'Impostos s Vendas'!$B$1</f>
        <v>13634.400000000001</v>
      </c>
      <c r="K11" s="6">
        <f t="shared" si="2"/>
        <v>35765.599999999999</v>
      </c>
      <c r="L11" s="6">
        <f t="shared" si="3"/>
        <v>9078.1999999999971</v>
      </c>
      <c r="M11" s="6">
        <f t="shared" si="4"/>
        <v>-4556.2000000000044</v>
      </c>
    </row>
    <row r="12" spans="1:13" x14ac:dyDescent="0.25">
      <c r="A12" s="1">
        <v>44053</v>
      </c>
      <c r="B12">
        <v>65</v>
      </c>
      <c r="C12" t="s">
        <v>7</v>
      </c>
      <c r="D12" t="s">
        <v>8</v>
      </c>
      <c r="E12">
        <v>98</v>
      </c>
      <c r="F12" s="2">
        <v>48020</v>
      </c>
      <c r="G12" s="10" t="str">
        <f t="shared" si="0"/>
        <v>44044Caixa</v>
      </c>
      <c r="H12" s="12">
        <f>VLOOKUP(G12,'Tab Custo'!C:D,2,0)</f>
        <v>419.73</v>
      </c>
      <c r="I12" s="13">
        <f t="shared" si="1"/>
        <v>41133.54</v>
      </c>
      <c r="J12" s="6">
        <f>F12*'Impostos s Vendas'!$B$1</f>
        <v>13253.52</v>
      </c>
      <c r="K12" s="6">
        <f t="shared" si="2"/>
        <v>34766.479999999996</v>
      </c>
      <c r="L12" s="6">
        <f t="shared" si="3"/>
        <v>6886.4599999999991</v>
      </c>
      <c r="M12" s="6">
        <f t="shared" si="4"/>
        <v>-6367.0600000000049</v>
      </c>
    </row>
    <row r="13" spans="1:13" x14ac:dyDescent="0.25">
      <c r="A13" s="1">
        <v>44089</v>
      </c>
      <c r="B13">
        <v>90</v>
      </c>
      <c r="C13" t="s">
        <v>5</v>
      </c>
      <c r="D13" t="s">
        <v>9</v>
      </c>
      <c r="E13">
        <v>42</v>
      </c>
      <c r="F13" s="2">
        <v>50400</v>
      </c>
      <c r="G13" s="10" t="str">
        <f t="shared" si="0"/>
        <v>44075Bobina</v>
      </c>
      <c r="H13" s="12">
        <f>VLOOKUP(G13,'Tab Custo'!C:D,2,0)</f>
        <v>852.06</v>
      </c>
      <c r="I13" s="13">
        <f t="shared" si="1"/>
        <v>35786.519999999997</v>
      </c>
      <c r="J13" s="6">
        <f>F13*'Impostos s Vendas'!$B$1</f>
        <v>13910.400000000001</v>
      </c>
      <c r="K13" s="6">
        <f t="shared" si="2"/>
        <v>36489.599999999999</v>
      </c>
      <c r="L13" s="6">
        <f t="shared" si="3"/>
        <v>14613.480000000003</v>
      </c>
      <c r="M13" s="6">
        <f t="shared" si="4"/>
        <v>703.08000000000175</v>
      </c>
    </row>
    <row r="14" spans="1:13" x14ac:dyDescent="0.25">
      <c r="A14" s="1">
        <v>44124</v>
      </c>
      <c r="B14">
        <v>81</v>
      </c>
      <c r="C14" t="s">
        <v>6</v>
      </c>
      <c r="D14" t="s">
        <v>8</v>
      </c>
      <c r="E14">
        <v>100</v>
      </c>
      <c r="F14" s="2">
        <v>49000</v>
      </c>
      <c r="G14" s="10" t="str">
        <f t="shared" si="0"/>
        <v>44105Caixa</v>
      </c>
      <c r="H14" s="12">
        <f>VLOOKUP(G14,'Tab Custo'!C:D,2,0)</f>
        <v>434.55</v>
      </c>
      <c r="I14" s="13">
        <f t="shared" si="1"/>
        <v>43455</v>
      </c>
      <c r="J14" s="6">
        <f>F14*'Impostos s Vendas'!$B$1</f>
        <v>13524.000000000002</v>
      </c>
      <c r="K14" s="6">
        <f t="shared" si="2"/>
        <v>35476</v>
      </c>
      <c r="L14" s="6">
        <f t="shared" si="3"/>
        <v>5545</v>
      </c>
      <c r="M14" s="6">
        <f t="shared" si="4"/>
        <v>-7979</v>
      </c>
    </row>
    <row r="15" spans="1:13" x14ac:dyDescent="0.25">
      <c r="A15" s="1">
        <v>44150</v>
      </c>
      <c r="B15">
        <v>85</v>
      </c>
      <c r="C15" t="s">
        <v>7</v>
      </c>
      <c r="D15" t="s">
        <v>9</v>
      </c>
      <c r="E15">
        <v>35</v>
      </c>
      <c r="F15" s="2">
        <v>43750</v>
      </c>
      <c r="G15" s="10" t="str">
        <f t="shared" si="0"/>
        <v>44136Bobina</v>
      </c>
      <c r="H15" s="12">
        <f>VLOOKUP(G15,'Tab Custo'!C:D,2,0)</f>
        <v>895.18</v>
      </c>
      <c r="I15" s="13">
        <f t="shared" si="1"/>
        <v>31331.3</v>
      </c>
      <c r="J15" s="6">
        <f>F15*'Impostos s Vendas'!$B$1</f>
        <v>12075.000000000002</v>
      </c>
      <c r="K15" s="6">
        <f t="shared" si="2"/>
        <v>31675</v>
      </c>
      <c r="L15" s="6">
        <f t="shared" si="3"/>
        <v>12418.7</v>
      </c>
      <c r="M15" s="6">
        <f t="shared" si="4"/>
        <v>343.70000000000073</v>
      </c>
    </row>
    <row r="16" spans="1:13" x14ac:dyDescent="0.25">
      <c r="A16" s="1">
        <v>44175</v>
      </c>
      <c r="B16">
        <v>100</v>
      </c>
      <c r="C16" t="s">
        <v>5</v>
      </c>
      <c r="D16" t="s">
        <v>8</v>
      </c>
      <c r="E16">
        <v>130</v>
      </c>
      <c r="F16" s="2">
        <v>79300</v>
      </c>
      <c r="G16" s="10" t="str">
        <f t="shared" si="0"/>
        <v>44166Caixa</v>
      </c>
      <c r="H16" s="12">
        <f>VLOOKUP(G16,'Tab Custo'!C:D,2,0)</f>
        <v>452.06</v>
      </c>
      <c r="I16" s="13">
        <f t="shared" si="1"/>
        <v>58767.8</v>
      </c>
      <c r="J16" s="6">
        <f>F16*'Impostos s Vendas'!$B$1</f>
        <v>21886.800000000003</v>
      </c>
      <c r="K16" s="6">
        <f t="shared" si="2"/>
        <v>57413.2</v>
      </c>
      <c r="L16" s="6">
        <f t="shared" si="3"/>
        <v>20532.199999999997</v>
      </c>
      <c r="M16" s="6">
        <f t="shared" si="4"/>
        <v>-1354.6000000000058</v>
      </c>
    </row>
    <row r="17" spans="1:13" x14ac:dyDescent="0.25">
      <c r="A17" s="1">
        <v>43840</v>
      </c>
      <c r="B17">
        <v>10</v>
      </c>
      <c r="C17" t="s">
        <v>11</v>
      </c>
      <c r="D17" t="s">
        <v>10</v>
      </c>
      <c r="E17">
        <v>45</v>
      </c>
      <c r="F17" s="2">
        <v>49500</v>
      </c>
      <c r="G17" s="10" t="str">
        <f t="shared" si="0"/>
        <v>43831Celulose</v>
      </c>
      <c r="H17" s="12">
        <f>VLOOKUP(G17,'Tab Custo'!C:D,2,0)</f>
        <v>500</v>
      </c>
      <c r="I17" s="13">
        <f t="shared" si="1"/>
        <v>22500</v>
      </c>
      <c r="J17" s="6">
        <f>F17*'Impostos s Vendas'!$B$1</f>
        <v>13662.000000000002</v>
      </c>
      <c r="K17" s="6">
        <f t="shared" si="2"/>
        <v>35838</v>
      </c>
      <c r="L17" s="6">
        <f t="shared" si="3"/>
        <v>27000</v>
      </c>
      <c r="M17" s="6">
        <f t="shared" si="4"/>
        <v>13338</v>
      </c>
    </row>
    <row r="18" spans="1:13" x14ac:dyDescent="0.25">
      <c r="A18" s="1">
        <v>43840</v>
      </c>
      <c r="B18">
        <v>11</v>
      </c>
      <c r="C18" t="s">
        <v>12</v>
      </c>
      <c r="D18" t="s">
        <v>10</v>
      </c>
      <c r="E18">
        <v>42</v>
      </c>
      <c r="F18" s="2">
        <v>63000</v>
      </c>
      <c r="G18" s="10" t="str">
        <f t="shared" si="0"/>
        <v>43831Celulose</v>
      </c>
      <c r="H18" s="12">
        <f>VLOOKUP(G18,'Tab Custo'!C:D,2,0)</f>
        <v>500</v>
      </c>
      <c r="I18" s="13">
        <f t="shared" si="1"/>
        <v>21000</v>
      </c>
      <c r="J18" s="6">
        <f>F18*'Impostos s Vendas'!$B$1</f>
        <v>17388</v>
      </c>
      <c r="K18" s="6">
        <f t="shared" si="2"/>
        <v>45612</v>
      </c>
      <c r="L18" s="6">
        <f t="shared" si="3"/>
        <v>42000</v>
      </c>
      <c r="M18" s="6">
        <f t="shared" si="4"/>
        <v>24612</v>
      </c>
    </row>
    <row r="19" spans="1:13" x14ac:dyDescent="0.25">
      <c r="A19" s="1">
        <v>43845</v>
      </c>
      <c r="B19">
        <v>20</v>
      </c>
      <c r="C19" t="s">
        <v>11</v>
      </c>
      <c r="D19" t="s">
        <v>10</v>
      </c>
      <c r="E19">
        <v>41</v>
      </c>
      <c r="F19" s="2">
        <v>61500</v>
      </c>
      <c r="G19" s="10" t="str">
        <f t="shared" si="0"/>
        <v>43831Celulose</v>
      </c>
      <c r="H19" s="12">
        <f>VLOOKUP(G19,'Tab Custo'!C:D,2,0)</f>
        <v>500</v>
      </c>
      <c r="I19" s="13">
        <f t="shared" si="1"/>
        <v>20500</v>
      </c>
      <c r="J19" s="6">
        <f>F19*'Impostos s Vendas'!$B$1</f>
        <v>16974</v>
      </c>
      <c r="K19" s="6">
        <f t="shared" si="2"/>
        <v>44526</v>
      </c>
      <c r="L19" s="6">
        <f t="shared" si="3"/>
        <v>41000</v>
      </c>
      <c r="M19" s="6">
        <f t="shared" si="4"/>
        <v>24026</v>
      </c>
    </row>
    <row r="20" spans="1:13" x14ac:dyDescent="0.25">
      <c r="A20" s="1">
        <v>43855</v>
      </c>
      <c r="B20">
        <v>21</v>
      </c>
      <c r="C20" t="s">
        <v>12</v>
      </c>
      <c r="D20" t="s">
        <v>10</v>
      </c>
      <c r="E20">
        <v>40</v>
      </c>
      <c r="F20" s="2">
        <v>60000</v>
      </c>
      <c r="G20" s="10" t="str">
        <f t="shared" si="0"/>
        <v>43831Celulose</v>
      </c>
      <c r="H20" s="12">
        <f>VLOOKUP(G20,'Tab Custo'!C:D,2,0)</f>
        <v>500</v>
      </c>
      <c r="I20" s="13">
        <f t="shared" si="1"/>
        <v>20000</v>
      </c>
      <c r="J20" s="6">
        <f>F20*'Impostos s Vendas'!$B$1</f>
        <v>16560</v>
      </c>
      <c r="K20" s="6">
        <f t="shared" si="2"/>
        <v>43440</v>
      </c>
      <c r="L20" s="6">
        <f t="shared" si="3"/>
        <v>40000</v>
      </c>
      <c r="M20" s="6">
        <f t="shared" si="4"/>
        <v>23440</v>
      </c>
    </row>
    <row r="21" spans="1:13" x14ac:dyDescent="0.25">
      <c r="A21" s="1">
        <v>43864</v>
      </c>
      <c r="B21">
        <v>25</v>
      </c>
      <c r="C21" t="s">
        <v>12</v>
      </c>
      <c r="D21" t="s">
        <v>10</v>
      </c>
      <c r="E21">
        <v>35</v>
      </c>
      <c r="F21" s="2">
        <v>52500</v>
      </c>
      <c r="G21" s="10" t="str">
        <f t="shared" si="0"/>
        <v>43862Celulose</v>
      </c>
      <c r="H21" s="12">
        <f>VLOOKUP(G21,'Tab Custo'!C:D,2,0)</f>
        <v>510</v>
      </c>
      <c r="I21" s="13">
        <f t="shared" si="1"/>
        <v>17850</v>
      </c>
      <c r="J21" s="6">
        <f>F21*'Impostos s Vendas'!$B$1</f>
        <v>14490.000000000002</v>
      </c>
      <c r="K21" s="6">
        <f t="shared" si="2"/>
        <v>38010</v>
      </c>
      <c r="L21" s="6">
        <f t="shared" si="3"/>
        <v>34650</v>
      </c>
      <c r="M21" s="6">
        <f t="shared" si="4"/>
        <v>20160</v>
      </c>
    </row>
    <row r="22" spans="1:13" x14ac:dyDescent="0.25">
      <c r="A22" s="1">
        <v>43871</v>
      </c>
      <c r="B22">
        <v>45</v>
      </c>
      <c r="C22" t="s">
        <v>11</v>
      </c>
      <c r="D22" t="s">
        <v>10</v>
      </c>
      <c r="E22">
        <v>43</v>
      </c>
      <c r="F22" s="2">
        <v>68800</v>
      </c>
      <c r="G22" s="10" t="str">
        <f t="shared" si="0"/>
        <v>43862Celulose</v>
      </c>
      <c r="H22" s="12">
        <f>VLOOKUP(G22,'Tab Custo'!C:D,2,0)</f>
        <v>510</v>
      </c>
      <c r="I22" s="13">
        <f t="shared" si="1"/>
        <v>21930</v>
      </c>
      <c r="J22" s="6">
        <f>F22*'Impostos s Vendas'!$B$1</f>
        <v>18988.800000000003</v>
      </c>
      <c r="K22" s="6">
        <f t="shared" si="2"/>
        <v>49811.199999999997</v>
      </c>
      <c r="L22" s="6">
        <f t="shared" si="3"/>
        <v>46870</v>
      </c>
      <c r="M22" s="6">
        <f t="shared" si="4"/>
        <v>27881.199999999997</v>
      </c>
    </row>
    <row r="23" spans="1:13" x14ac:dyDescent="0.25">
      <c r="A23" s="1">
        <v>43876</v>
      </c>
      <c r="B23">
        <v>50</v>
      </c>
      <c r="C23" t="s">
        <v>12</v>
      </c>
      <c r="D23" t="s">
        <v>10</v>
      </c>
      <c r="E23">
        <v>45</v>
      </c>
      <c r="F23" s="2">
        <v>72000</v>
      </c>
      <c r="G23" s="10" t="str">
        <f t="shared" si="0"/>
        <v>43862Celulose</v>
      </c>
      <c r="H23" s="12">
        <f>VLOOKUP(G23,'Tab Custo'!C:D,2,0)</f>
        <v>510</v>
      </c>
      <c r="I23" s="13">
        <f t="shared" si="1"/>
        <v>22950</v>
      </c>
      <c r="J23" s="6">
        <f>F23*'Impostos s Vendas'!$B$1</f>
        <v>19872</v>
      </c>
      <c r="K23" s="6">
        <f t="shared" si="2"/>
        <v>52128</v>
      </c>
      <c r="L23" s="6">
        <f t="shared" si="3"/>
        <v>49050</v>
      </c>
      <c r="M23" s="6">
        <f t="shared" si="4"/>
        <v>29178</v>
      </c>
    </row>
    <row r="24" spans="1:13" x14ac:dyDescent="0.25">
      <c r="A24" s="1">
        <v>43891</v>
      </c>
      <c r="B24">
        <v>51</v>
      </c>
      <c r="C24" t="s">
        <v>12</v>
      </c>
      <c r="D24" t="s">
        <v>10</v>
      </c>
      <c r="E24">
        <v>50</v>
      </c>
      <c r="F24" s="2">
        <v>80000</v>
      </c>
      <c r="G24" s="10" t="str">
        <f t="shared" si="0"/>
        <v>43891Celulose</v>
      </c>
      <c r="H24" s="12">
        <f>VLOOKUP(G24,'Tab Custo'!C:D,2,0)</f>
        <v>525.29999999999995</v>
      </c>
      <c r="I24" s="13">
        <f t="shared" si="1"/>
        <v>26264.999999999996</v>
      </c>
      <c r="J24" s="6">
        <f>F24*'Impostos s Vendas'!$B$1</f>
        <v>22080.000000000004</v>
      </c>
      <c r="K24" s="6">
        <f t="shared" si="2"/>
        <v>57920</v>
      </c>
      <c r="L24" s="6">
        <f t="shared" si="3"/>
        <v>53735</v>
      </c>
      <c r="M24" s="6">
        <f t="shared" si="4"/>
        <v>31655.000000000004</v>
      </c>
    </row>
    <row r="25" spans="1:13" x14ac:dyDescent="0.25">
      <c r="A25" s="1">
        <v>43922</v>
      </c>
      <c r="B25">
        <v>60</v>
      </c>
      <c r="C25" t="s">
        <v>11</v>
      </c>
      <c r="D25" t="s">
        <v>10</v>
      </c>
      <c r="E25">
        <v>32</v>
      </c>
      <c r="F25" s="2">
        <v>52800</v>
      </c>
      <c r="G25" s="10" t="str">
        <f t="shared" si="0"/>
        <v>43922Celulose</v>
      </c>
      <c r="H25" s="12">
        <f>VLOOKUP(G25,'Tab Custo'!C:D,2,0)</f>
        <v>530.54999999999995</v>
      </c>
      <c r="I25" s="13">
        <f t="shared" si="1"/>
        <v>16977.599999999999</v>
      </c>
      <c r="J25" s="6">
        <f>F25*'Impostos s Vendas'!$B$1</f>
        <v>14572.800000000001</v>
      </c>
      <c r="K25" s="6">
        <f t="shared" si="2"/>
        <v>38227.199999999997</v>
      </c>
      <c r="L25" s="6">
        <f t="shared" si="3"/>
        <v>35822.400000000001</v>
      </c>
      <c r="M25" s="6">
        <f t="shared" si="4"/>
        <v>21249.599999999999</v>
      </c>
    </row>
    <row r="26" spans="1:13" x14ac:dyDescent="0.25">
      <c r="A26" s="1">
        <v>43936</v>
      </c>
      <c r="B26">
        <v>52</v>
      </c>
      <c r="C26" t="s">
        <v>12</v>
      </c>
      <c r="D26" t="s">
        <v>10</v>
      </c>
      <c r="E26">
        <v>34</v>
      </c>
      <c r="F26" s="2">
        <v>56100</v>
      </c>
      <c r="G26" s="10" t="str">
        <f t="shared" si="0"/>
        <v>43922Celulose</v>
      </c>
      <c r="H26" s="12">
        <f>VLOOKUP(G26,'Tab Custo'!C:D,2,0)</f>
        <v>530.54999999999995</v>
      </c>
      <c r="I26" s="13">
        <f t="shared" si="1"/>
        <v>18038.699999999997</v>
      </c>
      <c r="J26" s="6">
        <f>F26*'Impostos s Vendas'!$B$1</f>
        <v>15483.600000000002</v>
      </c>
      <c r="K26" s="6">
        <f t="shared" si="2"/>
        <v>40616.399999999994</v>
      </c>
      <c r="L26" s="6">
        <f t="shared" si="3"/>
        <v>38061.300000000003</v>
      </c>
      <c r="M26" s="6">
        <f t="shared" si="4"/>
        <v>22577.699999999997</v>
      </c>
    </row>
    <row r="27" spans="1:13" x14ac:dyDescent="0.25">
      <c r="A27" s="1">
        <v>44053</v>
      </c>
      <c r="B27">
        <v>65</v>
      </c>
      <c r="C27" t="s">
        <v>12</v>
      </c>
      <c r="D27" t="s">
        <v>10</v>
      </c>
      <c r="E27">
        <v>36</v>
      </c>
      <c r="F27" s="2">
        <v>59400</v>
      </c>
      <c r="G27" s="10" t="str">
        <f t="shared" si="0"/>
        <v>44044Celulose</v>
      </c>
      <c r="H27" s="12">
        <f>VLOOKUP(G27,'Tab Custo'!C:D,2,0)</f>
        <v>524.66999999999996</v>
      </c>
      <c r="I27" s="13">
        <f t="shared" si="1"/>
        <v>18888.12</v>
      </c>
      <c r="J27" s="6">
        <f>F27*'Impostos s Vendas'!$B$1</f>
        <v>16394.400000000001</v>
      </c>
      <c r="K27" s="6">
        <f t="shared" si="2"/>
        <v>43005.599999999999</v>
      </c>
      <c r="L27" s="6">
        <f t="shared" si="3"/>
        <v>40511.880000000005</v>
      </c>
      <c r="M27" s="6">
        <f t="shared" si="4"/>
        <v>24117.48</v>
      </c>
    </row>
    <row r="28" spans="1:13" x14ac:dyDescent="0.25">
      <c r="A28" s="1">
        <v>44089</v>
      </c>
      <c r="B28">
        <v>90</v>
      </c>
      <c r="C28" t="s">
        <v>12</v>
      </c>
      <c r="D28" t="s">
        <v>10</v>
      </c>
      <c r="E28">
        <v>43</v>
      </c>
      <c r="F28" s="2">
        <v>70950</v>
      </c>
      <c r="G28" s="10" t="str">
        <f t="shared" si="0"/>
        <v>44075Celulose</v>
      </c>
      <c r="H28" s="12">
        <f>VLOOKUP(G28,'Tab Custo'!C:D,2,0)</f>
        <v>532.54</v>
      </c>
      <c r="I28" s="13">
        <f t="shared" si="1"/>
        <v>22899.219999999998</v>
      </c>
      <c r="J28" s="6">
        <f>F28*'Impostos s Vendas'!$B$1</f>
        <v>19582.2</v>
      </c>
      <c r="K28" s="6">
        <f t="shared" si="2"/>
        <v>51367.8</v>
      </c>
      <c r="L28" s="6">
        <f t="shared" si="3"/>
        <v>48050.78</v>
      </c>
      <c r="M28" s="6">
        <f t="shared" si="4"/>
        <v>28468.580000000005</v>
      </c>
    </row>
    <row r="29" spans="1:13" x14ac:dyDescent="0.25">
      <c r="A29" s="1">
        <v>44124</v>
      </c>
      <c r="B29">
        <v>81</v>
      </c>
      <c r="C29" t="s">
        <v>11</v>
      </c>
      <c r="D29" t="s">
        <v>10</v>
      </c>
      <c r="E29">
        <v>42</v>
      </c>
      <c r="F29" s="2">
        <v>84000</v>
      </c>
      <c r="G29" s="10" t="str">
        <f t="shared" si="0"/>
        <v>44105Celulose</v>
      </c>
      <c r="H29" s="12">
        <f>VLOOKUP(G29,'Tab Custo'!C:D,2,0)</f>
        <v>543.19000000000005</v>
      </c>
      <c r="I29" s="13">
        <f t="shared" si="1"/>
        <v>22813.980000000003</v>
      </c>
      <c r="J29" s="6">
        <f>F29*'Impostos s Vendas'!$B$1</f>
        <v>23184.000000000004</v>
      </c>
      <c r="K29" s="6">
        <f t="shared" si="2"/>
        <v>60816</v>
      </c>
      <c r="L29" s="6">
        <f t="shared" si="3"/>
        <v>61186.02</v>
      </c>
      <c r="M29" s="6">
        <f t="shared" si="4"/>
        <v>38002.019999999997</v>
      </c>
    </row>
    <row r="30" spans="1:13" x14ac:dyDescent="0.25">
      <c r="A30" s="1">
        <v>44150</v>
      </c>
      <c r="B30">
        <v>85</v>
      </c>
      <c r="C30" t="s">
        <v>12</v>
      </c>
      <c r="D30" t="s">
        <v>10</v>
      </c>
      <c r="E30">
        <v>41</v>
      </c>
      <c r="F30" s="2">
        <v>82000</v>
      </c>
      <c r="G30" s="10" t="str">
        <f t="shared" si="0"/>
        <v>44136Celulose</v>
      </c>
      <c r="H30" s="12">
        <f>VLOOKUP(G30,'Tab Custo'!C:D,2,0)</f>
        <v>559.49</v>
      </c>
      <c r="I30" s="13">
        <f t="shared" si="1"/>
        <v>22939.09</v>
      </c>
      <c r="J30" s="6">
        <f>F30*'Impostos s Vendas'!$B$1</f>
        <v>22632.000000000004</v>
      </c>
      <c r="K30" s="6">
        <f t="shared" si="2"/>
        <v>59368</v>
      </c>
      <c r="L30" s="6">
        <f t="shared" si="3"/>
        <v>59060.91</v>
      </c>
      <c r="M30" s="6">
        <f t="shared" si="4"/>
        <v>36428.910000000003</v>
      </c>
    </row>
    <row r="31" spans="1:13" x14ac:dyDescent="0.25">
      <c r="A31" s="1">
        <v>44175</v>
      </c>
      <c r="B31">
        <v>100</v>
      </c>
      <c r="C31" t="s">
        <v>12</v>
      </c>
      <c r="D31" t="s">
        <v>10</v>
      </c>
      <c r="E31">
        <v>49</v>
      </c>
      <c r="F31" s="2">
        <v>98000</v>
      </c>
      <c r="G31" s="10" t="str">
        <f t="shared" si="0"/>
        <v>44166Celulose</v>
      </c>
      <c r="H31" s="12">
        <f>VLOOKUP(G31,'Tab Custo'!C:D,2,0)</f>
        <v>565.08000000000004</v>
      </c>
      <c r="I31" s="13">
        <f t="shared" si="1"/>
        <v>27688.920000000002</v>
      </c>
      <c r="J31" s="6">
        <f>F31*'Impostos s Vendas'!$B$1</f>
        <v>27048.000000000004</v>
      </c>
      <c r="K31" s="6">
        <f t="shared" si="2"/>
        <v>70952</v>
      </c>
      <c r="L31" s="6">
        <f t="shared" si="3"/>
        <v>70311.08</v>
      </c>
      <c r="M31" s="6">
        <f t="shared" si="4"/>
        <v>43263.08</v>
      </c>
    </row>
  </sheetData>
  <autoFilter ref="A1:F31" xr:uid="{00000000-0009-0000-0000-000004000000}"/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62676-9C76-4C59-9490-C028C4BA765A}">
  <dimension ref="A1:AO44"/>
  <sheetViews>
    <sheetView showGridLines="0" zoomScaleNormal="100" workbookViewId="0">
      <selection activeCell="A45" sqref="A45:XFD1048576"/>
    </sheetView>
  </sheetViews>
  <sheetFormatPr defaultColWidth="0" defaultRowHeight="15" zeroHeight="1" x14ac:dyDescent="0.25"/>
  <cols>
    <col min="1" max="1" width="2.140625" customWidth="1"/>
    <col min="2" max="2" width="18.140625" bestFit="1" customWidth="1"/>
    <col min="3" max="11" width="14.28515625" bestFit="1" customWidth="1"/>
    <col min="12" max="12" width="15.85546875" bestFit="1" customWidth="1"/>
    <col min="13" max="14" width="6.5703125" bestFit="1" customWidth="1"/>
    <col min="15" max="15" width="10.85546875" bestFit="1" customWidth="1"/>
    <col min="16" max="16" width="15.85546875" bestFit="1" customWidth="1"/>
    <col min="17" max="17" width="14.28515625" bestFit="1" customWidth="1"/>
    <col min="18" max="18" width="18.140625" bestFit="1" customWidth="1"/>
    <col min="19" max="19" width="15.85546875" bestFit="1" customWidth="1"/>
    <col min="20" max="21" width="14.28515625" bestFit="1" customWidth="1"/>
    <col min="22" max="22" width="6.42578125" customWidth="1"/>
    <col min="23" max="23" width="18" hidden="1" customWidth="1"/>
    <col min="24" max="24" width="12.140625" hidden="1" customWidth="1"/>
    <col min="25" max="25" width="12.7109375" hidden="1" customWidth="1"/>
    <col min="26" max="28" width="15.28515625" hidden="1" customWidth="1"/>
    <col min="29" max="30" width="6.5703125" hidden="1" customWidth="1"/>
    <col min="31" max="31" width="10.7109375" hidden="1" customWidth="1"/>
    <col min="32" max="32" width="11" hidden="1" customWidth="1"/>
    <col min="33" max="33" width="13.5703125" hidden="1" customWidth="1"/>
    <col min="34" max="34" width="10.140625" hidden="1" customWidth="1"/>
    <col min="35" max="35" width="3.85546875" hidden="1" customWidth="1"/>
    <col min="36" max="36" width="4.140625" hidden="1" customWidth="1"/>
    <col min="37" max="37" width="3.7109375" hidden="1" customWidth="1"/>
    <col min="38" max="38" width="4" hidden="1" customWidth="1"/>
    <col min="39" max="39" width="4.28515625" hidden="1" customWidth="1"/>
    <col min="40" max="40" width="4.140625" hidden="1" customWidth="1"/>
    <col min="41" max="41" width="10.7109375" hidden="1" customWidth="1"/>
    <col min="42" max="16384" width="6.5703125" hidden="1"/>
  </cols>
  <sheetData>
    <row r="1" spans="2:34" x14ac:dyDescent="0.25"/>
    <row r="2" spans="2:34" x14ac:dyDescent="0.25"/>
    <row r="3" spans="2:34" x14ac:dyDescent="0.25">
      <c r="B3" s="22" t="s">
        <v>89</v>
      </c>
      <c r="C3" s="22" t="s">
        <v>76</v>
      </c>
      <c r="O3" s="22" t="s">
        <v>77</v>
      </c>
      <c r="P3" t="s">
        <v>78</v>
      </c>
      <c r="Q3" t="s">
        <v>79</v>
      </c>
      <c r="R3" t="s">
        <v>96</v>
      </c>
      <c r="S3" t="s">
        <v>94</v>
      </c>
      <c r="T3" t="s">
        <v>80</v>
      </c>
      <c r="U3" t="s">
        <v>81</v>
      </c>
      <c r="W3" s="30" t="s">
        <v>77</v>
      </c>
      <c r="X3" s="30" t="s">
        <v>78</v>
      </c>
      <c r="Y3" s="30" t="s">
        <v>79</v>
      </c>
      <c r="Z3" s="30" t="s">
        <v>84</v>
      </c>
      <c r="AA3" s="30" t="s">
        <v>80</v>
      </c>
      <c r="AB3" s="30" t="s">
        <v>81</v>
      </c>
      <c r="AE3" s="50" t="s">
        <v>98</v>
      </c>
      <c r="AF3" s="51" t="s">
        <v>102</v>
      </c>
      <c r="AG3" s="51" t="s">
        <v>19</v>
      </c>
      <c r="AH3" s="51" t="s">
        <v>79</v>
      </c>
    </row>
    <row r="4" spans="2:34" x14ac:dyDescent="0.25">
      <c r="B4" s="45" t="s">
        <v>88</v>
      </c>
      <c r="C4" s="3" t="s">
        <v>39</v>
      </c>
      <c r="D4" s="3" t="s">
        <v>40</v>
      </c>
      <c r="E4" s="3" t="s">
        <v>41</v>
      </c>
      <c r="F4" s="3" t="s">
        <v>44</v>
      </c>
      <c r="G4" s="3" t="s">
        <v>45</v>
      </c>
      <c r="H4" s="3" t="s">
        <v>42</v>
      </c>
      <c r="I4" s="3" t="s">
        <v>46</v>
      </c>
      <c r="J4" s="3" t="s">
        <v>43</v>
      </c>
      <c r="K4" s="3" t="s">
        <v>47</v>
      </c>
      <c r="L4" s="3" t="s">
        <v>38</v>
      </c>
      <c r="M4" s="24"/>
      <c r="N4" s="24"/>
      <c r="O4" s="23" t="s">
        <v>39</v>
      </c>
      <c r="P4" s="49">
        <v>466700</v>
      </c>
      <c r="Q4" s="49">
        <v>266000</v>
      </c>
      <c r="R4" s="49">
        <v>128809.20000000001</v>
      </c>
      <c r="S4" s="49">
        <v>337890.8</v>
      </c>
      <c r="T4" s="49">
        <v>200700</v>
      </c>
      <c r="U4" s="49">
        <v>71890.8</v>
      </c>
      <c r="V4" s="24"/>
      <c r="W4" s="31">
        <v>43831</v>
      </c>
      <c r="X4" s="32">
        <v>466.7</v>
      </c>
      <c r="Y4" s="32">
        <v>-266</v>
      </c>
      <c r="Z4" s="32">
        <v>-128.8092</v>
      </c>
      <c r="AA4" s="32">
        <v>200.7</v>
      </c>
      <c r="AB4" s="32">
        <v>71.890799999999999</v>
      </c>
      <c r="AE4" s="15">
        <v>43831</v>
      </c>
      <c r="AF4" s="2">
        <v>8000</v>
      </c>
      <c r="AG4" s="2">
        <v>3000</v>
      </c>
      <c r="AH4" s="2">
        <v>266000</v>
      </c>
    </row>
    <row r="5" spans="2:34" x14ac:dyDescent="0.25">
      <c r="B5" s="23" t="s">
        <v>9</v>
      </c>
      <c r="C5" s="24">
        <v>45200</v>
      </c>
      <c r="D5" s="24">
        <v>33900</v>
      </c>
      <c r="E5" s="24">
        <v>49500</v>
      </c>
      <c r="F5" s="24"/>
      <c r="G5" s="24"/>
      <c r="H5" s="24">
        <v>50400</v>
      </c>
      <c r="I5" s="24"/>
      <c r="J5" s="24">
        <v>43750</v>
      </c>
      <c r="K5" s="24"/>
      <c r="L5" s="24">
        <v>222750</v>
      </c>
      <c r="M5" s="24"/>
      <c r="N5" s="24"/>
      <c r="O5" s="23" t="s">
        <v>40</v>
      </c>
      <c r="P5" s="49">
        <v>349600</v>
      </c>
      <c r="Q5" s="49">
        <v>185130</v>
      </c>
      <c r="R5" s="49">
        <v>96489.600000000006</v>
      </c>
      <c r="S5" s="49">
        <v>253110.39999999997</v>
      </c>
      <c r="T5" s="49">
        <v>164470</v>
      </c>
      <c r="U5" s="49">
        <v>67980.399999999994</v>
      </c>
      <c r="V5" s="24"/>
      <c r="W5" s="31">
        <v>43862</v>
      </c>
      <c r="X5" s="32">
        <v>349.6</v>
      </c>
      <c r="Y5" s="32">
        <v>-185.13</v>
      </c>
      <c r="Z5" s="32">
        <v>-96.489599999999996</v>
      </c>
      <c r="AA5" s="32">
        <v>164.47</v>
      </c>
      <c r="AB5" s="32">
        <v>67.980399999999989</v>
      </c>
      <c r="AE5" s="15">
        <v>43862</v>
      </c>
      <c r="AF5" s="2">
        <v>7800</v>
      </c>
      <c r="AG5" s="2">
        <v>3100</v>
      </c>
      <c r="AH5" s="2">
        <v>185130</v>
      </c>
    </row>
    <row r="6" spans="2:34" x14ac:dyDescent="0.25">
      <c r="B6" s="23" t="s">
        <v>8</v>
      </c>
      <c r="C6" s="24">
        <v>187500</v>
      </c>
      <c r="D6" s="24">
        <v>122400</v>
      </c>
      <c r="E6" s="24"/>
      <c r="F6" s="24">
        <v>96200</v>
      </c>
      <c r="G6" s="24">
        <v>48020</v>
      </c>
      <c r="H6" s="24"/>
      <c r="I6" s="24">
        <v>49000</v>
      </c>
      <c r="J6" s="24"/>
      <c r="K6" s="24">
        <v>79300</v>
      </c>
      <c r="L6" s="24">
        <v>582420</v>
      </c>
      <c r="M6" s="24"/>
      <c r="N6" s="24"/>
      <c r="O6" s="23" t="s">
        <v>41</v>
      </c>
      <c r="P6" s="49">
        <v>129500</v>
      </c>
      <c r="Q6" s="49">
        <v>64086.599999999991</v>
      </c>
      <c r="R6" s="49">
        <v>35742.000000000007</v>
      </c>
      <c r="S6" s="49">
        <v>93758</v>
      </c>
      <c r="T6" s="49">
        <v>65413.4</v>
      </c>
      <c r="U6" s="49">
        <v>29671.400000000005</v>
      </c>
      <c r="V6" s="24"/>
      <c r="W6" s="31">
        <v>43891</v>
      </c>
      <c r="X6" s="32">
        <v>129.5</v>
      </c>
      <c r="Y6" s="32">
        <v>-64.086600000000004</v>
      </c>
      <c r="Z6" s="32">
        <v>-35.741999999999997</v>
      </c>
      <c r="AA6" s="32">
        <v>65.413399999999996</v>
      </c>
      <c r="AB6" s="32">
        <v>29.671400000000006</v>
      </c>
      <c r="AE6" s="15">
        <v>43891</v>
      </c>
      <c r="AF6" s="2">
        <v>9000</v>
      </c>
      <c r="AG6" s="2">
        <v>3200</v>
      </c>
      <c r="AH6" s="2">
        <v>64086.599999999991</v>
      </c>
    </row>
    <row r="7" spans="2:34" x14ac:dyDescent="0.25">
      <c r="B7" s="23" t="s">
        <v>10</v>
      </c>
      <c r="C7" s="24">
        <v>234000</v>
      </c>
      <c r="D7" s="24">
        <v>193300</v>
      </c>
      <c r="E7" s="24">
        <v>80000</v>
      </c>
      <c r="F7" s="24">
        <v>108900</v>
      </c>
      <c r="G7" s="24">
        <v>59400</v>
      </c>
      <c r="H7" s="24">
        <v>70950</v>
      </c>
      <c r="I7" s="24">
        <v>84000</v>
      </c>
      <c r="J7" s="24">
        <v>82000</v>
      </c>
      <c r="K7" s="24">
        <v>98000</v>
      </c>
      <c r="L7" s="24">
        <v>1010550</v>
      </c>
      <c r="M7" s="24"/>
      <c r="N7" s="24"/>
      <c r="O7" s="23" t="s">
        <v>44</v>
      </c>
      <c r="P7" s="49">
        <v>205100</v>
      </c>
      <c r="Q7" s="49">
        <v>113537.7</v>
      </c>
      <c r="R7" s="49">
        <v>56607.600000000006</v>
      </c>
      <c r="S7" s="49">
        <v>148492.39999999997</v>
      </c>
      <c r="T7" s="49">
        <v>91562.3</v>
      </c>
      <c r="U7" s="49">
        <v>34954.69999999999</v>
      </c>
      <c r="V7" s="24"/>
      <c r="W7" s="31">
        <v>43922</v>
      </c>
      <c r="X7" s="32">
        <v>205.1</v>
      </c>
      <c r="Y7" s="32">
        <v>-113.5377</v>
      </c>
      <c r="Z7" s="32">
        <v>-56.607599999999998</v>
      </c>
      <c r="AA7" s="32">
        <v>91.562300000000008</v>
      </c>
      <c r="AB7" s="32">
        <v>34.954699999999988</v>
      </c>
      <c r="AE7" s="15">
        <v>43922</v>
      </c>
      <c r="AF7" s="2">
        <v>9100</v>
      </c>
      <c r="AG7" s="2">
        <v>3150</v>
      </c>
      <c r="AH7" s="2">
        <v>113537.7</v>
      </c>
    </row>
    <row r="8" spans="2:34" x14ac:dyDescent="0.25">
      <c r="B8" s="23" t="s">
        <v>38</v>
      </c>
      <c r="C8" s="24">
        <v>466700</v>
      </c>
      <c r="D8" s="24">
        <v>349600</v>
      </c>
      <c r="E8" s="24">
        <v>129500</v>
      </c>
      <c r="F8" s="24">
        <v>205100</v>
      </c>
      <c r="G8" s="24">
        <v>107420</v>
      </c>
      <c r="H8" s="24">
        <v>121350</v>
      </c>
      <c r="I8" s="24">
        <v>133000</v>
      </c>
      <c r="J8" s="24">
        <v>125750</v>
      </c>
      <c r="K8" s="24">
        <v>177300</v>
      </c>
      <c r="L8" s="24">
        <v>1815720</v>
      </c>
      <c r="M8" s="24"/>
      <c r="N8" s="24"/>
      <c r="O8" s="23" t="s">
        <v>45</v>
      </c>
      <c r="P8" s="49">
        <v>107420</v>
      </c>
      <c r="Q8" s="49">
        <v>60021.66</v>
      </c>
      <c r="R8" s="49">
        <v>29647.920000000002</v>
      </c>
      <c r="S8" s="49">
        <v>77772.079999999987</v>
      </c>
      <c r="T8" s="49">
        <v>47398.340000000004</v>
      </c>
      <c r="U8" s="49">
        <v>17750.419999999995</v>
      </c>
      <c r="V8" s="24"/>
      <c r="W8" s="31">
        <v>44044</v>
      </c>
      <c r="X8" s="32">
        <v>107.42</v>
      </c>
      <c r="Y8" s="32">
        <v>-60.021659999999997</v>
      </c>
      <c r="Z8" s="32">
        <v>-29.647919999999999</v>
      </c>
      <c r="AA8" s="32">
        <v>47.398340000000005</v>
      </c>
      <c r="AB8" s="32">
        <v>17.750419999999995</v>
      </c>
      <c r="AE8" s="15">
        <v>44044</v>
      </c>
      <c r="AF8" s="2">
        <v>5000</v>
      </c>
      <c r="AG8" s="2">
        <v>2800</v>
      </c>
      <c r="AH8" s="2">
        <v>60021.66</v>
      </c>
    </row>
    <row r="9" spans="2:34" x14ac:dyDescent="0.25">
      <c r="M9" s="24"/>
      <c r="N9" s="24"/>
      <c r="O9" s="23" t="s">
        <v>42</v>
      </c>
      <c r="P9" s="49">
        <v>121350</v>
      </c>
      <c r="Q9" s="49">
        <v>58685.739999999991</v>
      </c>
      <c r="R9" s="49">
        <v>33492.600000000006</v>
      </c>
      <c r="S9" s="49">
        <v>87857.4</v>
      </c>
      <c r="T9" s="49">
        <v>62664.26</v>
      </c>
      <c r="U9" s="49">
        <v>29171.660000000007</v>
      </c>
      <c r="V9" s="24"/>
      <c r="W9" s="31">
        <v>44075</v>
      </c>
      <c r="X9" s="32">
        <v>121.35</v>
      </c>
      <c r="Y9" s="32">
        <v>-58.685740000000003</v>
      </c>
      <c r="Z9" s="32">
        <v>-33.492600000000003</v>
      </c>
      <c r="AA9" s="32">
        <v>62.664259999999999</v>
      </c>
      <c r="AB9" s="32">
        <v>29.171660000000006</v>
      </c>
      <c r="AE9" s="15">
        <v>44075</v>
      </c>
      <c r="AF9" s="2">
        <v>7500</v>
      </c>
      <c r="AG9" s="2">
        <v>2950</v>
      </c>
      <c r="AH9" s="2">
        <v>58685.739999999991</v>
      </c>
    </row>
    <row r="10" spans="2:34" x14ac:dyDescent="0.25">
      <c r="B10" s="22" t="s">
        <v>86</v>
      </c>
      <c r="C10" s="22" t="s">
        <v>76</v>
      </c>
      <c r="O10" s="23" t="s">
        <v>46</v>
      </c>
      <c r="P10" s="49">
        <v>133000</v>
      </c>
      <c r="Q10" s="49">
        <v>66268.98000000001</v>
      </c>
      <c r="R10" s="49">
        <v>36708.000000000007</v>
      </c>
      <c r="S10" s="49">
        <v>96292</v>
      </c>
      <c r="T10" s="49">
        <v>66731.01999999999</v>
      </c>
      <c r="U10" s="49">
        <v>30023.019999999997</v>
      </c>
      <c r="V10" s="24"/>
      <c r="W10" s="31">
        <v>44105</v>
      </c>
      <c r="X10" s="32">
        <v>133</v>
      </c>
      <c r="Y10" s="32">
        <v>-66.268979999999999</v>
      </c>
      <c r="Z10" s="32">
        <v>-36.707999999999998</v>
      </c>
      <c r="AA10" s="32">
        <v>66.731019999999987</v>
      </c>
      <c r="AB10" s="32">
        <v>30.023019999999995</v>
      </c>
      <c r="AE10" s="15">
        <v>44105</v>
      </c>
      <c r="AF10" s="2">
        <v>8000</v>
      </c>
      <c r="AG10" s="2">
        <v>2900</v>
      </c>
      <c r="AH10" s="2">
        <v>66268.98000000001</v>
      </c>
    </row>
    <row r="11" spans="2:34" x14ac:dyDescent="0.25">
      <c r="B11" s="46" t="s">
        <v>87</v>
      </c>
      <c r="C11" s="47" t="s">
        <v>39</v>
      </c>
      <c r="D11" s="47" t="s">
        <v>40</v>
      </c>
      <c r="E11" s="47" t="s">
        <v>41</v>
      </c>
      <c r="F11" s="47" t="s">
        <v>44</v>
      </c>
      <c r="G11" s="47" t="s">
        <v>45</v>
      </c>
      <c r="H11" s="47" t="s">
        <v>42</v>
      </c>
      <c r="I11" s="47" t="s">
        <v>46</v>
      </c>
      <c r="J11" s="47" t="s">
        <v>43</v>
      </c>
      <c r="K11" s="47" t="s">
        <v>47</v>
      </c>
      <c r="L11" s="47" t="s">
        <v>38</v>
      </c>
      <c r="O11" s="23" t="s">
        <v>43</v>
      </c>
      <c r="P11" s="49">
        <v>125750</v>
      </c>
      <c r="Q11" s="49">
        <v>54270.39</v>
      </c>
      <c r="R11" s="49">
        <v>34707.000000000007</v>
      </c>
      <c r="S11" s="49">
        <v>91043</v>
      </c>
      <c r="T11" s="49">
        <v>71479.61</v>
      </c>
      <c r="U11" s="49">
        <v>36772.61</v>
      </c>
      <c r="V11" s="24"/>
      <c r="W11" s="31">
        <v>44136</v>
      </c>
      <c r="X11" s="32">
        <v>125.75</v>
      </c>
      <c r="Y11" s="32">
        <v>-54.270389999999999</v>
      </c>
      <c r="Z11" s="32">
        <v>-34.707000000000001</v>
      </c>
      <c r="AA11" s="32">
        <v>71.479609999999994</v>
      </c>
      <c r="AB11" s="32">
        <v>36.77261</v>
      </c>
      <c r="AE11" s="15">
        <v>44136</v>
      </c>
      <c r="AF11" s="2">
        <v>8300</v>
      </c>
      <c r="AG11" s="2">
        <v>2850</v>
      </c>
      <c r="AH11" s="2">
        <v>54270.39</v>
      </c>
    </row>
    <row r="12" spans="2:34" x14ac:dyDescent="0.25">
      <c r="B12" s="23" t="s">
        <v>9</v>
      </c>
      <c r="C12" s="24">
        <v>32000</v>
      </c>
      <c r="D12" s="24">
        <v>24480</v>
      </c>
      <c r="E12" s="24">
        <v>37821.599999999999</v>
      </c>
      <c r="F12" s="24"/>
      <c r="G12" s="24"/>
      <c r="H12" s="24">
        <v>35786.519999999997</v>
      </c>
      <c r="I12" s="24"/>
      <c r="J12" s="24">
        <v>31331.3</v>
      </c>
      <c r="K12" s="24"/>
      <c r="L12" s="24">
        <v>161419.41999999998</v>
      </c>
      <c r="O12" s="23" t="s">
        <v>47</v>
      </c>
      <c r="P12" s="49">
        <v>177300</v>
      </c>
      <c r="Q12" s="49">
        <v>86456.72</v>
      </c>
      <c r="R12" s="49">
        <v>48934.8</v>
      </c>
      <c r="S12" s="49">
        <v>128365.2</v>
      </c>
      <c r="T12" s="49">
        <v>90843.28</v>
      </c>
      <c r="U12" s="49">
        <v>41908.479999999996</v>
      </c>
      <c r="V12" s="24"/>
      <c r="W12" s="31">
        <v>44166</v>
      </c>
      <c r="X12" s="32">
        <v>177.3</v>
      </c>
      <c r="Y12" s="32">
        <v>-86.456720000000004</v>
      </c>
      <c r="Z12" s="32">
        <v>-48.934800000000003</v>
      </c>
      <c r="AA12" s="32">
        <v>90.843279999999993</v>
      </c>
      <c r="AB12" s="32">
        <v>41.908479999999997</v>
      </c>
      <c r="AE12" s="15">
        <v>44166</v>
      </c>
      <c r="AF12" s="2">
        <v>8500</v>
      </c>
      <c r="AG12" s="2">
        <v>2700</v>
      </c>
      <c r="AH12" s="2">
        <v>86456.72</v>
      </c>
    </row>
    <row r="13" spans="2:34" x14ac:dyDescent="0.25">
      <c r="B13" s="23" t="s">
        <v>8</v>
      </c>
      <c r="C13" s="24">
        <v>150000</v>
      </c>
      <c r="D13" s="24">
        <v>97920</v>
      </c>
      <c r="E13" s="24"/>
      <c r="F13" s="24">
        <v>78521.399999999994</v>
      </c>
      <c r="G13" s="24">
        <v>41133.54</v>
      </c>
      <c r="H13" s="24"/>
      <c r="I13" s="24">
        <v>43455</v>
      </c>
      <c r="J13" s="24"/>
      <c r="K13" s="24">
        <v>58767.8</v>
      </c>
      <c r="L13" s="24">
        <v>469797.74</v>
      </c>
      <c r="O13" s="23" t="s">
        <v>38</v>
      </c>
      <c r="P13" s="49">
        <v>1815720</v>
      </c>
      <c r="Q13" s="49">
        <v>954457.78999999992</v>
      </c>
      <c r="R13" s="49">
        <v>501138.72000000003</v>
      </c>
      <c r="S13" s="49">
        <v>1314581.2799999998</v>
      </c>
      <c r="T13" s="49">
        <v>861262.21000000008</v>
      </c>
      <c r="U13" s="49">
        <v>360123.48999999993</v>
      </c>
      <c r="V13" s="24"/>
      <c r="W13" s="30" t="s">
        <v>38</v>
      </c>
      <c r="X13" s="33">
        <v>1815.72</v>
      </c>
      <c r="Y13" s="33">
        <v>-954.45779000000005</v>
      </c>
      <c r="Z13" s="33">
        <v>-501.13871999999998</v>
      </c>
      <c r="AA13" s="33">
        <v>861.2622100000001</v>
      </c>
      <c r="AB13" s="33">
        <v>360.12348999999995</v>
      </c>
      <c r="AE13" s="3" t="s">
        <v>20</v>
      </c>
      <c r="AF13" s="16">
        <f>SUM(AF4:AF12)</f>
        <v>71200</v>
      </c>
      <c r="AG13" s="16">
        <f>SUM(AG4:AG12)</f>
        <v>26650</v>
      </c>
      <c r="AH13" s="16">
        <v>954457.78999999992</v>
      </c>
    </row>
    <row r="14" spans="2:34" x14ac:dyDescent="0.25">
      <c r="B14" s="23" t="s">
        <v>10</v>
      </c>
      <c r="C14" s="24">
        <v>84000</v>
      </c>
      <c r="D14" s="24">
        <v>62730</v>
      </c>
      <c r="E14" s="24">
        <v>26264.999999999996</v>
      </c>
      <c r="F14" s="24">
        <v>35016.299999999996</v>
      </c>
      <c r="G14" s="24">
        <v>18888.12</v>
      </c>
      <c r="H14" s="24">
        <v>22899.219999999998</v>
      </c>
      <c r="I14" s="24">
        <v>22813.980000000003</v>
      </c>
      <c r="J14" s="24">
        <v>22939.09</v>
      </c>
      <c r="K14" s="24">
        <v>27688.920000000002</v>
      </c>
      <c r="L14" s="24">
        <v>323240.63</v>
      </c>
    </row>
    <row r="15" spans="2:34" x14ac:dyDescent="0.25">
      <c r="B15" s="23" t="s">
        <v>38</v>
      </c>
      <c r="C15" s="24">
        <v>266000</v>
      </c>
      <c r="D15" s="24">
        <v>185130</v>
      </c>
      <c r="E15" s="24">
        <v>64086.599999999991</v>
      </c>
      <c r="F15" s="24">
        <v>113537.69999999998</v>
      </c>
      <c r="G15" s="24">
        <v>60021.66</v>
      </c>
      <c r="H15" s="24">
        <v>58685.739999999991</v>
      </c>
      <c r="I15" s="24">
        <v>66268.98000000001</v>
      </c>
      <c r="J15" s="24">
        <v>54270.39</v>
      </c>
      <c r="K15" s="24">
        <v>86456.72</v>
      </c>
      <c r="L15" s="24">
        <v>954457.78999999992</v>
      </c>
    </row>
    <row r="16" spans="2:34" x14ac:dyDescent="0.25">
      <c r="O16" s="22" t="s">
        <v>77</v>
      </c>
      <c r="P16" t="s">
        <v>78</v>
      </c>
      <c r="Q16" t="s">
        <v>79</v>
      </c>
      <c r="R16" t="s">
        <v>97</v>
      </c>
      <c r="S16" t="s">
        <v>95</v>
      </c>
      <c r="T16" t="s">
        <v>80</v>
      </c>
      <c r="U16" t="s">
        <v>81</v>
      </c>
      <c r="W16" s="22" t="s">
        <v>37</v>
      </c>
      <c r="X16" t="s">
        <v>90</v>
      </c>
      <c r="Y16" t="s">
        <v>91</v>
      </c>
      <c r="AC16" s="22"/>
      <c r="AE16" s="22" t="s">
        <v>100</v>
      </c>
      <c r="AF16" t="s">
        <v>103</v>
      </c>
      <c r="AG16" t="s">
        <v>99</v>
      </c>
      <c r="AH16" t="s">
        <v>101</v>
      </c>
    </row>
    <row r="17" spans="13:38" x14ac:dyDescent="0.25">
      <c r="M17" s="24"/>
      <c r="N17" s="24"/>
      <c r="O17" s="23" t="s">
        <v>9</v>
      </c>
      <c r="P17" s="24">
        <v>222750</v>
      </c>
      <c r="Q17" s="24">
        <v>161419.41999999998</v>
      </c>
      <c r="R17" s="24">
        <v>61479.000000000007</v>
      </c>
      <c r="S17" s="24">
        <v>161271</v>
      </c>
      <c r="T17" s="24">
        <v>61330.58</v>
      </c>
      <c r="U17" s="24">
        <v>-148.41999999999825</v>
      </c>
      <c r="V17" s="24"/>
      <c r="W17" s="23" t="s">
        <v>9</v>
      </c>
      <c r="X17" s="49">
        <v>222750</v>
      </c>
      <c r="Y17" s="49">
        <v>-148.41999999999825</v>
      </c>
      <c r="AE17" s="23" t="s">
        <v>39</v>
      </c>
      <c r="AF17" s="52">
        <v>8000</v>
      </c>
      <c r="AG17" s="52">
        <v>3000</v>
      </c>
      <c r="AH17" s="52">
        <v>266000</v>
      </c>
    </row>
    <row r="18" spans="13:38" x14ac:dyDescent="0.25">
      <c r="M18" s="24"/>
      <c r="N18" s="24"/>
      <c r="O18" s="14" t="s">
        <v>39</v>
      </c>
      <c r="P18" s="24">
        <v>45200</v>
      </c>
      <c r="Q18" s="24">
        <v>32000</v>
      </c>
      <c r="R18" s="24">
        <v>12475.2</v>
      </c>
      <c r="S18" s="24">
        <v>32724.799999999999</v>
      </c>
      <c r="T18" s="24">
        <v>13200</v>
      </c>
      <c r="U18" s="24">
        <v>724.79999999999927</v>
      </c>
      <c r="V18" s="24"/>
      <c r="W18" s="23" t="s">
        <v>8</v>
      </c>
      <c r="X18" s="49">
        <v>582420</v>
      </c>
      <c r="Y18" s="49">
        <v>-48125.660000000025</v>
      </c>
      <c r="AE18" s="23" t="s">
        <v>40</v>
      </c>
      <c r="AF18" s="52">
        <v>7800</v>
      </c>
      <c r="AG18" s="52">
        <v>3100</v>
      </c>
      <c r="AH18" s="52">
        <v>185130</v>
      </c>
    </row>
    <row r="19" spans="13:38" x14ac:dyDescent="0.25">
      <c r="M19" s="24"/>
      <c r="N19" s="24"/>
      <c r="O19" s="14" t="s">
        <v>40</v>
      </c>
      <c r="P19" s="24">
        <v>33900</v>
      </c>
      <c r="Q19" s="24">
        <v>24480</v>
      </c>
      <c r="R19" s="24">
        <v>9356.4000000000015</v>
      </c>
      <c r="S19" s="24">
        <v>24543.599999999999</v>
      </c>
      <c r="T19" s="24">
        <v>9420</v>
      </c>
      <c r="U19" s="24">
        <v>63.599999999998545</v>
      </c>
      <c r="V19" s="24"/>
      <c r="W19" s="23" t="s">
        <v>10</v>
      </c>
      <c r="X19" s="49">
        <v>1010550</v>
      </c>
      <c r="Y19" s="49">
        <v>408397.57</v>
      </c>
      <c r="AE19" s="23" t="s">
        <v>41</v>
      </c>
      <c r="AF19" s="52">
        <v>9000</v>
      </c>
      <c r="AG19" s="52">
        <v>3200</v>
      </c>
      <c r="AH19" s="52">
        <v>64086.599999999991</v>
      </c>
    </row>
    <row r="20" spans="13:38" x14ac:dyDescent="0.25">
      <c r="M20" s="24"/>
      <c r="N20" s="24"/>
      <c r="O20" s="14" t="s">
        <v>41</v>
      </c>
      <c r="P20" s="24">
        <v>49500</v>
      </c>
      <c r="Q20" s="24">
        <v>37821.599999999999</v>
      </c>
      <c r="R20" s="24">
        <v>13662.000000000002</v>
      </c>
      <c r="S20" s="24">
        <v>35838</v>
      </c>
      <c r="T20" s="24">
        <v>11678.400000000001</v>
      </c>
      <c r="U20" s="24">
        <v>-1983.5999999999985</v>
      </c>
      <c r="V20" s="24"/>
      <c r="W20" s="23" t="s">
        <v>38</v>
      </c>
      <c r="X20" s="49">
        <v>1815720</v>
      </c>
      <c r="Y20" s="49">
        <v>360123.49</v>
      </c>
      <c r="AE20" s="23" t="s">
        <v>44</v>
      </c>
      <c r="AF20" s="52">
        <v>9100</v>
      </c>
      <c r="AG20" s="52">
        <v>3150</v>
      </c>
      <c r="AH20" s="52">
        <v>113537.7</v>
      </c>
    </row>
    <row r="21" spans="13:38" x14ac:dyDescent="0.25">
      <c r="M21" s="24"/>
      <c r="N21" s="24"/>
      <c r="O21" s="14" t="s">
        <v>42</v>
      </c>
      <c r="P21" s="24">
        <v>50400</v>
      </c>
      <c r="Q21" s="24">
        <v>35786.519999999997</v>
      </c>
      <c r="R21" s="24">
        <v>13910.400000000001</v>
      </c>
      <c r="S21" s="24">
        <v>36489.599999999999</v>
      </c>
      <c r="T21" s="24">
        <v>14613.480000000003</v>
      </c>
      <c r="U21" s="24">
        <v>703.08000000000175</v>
      </c>
      <c r="V21" s="24"/>
      <c r="AE21" s="23" t="s">
        <v>45</v>
      </c>
      <c r="AF21" s="52">
        <v>5000</v>
      </c>
      <c r="AG21" s="52">
        <v>2800</v>
      </c>
      <c r="AH21" s="52">
        <v>60021.66</v>
      </c>
    </row>
    <row r="22" spans="13:38" x14ac:dyDescent="0.25">
      <c r="M22" s="24"/>
      <c r="N22" s="24"/>
      <c r="O22" s="14" t="s">
        <v>43</v>
      </c>
      <c r="P22" s="24">
        <v>43750</v>
      </c>
      <c r="Q22" s="24">
        <v>31331.3</v>
      </c>
      <c r="R22" s="24">
        <v>12075.000000000002</v>
      </c>
      <c r="S22" s="24">
        <v>31675</v>
      </c>
      <c r="T22" s="24">
        <v>12418.7</v>
      </c>
      <c r="U22" s="24">
        <v>343.70000000000073</v>
      </c>
      <c r="V22" s="24"/>
      <c r="W22" s="22" t="s">
        <v>37</v>
      </c>
      <c r="X22" t="s">
        <v>90</v>
      </c>
      <c r="Y22" t="s">
        <v>91</v>
      </c>
      <c r="Z22" s="22"/>
      <c r="AE22" s="23" t="s">
        <v>42</v>
      </c>
      <c r="AF22" s="52">
        <v>7500</v>
      </c>
      <c r="AG22" s="52">
        <v>2950</v>
      </c>
      <c r="AH22" s="52">
        <v>58685.739999999991</v>
      </c>
    </row>
    <row r="23" spans="13:38" x14ac:dyDescent="0.25">
      <c r="M23" s="24"/>
      <c r="N23" s="24"/>
      <c r="O23" s="23"/>
      <c r="P23" s="24"/>
      <c r="Q23" s="24"/>
      <c r="R23" s="24"/>
      <c r="S23" s="24"/>
      <c r="T23" s="24"/>
      <c r="U23" s="24"/>
      <c r="V23" s="24"/>
      <c r="W23" s="23" t="s">
        <v>5</v>
      </c>
      <c r="X23" s="49">
        <v>291700</v>
      </c>
      <c r="Y23" s="49">
        <v>-11185.120000000003</v>
      </c>
      <c r="AE23" s="23" t="s">
        <v>46</v>
      </c>
      <c r="AF23" s="52">
        <v>8000</v>
      </c>
      <c r="AG23" s="52">
        <v>2900</v>
      </c>
      <c r="AH23" s="52">
        <v>66268.98000000001</v>
      </c>
    </row>
    <row r="24" spans="13:38" x14ac:dyDescent="0.25">
      <c r="M24" s="24"/>
      <c r="N24" s="24"/>
      <c r="O24" s="23" t="s">
        <v>8</v>
      </c>
      <c r="P24" s="24">
        <v>582420</v>
      </c>
      <c r="Q24" s="24">
        <v>469797.74</v>
      </c>
      <c r="R24" s="24">
        <v>160747.92000000004</v>
      </c>
      <c r="S24" s="24">
        <v>421672.07999999996</v>
      </c>
      <c r="T24" s="24">
        <v>112622.26</v>
      </c>
      <c r="U24" s="24">
        <v>-48125.660000000025</v>
      </c>
      <c r="V24" s="24"/>
      <c r="W24" s="23" t="s">
        <v>6</v>
      </c>
      <c r="X24" s="49">
        <v>174900</v>
      </c>
      <c r="Y24" s="49">
        <v>-11507.000000000004</v>
      </c>
      <c r="AE24" s="23" t="s">
        <v>43</v>
      </c>
      <c r="AF24" s="52">
        <v>8300</v>
      </c>
      <c r="AG24" s="52">
        <v>2850</v>
      </c>
      <c r="AH24" s="52">
        <v>54270.39</v>
      </c>
    </row>
    <row r="25" spans="13:38" x14ac:dyDescent="0.25">
      <c r="M25" s="24"/>
      <c r="N25" s="24"/>
      <c r="O25" s="14" t="s">
        <v>39</v>
      </c>
      <c r="P25" s="24">
        <v>187500</v>
      </c>
      <c r="Q25" s="24">
        <v>150000</v>
      </c>
      <c r="R25" s="24">
        <v>51750</v>
      </c>
      <c r="S25" s="24">
        <v>135750</v>
      </c>
      <c r="T25" s="24">
        <v>37500</v>
      </c>
      <c r="U25" s="24">
        <v>-14250</v>
      </c>
      <c r="V25" s="24"/>
      <c r="W25" s="23" t="s">
        <v>7</v>
      </c>
      <c r="X25" s="49">
        <v>338570</v>
      </c>
      <c r="Y25" s="49">
        <v>-25581.960000000017</v>
      </c>
      <c r="AE25" s="23" t="s">
        <v>47</v>
      </c>
      <c r="AF25" s="52">
        <v>8500</v>
      </c>
      <c r="AG25" s="52">
        <v>2700</v>
      </c>
      <c r="AH25" s="52">
        <v>86456.72</v>
      </c>
    </row>
    <row r="26" spans="13:38" x14ac:dyDescent="0.25">
      <c r="M26" s="24"/>
      <c r="N26" s="24"/>
      <c r="O26" s="14" t="s">
        <v>40</v>
      </c>
      <c r="P26" s="24">
        <v>122400</v>
      </c>
      <c r="Q26" s="24">
        <v>97920</v>
      </c>
      <c r="R26" s="24">
        <v>33782.400000000009</v>
      </c>
      <c r="S26" s="24">
        <v>88617.599999999991</v>
      </c>
      <c r="T26" s="24">
        <v>24480</v>
      </c>
      <c r="U26" s="24">
        <v>-9302.4000000000087</v>
      </c>
      <c r="V26" s="24"/>
      <c r="W26" s="23" t="s">
        <v>11</v>
      </c>
      <c r="X26" s="49">
        <v>316600</v>
      </c>
      <c r="Y26" s="49">
        <v>124496.81999999998</v>
      </c>
      <c r="AE26" s="23" t="s">
        <v>38</v>
      </c>
      <c r="AF26" s="52">
        <v>71200</v>
      </c>
      <c r="AG26" s="52">
        <v>26650</v>
      </c>
      <c r="AH26" s="52">
        <v>954457.78999999992</v>
      </c>
    </row>
    <row r="27" spans="13:38" x14ac:dyDescent="0.25">
      <c r="M27" s="24"/>
      <c r="N27" s="24"/>
      <c r="O27" s="14" t="s">
        <v>44</v>
      </c>
      <c r="P27" s="24">
        <v>96200</v>
      </c>
      <c r="Q27" s="24">
        <v>78521.399999999994</v>
      </c>
      <c r="R27" s="24">
        <v>26551.200000000004</v>
      </c>
      <c r="S27" s="24">
        <v>69648.799999999988</v>
      </c>
      <c r="T27" s="24">
        <v>17678.599999999999</v>
      </c>
      <c r="U27" s="24">
        <v>-8872.6000000000058</v>
      </c>
      <c r="V27" s="24"/>
      <c r="W27" s="23" t="s">
        <v>12</v>
      </c>
      <c r="X27" s="49">
        <v>693950</v>
      </c>
      <c r="Y27" s="49">
        <v>283900.75000000006</v>
      </c>
    </row>
    <row r="28" spans="13:38" x14ac:dyDescent="0.25">
      <c r="O28" s="14" t="s">
        <v>45</v>
      </c>
      <c r="P28" s="24">
        <v>48020</v>
      </c>
      <c r="Q28" s="24">
        <v>41133.54</v>
      </c>
      <c r="R28" s="24">
        <v>13253.52</v>
      </c>
      <c r="S28" s="24">
        <v>34766.479999999996</v>
      </c>
      <c r="T28" s="24">
        <v>6886.4599999999991</v>
      </c>
      <c r="U28" s="24">
        <v>-6367.0600000000049</v>
      </c>
      <c r="V28" s="24"/>
      <c r="W28" s="23" t="s">
        <v>38</v>
      </c>
      <c r="X28" s="49">
        <v>1815720</v>
      </c>
      <c r="Y28" s="49">
        <v>360123.49</v>
      </c>
      <c r="AF28" t="s">
        <v>103</v>
      </c>
      <c r="AG28" t="s">
        <v>99</v>
      </c>
      <c r="AJ28" s="22"/>
      <c r="AK28" s="22"/>
      <c r="AL28" s="22"/>
    </row>
    <row r="29" spans="13:38" x14ac:dyDescent="0.25">
      <c r="O29" s="14" t="s">
        <v>46</v>
      </c>
      <c r="P29" s="24">
        <v>49000</v>
      </c>
      <c r="Q29" s="24">
        <v>43455</v>
      </c>
      <c r="R29" s="24">
        <v>13524.000000000002</v>
      </c>
      <c r="S29" s="24">
        <v>35476</v>
      </c>
      <c r="T29" s="24">
        <v>5545</v>
      </c>
      <c r="U29" s="24">
        <v>-7979</v>
      </c>
      <c r="V29" s="24"/>
      <c r="AF29" s="52">
        <v>71200</v>
      </c>
      <c r="AG29" s="52">
        <v>26650</v>
      </c>
    </row>
    <row r="30" spans="13:38" x14ac:dyDescent="0.25">
      <c r="O30" s="14" t="s">
        <v>47</v>
      </c>
      <c r="P30" s="24">
        <v>79300</v>
      </c>
      <c r="Q30" s="24">
        <v>58767.8</v>
      </c>
      <c r="R30" s="24">
        <v>21886.800000000003</v>
      </c>
      <c r="S30" s="24">
        <v>57413.2</v>
      </c>
      <c r="T30" s="24">
        <v>20532.199999999997</v>
      </c>
      <c r="U30" s="24">
        <v>-1354.6000000000058</v>
      </c>
      <c r="V30" s="24"/>
    </row>
    <row r="31" spans="13:38" x14ac:dyDescent="0.25">
      <c r="O31" s="23"/>
      <c r="P31" s="24"/>
      <c r="Q31" s="24"/>
      <c r="R31" s="24"/>
      <c r="S31" s="24"/>
      <c r="T31" s="24"/>
      <c r="U31" s="24"/>
      <c r="V31" s="24"/>
    </row>
    <row r="32" spans="13:38" x14ac:dyDescent="0.25">
      <c r="O32" s="23" t="s">
        <v>10</v>
      </c>
      <c r="P32" s="24">
        <v>1010550</v>
      </c>
      <c r="Q32" s="24">
        <v>323240.63</v>
      </c>
      <c r="R32" s="24">
        <v>278911.80000000005</v>
      </c>
      <c r="S32" s="24">
        <v>731638.2</v>
      </c>
      <c r="T32" s="24">
        <v>687309.37</v>
      </c>
      <c r="U32" s="24">
        <v>408397.57</v>
      </c>
      <c r="V32" s="24"/>
    </row>
    <row r="33" spans="15:22" x14ac:dyDescent="0.25">
      <c r="O33" s="14" t="s">
        <v>39</v>
      </c>
      <c r="P33" s="24">
        <v>234000</v>
      </c>
      <c r="Q33" s="24">
        <v>84000</v>
      </c>
      <c r="R33" s="24">
        <v>64584</v>
      </c>
      <c r="S33" s="24">
        <v>169416</v>
      </c>
      <c r="T33" s="24">
        <v>150000</v>
      </c>
      <c r="U33" s="24">
        <v>85416</v>
      </c>
      <c r="V33" s="24"/>
    </row>
    <row r="34" spans="15:22" x14ac:dyDescent="0.25">
      <c r="O34" s="14" t="s">
        <v>40</v>
      </c>
      <c r="P34" s="24">
        <v>193300</v>
      </c>
      <c r="Q34" s="24">
        <v>62730</v>
      </c>
      <c r="R34" s="24">
        <v>53350.8</v>
      </c>
      <c r="S34" s="24">
        <v>139949.20000000001</v>
      </c>
      <c r="T34" s="24">
        <v>130570</v>
      </c>
      <c r="U34" s="24">
        <v>77219.199999999997</v>
      </c>
      <c r="V34" s="24"/>
    </row>
    <row r="35" spans="15:22" x14ac:dyDescent="0.25">
      <c r="O35" s="14" t="s">
        <v>41</v>
      </c>
      <c r="P35" s="24">
        <v>80000</v>
      </c>
      <c r="Q35" s="24">
        <v>26264.999999999996</v>
      </c>
      <c r="R35" s="24">
        <v>22080.000000000004</v>
      </c>
      <c r="S35" s="24">
        <v>57920</v>
      </c>
      <c r="T35" s="24">
        <v>53735</v>
      </c>
      <c r="U35" s="24">
        <v>31655.000000000004</v>
      </c>
      <c r="V35" s="24"/>
    </row>
    <row r="36" spans="15:22" x14ac:dyDescent="0.25">
      <c r="O36" s="14" t="s">
        <v>44</v>
      </c>
      <c r="P36" s="24">
        <v>108900</v>
      </c>
      <c r="Q36" s="24">
        <v>35016.299999999996</v>
      </c>
      <c r="R36" s="24">
        <v>30056.400000000001</v>
      </c>
      <c r="S36" s="24">
        <v>78843.599999999991</v>
      </c>
      <c r="T36" s="24">
        <v>73883.700000000012</v>
      </c>
      <c r="U36" s="24">
        <v>43827.299999999996</v>
      </c>
      <c r="V36" s="24"/>
    </row>
    <row r="37" spans="15:22" x14ac:dyDescent="0.25">
      <c r="O37" s="14" t="s">
        <v>45</v>
      </c>
      <c r="P37" s="24">
        <v>59400</v>
      </c>
      <c r="Q37" s="24">
        <v>18888.12</v>
      </c>
      <c r="R37" s="24">
        <v>16394.400000000001</v>
      </c>
      <c r="S37" s="24">
        <v>43005.599999999999</v>
      </c>
      <c r="T37" s="24">
        <v>40511.880000000005</v>
      </c>
      <c r="U37" s="24">
        <v>24117.48</v>
      </c>
      <c r="V37" s="24"/>
    </row>
    <row r="38" spans="15:22" x14ac:dyDescent="0.25">
      <c r="O38" s="14" t="s">
        <v>42</v>
      </c>
      <c r="P38" s="24">
        <v>70950</v>
      </c>
      <c r="Q38" s="24">
        <v>22899.219999999998</v>
      </c>
      <c r="R38" s="24">
        <v>19582.2</v>
      </c>
      <c r="S38" s="24">
        <v>51367.8</v>
      </c>
      <c r="T38" s="24">
        <v>48050.78</v>
      </c>
      <c r="U38" s="24">
        <v>28468.580000000005</v>
      </c>
      <c r="V38" s="24"/>
    </row>
    <row r="39" spans="15:22" x14ac:dyDescent="0.25">
      <c r="O39" s="14" t="s">
        <v>46</v>
      </c>
      <c r="P39" s="24">
        <v>84000</v>
      </c>
      <c r="Q39" s="24">
        <v>22813.980000000003</v>
      </c>
      <c r="R39" s="24">
        <v>23184.000000000004</v>
      </c>
      <c r="S39" s="24">
        <v>60816</v>
      </c>
      <c r="T39" s="24">
        <v>61186.02</v>
      </c>
      <c r="U39" s="24">
        <v>38002.019999999997</v>
      </c>
      <c r="V39" s="24"/>
    </row>
    <row r="40" spans="15:22" x14ac:dyDescent="0.25">
      <c r="O40" s="14" t="s">
        <v>43</v>
      </c>
      <c r="P40" s="24">
        <v>82000</v>
      </c>
      <c r="Q40" s="24">
        <v>22939.09</v>
      </c>
      <c r="R40" s="24">
        <v>22632.000000000004</v>
      </c>
      <c r="S40" s="24">
        <v>59368</v>
      </c>
      <c r="T40" s="24">
        <v>59060.91</v>
      </c>
      <c r="U40" s="24">
        <v>36428.910000000003</v>
      </c>
      <c r="V40" s="24"/>
    </row>
    <row r="41" spans="15:22" x14ac:dyDescent="0.25">
      <c r="O41" s="14" t="s">
        <v>47</v>
      </c>
      <c r="P41" s="24">
        <v>98000</v>
      </c>
      <c r="Q41" s="24">
        <v>27688.920000000002</v>
      </c>
      <c r="R41" s="24">
        <v>27048.000000000004</v>
      </c>
      <c r="S41" s="24">
        <v>70952</v>
      </c>
      <c r="T41" s="24">
        <v>70311.08</v>
      </c>
      <c r="U41" s="24">
        <v>43263.08</v>
      </c>
      <c r="V41" s="24"/>
    </row>
    <row r="42" spans="15:22" x14ac:dyDescent="0.25">
      <c r="O42" s="23"/>
      <c r="P42" s="24"/>
      <c r="Q42" s="24"/>
      <c r="R42" s="24"/>
      <c r="S42" s="24"/>
      <c r="T42" s="24"/>
      <c r="U42" s="24"/>
      <c r="V42" s="24"/>
    </row>
    <row r="43" spans="15:22" x14ac:dyDescent="0.25">
      <c r="O43" s="23" t="s">
        <v>38</v>
      </c>
      <c r="P43" s="24">
        <v>1815720</v>
      </c>
      <c r="Q43" s="24">
        <v>954457.79</v>
      </c>
      <c r="R43" s="24">
        <v>501138.72000000009</v>
      </c>
      <c r="S43" s="24">
        <v>1314581.2799999998</v>
      </c>
      <c r="T43" s="24">
        <v>861262.21000000008</v>
      </c>
      <c r="U43" s="24">
        <v>360123.49000000005</v>
      </c>
      <c r="V43" s="24"/>
    </row>
    <row r="44" spans="15:22" x14ac:dyDescent="0.25"/>
  </sheetData>
  <pageMargins left="0.511811024" right="0.511811024" top="0.78740157499999996" bottom="0.78740157499999996" header="0.31496062000000002" footer="0.31496062000000002"/>
  <pageSetup paperSize="9" orientation="portrait" r:id="rId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1B4EF-9298-4504-A962-45E3E4B440BE}">
  <dimension ref="A1"/>
  <sheetViews>
    <sheetView topLeftCell="O1" zoomScaleNormal="100" workbookViewId="0">
      <selection activeCell="Y1" sqref="Y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7093F-374C-42B5-8164-007FF1A46EB3}">
  <dimension ref="A1:P33"/>
  <sheetViews>
    <sheetView showGridLines="0" workbookViewId="0">
      <pane ySplit="8" topLeftCell="A9" activePane="bottomLeft" state="frozen"/>
      <selection pane="bottomLeft" activeCell="B6" sqref="B6:O6"/>
    </sheetView>
  </sheetViews>
  <sheetFormatPr defaultColWidth="0" defaultRowHeight="15" zeroHeight="1" outlineLevelRow="1" outlineLevelCol="1" x14ac:dyDescent="0.25"/>
  <cols>
    <col min="1" max="1" width="0.85546875" customWidth="1"/>
    <col min="2" max="2" width="41" customWidth="1"/>
    <col min="3" max="14" width="10.5703125" hidden="1" customWidth="1" outlineLevel="1"/>
    <col min="15" max="15" width="11" bestFit="1" customWidth="1" collapsed="1"/>
    <col min="16" max="16" width="0.85546875" customWidth="1"/>
    <col min="17" max="16384" width="9.140625" hidden="1"/>
  </cols>
  <sheetData>
    <row r="1" spans="2:15" x14ac:dyDescent="0.25"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</row>
    <row r="2" spans="2:15" x14ac:dyDescent="0.25"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</row>
    <row r="3" spans="2:15" x14ac:dyDescent="0.25"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spans="2:15" x14ac:dyDescent="0.25"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</row>
    <row r="5" spans="2:15" x14ac:dyDescent="0.25">
      <c r="B5" s="53" t="s">
        <v>104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</row>
    <row r="6" spans="2:15" x14ac:dyDescent="0.25">
      <c r="B6" s="53" t="s">
        <v>85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</row>
    <row r="7" spans="2:15" ht="2.25" customHeight="1" x14ac:dyDescent="0.25">
      <c r="C7" s="34">
        <v>43831</v>
      </c>
      <c r="D7" s="34">
        <v>43862</v>
      </c>
      <c r="E7" s="34">
        <v>43891</v>
      </c>
      <c r="F7" s="34">
        <v>43922</v>
      </c>
      <c r="G7" s="34">
        <v>43952</v>
      </c>
      <c r="H7" s="34">
        <v>43983</v>
      </c>
      <c r="I7" s="34">
        <v>44013</v>
      </c>
      <c r="J7" s="34">
        <v>44044</v>
      </c>
      <c r="K7" s="34">
        <v>44075</v>
      </c>
      <c r="L7" s="34">
        <v>44105</v>
      </c>
      <c r="M7" s="34">
        <v>44136</v>
      </c>
      <c r="N7" s="34">
        <v>44166</v>
      </c>
      <c r="O7" s="34">
        <v>44197</v>
      </c>
    </row>
    <row r="8" spans="2:15" x14ac:dyDescent="0.25">
      <c r="B8" s="38" t="s">
        <v>75</v>
      </c>
      <c r="C8" s="39" t="s">
        <v>63</v>
      </c>
      <c r="D8" s="39" t="s">
        <v>64</v>
      </c>
      <c r="E8" s="39" t="s">
        <v>65</v>
      </c>
      <c r="F8" s="39" t="s">
        <v>66</v>
      </c>
      <c r="G8" s="39" t="s">
        <v>67</v>
      </c>
      <c r="H8" s="39" t="s">
        <v>68</v>
      </c>
      <c r="I8" s="39" t="s">
        <v>69</v>
      </c>
      <c r="J8" s="39" t="s">
        <v>70</v>
      </c>
      <c r="K8" s="39" t="s">
        <v>71</v>
      </c>
      <c r="L8" s="39" t="s">
        <v>72</v>
      </c>
      <c r="M8" s="39" t="s">
        <v>73</v>
      </c>
      <c r="N8" s="39" t="s">
        <v>74</v>
      </c>
      <c r="O8" s="39" t="s">
        <v>82</v>
      </c>
    </row>
    <row r="9" spans="2:15" s="25" customFormat="1" ht="3" customHeight="1" x14ac:dyDescent="0.25">
      <c r="B9" s="26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</row>
    <row r="10" spans="2:15" s="28" customFormat="1" outlineLevel="1" x14ac:dyDescent="0.25">
      <c r="B10" s="43" t="s">
        <v>50</v>
      </c>
      <c r="C10" s="44">
        <f>IFERROR(VLOOKUP(C$7,'Resumo de Vendas e Custos'!$W$4:$AB$12,2,0),0)</f>
        <v>466.7</v>
      </c>
      <c r="D10" s="44">
        <f>IFERROR(VLOOKUP(D$7,'Resumo de Vendas e Custos'!$W$4:$AB$12,2,0),0)</f>
        <v>349.6</v>
      </c>
      <c r="E10" s="44">
        <f>IFERROR(VLOOKUP(E$7,'Resumo de Vendas e Custos'!$W$4:$AB$12,2,0),0)</f>
        <v>129.5</v>
      </c>
      <c r="F10" s="44">
        <f>IFERROR(VLOOKUP(F$7,'Resumo de Vendas e Custos'!$W$4:$AB$12,2,0),0)</f>
        <v>205.1</v>
      </c>
      <c r="G10" s="44">
        <f>IFERROR(VLOOKUP(G$7,'Resumo de Vendas e Custos'!$W$4:$AB$12,2,0),0)</f>
        <v>0</v>
      </c>
      <c r="H10" s="44">
        <f>IFERROR(VLOOKUP(H$7,'Resumo de Vendas e Custos'!$W$4:$AB$12,2,0),0)</f>
        <v>0</v>
      </c>
      <c r="I10" s="44">
        <f>IFERROR(VLOOKUP(I$7,'Resumo de Vendas e Custos'!$W$4:$AB$12,2,0),0)</f>
        <v>0</v>
      </c>
      <c r="J10" s="44">
        <f>IFERROR(VLOOKUP(J$7,'Resumo de Vendas e Custos'!$W$4:$AB$12,2,0),0)</f>
        <v>107.42</v>
      </c>
      <c r="K10" s="44">
        <f>IFERROR(VLOOKUP(K$7,'Resumo de Vendas e Custos'!$W$4:$AB$12,2,0),0)</f>
        <v>121.35</v>
      </c>
      <c r="L10" s="44">
        <f>IFERROR(VLOOKUP(L$7,'Resumo de Vendas e Custos'!$W$4:$AB$12,2,0),0)</f>
        <v>133</v>
      </c>
      <c r="M10" s="44">
        <f>IFERROR(VLOOKUP(M$7,'Resumo de Vendas e Custos'!$W$4:$AB$12,2,0),0)</f>
        <v>125.75</v>
      </c>
      <c r="N10" s="44">
        <f>IFERROR(VLOOKUP(N$7,'Resumo de Vendas e Custos'!$W$4:$AB$12,2,0),0)</f>
        <v>177.3</v>
      </c>
      <c r="O10" s="44">
        <f t="shared" ref="O10:O20" si="0">SUM(C10:N10)</f>
        <v>1815.7199999999998</v>
      </c>
    </row>
    <row r="11" spans="2:15" s="28" customFormat="1" outlineLevel="1" x14ac:dyDescent="0.25">
      <c r="B11" s="29" t="s">
        <v>51</v>
      </c>
      <c r="C11" s="35">
        <f>IFERROR(VLOOKUP(C$7,'Resumo de Vendas e Custos'!$W$4:$AB$12,4,0),0)</f>
        <v>-128.8092</v>
      </c>
      <c r="D11" s="35">
        <f>IFERROR(VLOOKUP(D$7,'Resumo de Vendas e Custos'!$W$4:$AB$12,4,0),0)</f>
        <v>-96.489599999999996</v>
      </c>
      <c r="E11" s="35">
        <f>IFERROR(VLOOKUP(E$7,'Resumo de Vendas e Custos'!$W$4:$AB$12,4,0),0)</f>
        <v>-35.741999999999997</v>
      </c>
      <c r="F11" s="35">
        <f>IFERROR(VLOOKUP(F$7,'Resumo de Vendas e Custos'!$W$4:$AB$12,4,0),0)</f>
        <v>-56.607599999999998</v>
      </c>
      <c r="G11" s="35">
        <f>IFERROR(VLOOKUP(G$7,'Resumo de Vendas e Custos'!$W$4:$AB$12,4,0),0)</f>
        <v>0</v>
      </c>
      <c r="H11" s="35">
        <f>IFERROR(VLOOKUP(H$7,'Resumo de Vendas e Custos'!$W$4:$AB$12,4,0),0)</f>
        <v>0</v>
      </c>
      <c r="I11" s="35">
        <f>IFERROR(VLOOKUP(I$7,'Resumo de Vendas e Custos'!$W$4:$AB$12,4,0),0)</f>
        <v>0</v>
      </c>
      <c r="J11" s="35">
        <f>IFERROR(VLOOKUP(J$7,'Resumo de Vendas e Custos'!$W$4:$AB$12,4,0),0)</f>
        <v>-29.647919999999999</v>
      </c>
      <c r="K11" s="35">
        <f>IFERROR(VLOOKUP(K$7,'Resumo de Vendas e Custos'!$W$4:$AB$12,4,0),0)</f>
        <v>-33.492600000000003</v>
      </c>
      <c r="L11" s="35">
        <f>IFERROR(VLOOKUP(L$7,'Resumo de Vendas e Custos'!$W$4:$AB$12,4,0),0)</f>
        <v>-36.707999999999998</v>
      </c>
      <c r="M11" s="35">
        <f>IFERROR(VLOOKUP(M$7,'Resumo de Vendas e Custos'!$W$4:$AB$12,4,0),0)</f>
        <v>-34.707000000000001</v>
      </c>
      <c r="N11" s="35">
        <f>IFERROR(VLOOKUP(N$7,'Resumo de Vendas e Custos'!$W$4:$AB$12,4,0),0)</f>
        <v>-48.934800000000003</v>
      </c>
      <c r="O11" s="35">
        <f t="shared" si="0"/>
        <v>-501.13871999999992</v>
      </c>
    </row>
    <row r="12" spans="2:15" x14ac:dyDescent="0.25">
      <c r="B12" s="38" t="s">
        <v>52</v>
      </c>
      <c r="C12" s="40">
        <f>SUM(C10:C11)</f>
        <v>337.89080000000001</v>
      </c>
      <c r="D12" s="40">
        <f t="shared" ref="D12:N12" si="1">SUM(D10:D11)</f>
        <v>253.11040000000003</v>
      </c>
      <c r="E12" s="40">
        <f t="shared" si="1"/>
        <v>93.75800000000001</v>
      </c>
      <c r="F12" s="40">
        <f t="shared" si="1"/>
        <v>148.4924</v>
      </c>
      <c r="G12" s="40">
        <f t="shared" si="1"/>
        <v>0</v>
      </c>
      <c r="H12" s="40">
        <f t="shared" si="1"/>
        <v>0</v>
      </c>
      <c r="I12" s="40">
        <f t="shared" si="1"/>
        <v>0</v>
      </c>
      <c r="J12" s="40">
        <f t="shared" si="1"/>
        <v>77.772080000000003</v>
      </c>
      <c r="K12" s="40">
        <f t="shared" si="1"/>
        <v>87.857399999999984</v>
      </c>
      <c r="L12" s="40">
        <f t="shared" si="1"/>
        <v>96.292000000000002</v>
      </c>
      <c r="M12" s="40">
        <f t="shared" si="1"/>
        <v>91.043000000000006</v>
      </c>
      <c r="N12" s="40">
        <f t="shared" si="1"/>
        <v>128.36520000000002</v>
      </c>
      <c r="O12" s="40">
        <f t="shared" si="0"/>
        <v>1314.5812800000001</v>
      </c>
    </row>
    <row r="13" spans="2:15" s="28" customFormat="1" outlineLevel="1" x14ac:dyDescent="0.25">
      <c r="B13" s="29" t="s">
        <v>53</v>
      </c>
      <c r="C13" s="36">
        <f>IFERROR(VLOOKUP(C$7,'Resumo de Vendas e Custos'!$W$4:$AB$12,3,0),0)</f>
        <v>-266</v>
      </c>
      <c r="D13" s="36">
        <f>IFERROR(VLOOKUP(D$7,'Resumo de Vendas e Custos'!$W$4:$AB$12,3,0),0)</f>
        <v>-185.13</v>
      </c>
      <c r="E13" s="36">
        <f>IFERROR(VLOOKUP(E$7,'Resumo de Vendas e Custos'!$W$4:$AB$12,3,0),0)</f>
        <v>-64.086600000000004</v>
      </c>
      <c r="F13" s="36">
        <f>IFERROR(VLOOKUP(F$7,'Resumo de Vendas e Custos'!$W$4:$AB$12,3,0),0)</f>
        <v>-113.5377</v>
      </c>
      <c r="G13" s="36">
        <f>IFERROR(VLOOKUP(G$7,'Resumo de Vendas e Custos'!$W$4:$AB$12,3,0),0)</f>
        <v>0</v>
      </c>
      <c r="H13" s="36">
        <f>IFERROR(VLOOKUP(H$7,'Resumo de Vendas e Custos'!$W$4:$AB$12,3,0),0)</f>
        <v>0</v>
      </c>
      <c r="I13" s="36">
        <f>IFERROR(VLOOKUP(I$7,'Resumo de Vendas e Custos'!$W$4:$AB$12,3,0),0)</f>
        <v>0</v>
      </c>
      <c r="J13" s="36">
        <f>IFERROR(VLOOKUP(J$7,'Resumo de Vendas e Custos'!$W$4:$AB$12,3,0),0)</f>
        <v>-60.021659999999997</v>
      </c>
      <c r="K13" s="36">
        <f>IFERROR(VLOOKUP(K$7,'Resumo de Vendas e Custos'!$W$4:$AB$12,3,0),0)</f>
        <v>-58.685740000000003</v>
      </c>
      <c r="L13" s="36">
        <f>IFERROR(VLOOKUP(L$7,'Resumo de Vendas e Custos'!$W$4:$AB$12,3,0),0)</f>
        <v>-66.268979999999999</v>
      </c>
      <c r="M13" s="36">
        <f>IFERROR(VLOOKUP(M$7,'Resumo de Vendas e Custos'!$W$4:$AB$12,3,0),0)</f>
        <v>-54.270389999999999</v>
      </c>
      <c r="N13" s="36">
        <f>IFERROR(VLOOKUP(N$7,'Resumo de Vendas e Custos'!$W$4:$AB$12,3,0),0)</f>
        <v>-86.456720000000004</v>
      </c>
      <c r="O13" s="36">
        <f t="shared" si="0"/>
        <v>-954.45778999999993</v>
      </c>
    </row>
    <row r="14" spans="2:15" x14ac:dyDescent="0.25">
      <c r="B14" s="38" t="s">
        <v>54</v>
      </c>
      <c r="C14" s="40">
        <f t="shared" ref="C14:N14" si="2">SUM(C12:C13)</f>
        <v>71.890800000000013</v>
      </c>
      <c r="D14" s="40">
        <f t="shared" si="2"/>
        <v>67.980400000000031</v>
      </c>
      <c r="E14" s="40">
        <f t="shared" si="2"/>
        <v>29.671400000000006</v>
      </c>
      <c r="F14" s="40">
        <f t="shared" si="2"/>
        <v>34.954700000000003</v>
      </c>
      <c r="G14" s="40">
        <f t="shared" si="2"/>
        <v>0</v>
      </c>
      <c r="H14" s="40">
        <f t="shared" si="2"/>
        <v>0</v>
      </c>
      <c r="I14" s="40">
        <f t="shared" si="2"/>
        <v>0</v>
      </c>
      <c r="J14" s="40">
        <f t="shared" si="2"/>
        <v>17.750420000000005</v>
      </c>
      <c r="K14" s="40">
        <f t="shared" si="2"/>
        <v>29.171659999999981</v>
      </c>
      <c r="L14" s="40">
        <f t="shared" si="2"/>
        <v>30.023020000000002</v>
      </c>
      <c r="M14" s="40">
        <f t="shared" si="2"/>
        <v>36.772610000000007</v>
      </c>
      <c r="N14" s="40">
        <f t="shared" si="2"/>
        <v>41.908480000000012</v>
      </c>
      <c r="O14" s="40">
        <f t="shared" si="0"/>
        <v>360.12349</v>
      </c>
    </row>
    <row r="15" spans="2:15" s="28" customFormat="1" outlineLevel="1" x14ac:dyDescent="0.25">
      <c r="B15" s="43" t="s">
        <v>55</v>
      </c>
      <c r="C15" s="44">
        <f t="shared" ref="C15:N15" si="3">SUM(C16:C18)</f>
        <v>-11</v>
      </c>
      <c r="D15" s="44">
        <f t="shared" si="3"/>
        <v>-10.9</v>
      </c>
      <c r="E15" s="44">
        <f t="shared" si="3"/>
        <v>-12.2</v>
      </c>
      <c r="F15" s="44">
        <f t="shared" si="3"/>
        <v>-12.25</v>
      </c>
      <c r="G15" s="44">
        <f t="shared" si="3"/>
        <v>0</v>
      </c>
      <c r="H15" s="44">
        <f t="shared" si="3"/>
        <v>0</v>
      </c>
      <c r="I15" s="44">
        <f t="shared" si="3"/>
        <v>0</v>
      </c>
      <c r="J15" s="44">
        <f t="shared" si="3"/>
        <v>-7.8</v>
      </c>
      <c r="K15" s="44">
        <f t="shared" si="3"/>
        <v>-10.45</v>
      </c>
      <c r="L15" s="44">
        <f t="shared" si="3"/>
        <v>-10.9</v>
      </c>
      <c r="M15" s="44">
        <f t="shared" si="3"/>
        <v>-11.15</v>
      </c>
      <c r="N15" s="44">
        <f t="shared" si="3"/>
        <v>-11.2</v>
      </c>
      <c r="O15" s="44">
        <f t="shared" si="0"/>
        <v>-97.850000000000009</v>
      </c>
    </row>
    <row r="16" spans="2:15" s="28" customFormat="1" outlineLevel="1" x14ac:dyDescent="0.25">
      <c r="B16" s="29" t="s">
        <v>56</v>
      </c>
      <c r="C16" s="36">
        <f>IFERROR(HLOOKUP(C$7,'Tab Adm Vendas'!$A$1:$J$3,2,0)/-1000,0)</f>
        <v>-8</v>
      </c>
      <c r="D16" s="36">
        <f>IFERROR(HLOOKUP(D$7,'Tab Adm Vendas'!$A$1:$J$3,2,0)/-1000,0)</f>
        <v>-7.8</v>
      </c>
      <c r="E16" s="36">
        <f>IFERROR(HLOOKUP(E$7,'Tab Adm Vendas'!$A$1:$J$3,2,0)/-1000,0)</f>
        <v>-9</v>
      </c>
      <c r="F16" s="36">
        <f>IFERROR(HLOOKUP(F$7,'Tab Adm Vendas'!$A$1:$J$3,2,0)/-1000,0)</f>
        <v>-9.1</v>
      </c>
      <c r="G16" s="36">
        <f>IFERROR(HLOOKUP(G$7,'Tab Adm Vendas'!$A$1:$J$3,2,0)/-1000,0)</f>
        <v>0</v>
      </c>
      <c r="H16" s="36">
        <f>IFERROR(HLOOKUP(H$7,'Tab Adm Vendas'!$A$1:$J$3,2,0)/-1000,0)</f>
        <v>0</v>
      </c>
      <c r="I16" s="36">
        <f>IFERROR(HLOOKUP(I$7,'Tab Adm Vendas'!$A$1:$J$3,2,0)/-1000,0)</f>
        <v>0</v>
      </c>
      <c r="J16" s="36">
        <f>IFERROR(HLOOKUP(J$7,'Tab Adm Vendas'!$A$1:$J$3,2,0)/-1000,0)</f>
        <v>-5</v>
      </c>
      <c r="K16" s="36">
        <f>IFERROR(HLOOKUP(K$7,'Tab Adm Vendas'!$A$1:$J$3,2,0)/-1000,0)</f>
        <v>-7.5</v>
      </c>
      <c r="L16" s="36">
        <f>IFERROR(HLOOKUP(L$7,'Tab Adm Vendas'!$A$1:$J$3,2,0)/-1000,0)</f>
        <v>-8</v>
      </c>
      <c r="M16" s="36">
        <f>IFERROR(HLOOKUP(M$7,'Tab Adm Vendas'!$A$1:$J$3,2,0)/-1000,0)</f>
        <v>-8.3000000000000007</v>
      </c>
      <c r="N16" s="36">
        <f>IFERROR(HLOOKUP(N$7,'Tab Adm Vendas'!$A$1:$J$3,2,0)/-1000,0)</f>
        <v>-8.5</v>
      </c>
      <c r="O16" s="36">
        <f t="shared" si="0"/>
        <v>-71.2</v>
      </c>
    </row>
    <row r="17" spans="2:15" s="28" customFormat="1" outlineLevel="1" x14ac:dyDescent="0.25">
      <c r="B17" s="41" t="s">
        <v>57</v>
      </c>
      <c r="C17" s="42">
        <f>IFERROR(HLOOKUP(C$7,'Tab Adm Vendas'!$A$1:$J$3,3,0)/-1000,0)</f>
        <v>-3</v>
      </c>
      <c r="D17" s="42">
        <f>IFERROR(HLOOKUP(D$7,'Tab Adm Vendas'!$A$1:$J$3,3,0)/-1000,0)</f>
        <v>-3.1</v>
      </c>
      <c r="E17" s="42">
        <f>IFERROR(HLOOKUP(E$7,'Tab Adm Vendas'!$A$1:$J$3,3,0)/-1000,0)</f>
        <v>-3.2</v>
      </c>
      <c r="F17" s="42">
        <f>IFERROR(HLOOKUP(F$7,'Tab Adm Vendas'!$A$1:$J$3,3,0)/-1000,0)</f>
        <v>-3.15</v>
      </c>
      <c r="G17" s="42">
        <f>IFERROR(HLOOKUP(G$7,'Tab Adm Vendas'!$A$1:$J$3,3,0)/-1000,0)</f>
        <v>0</v>
      </c>
      <c r="H17" s="42">
        <f>IFERROR(HLOOKUP(H$7,'Tab Adm Vendas'!$A$1:$J$3,3,0)/-1000,0)</f>
        <v>0</v>
      </c>
      <c r="I17" s="42">
        <f>IFERROR(HLOOKUP(I$7,'Tab Adm Vendas'!$A$1:$J$3,3,0)/-1000,0)</f>
        <v>0</v>
      </c>
      <c r="J17" s="42">
        <f>IFERROR(HLOOKUP(J$7,'Tab Adm Vendas'!$A$1:$J$3,3,0)/-1000,0)</f>
        <v>-2.8</v>
      </c>
      <c r="K17" s="42">
        <f>IFERROR(HLOOKUP(K$7,'Tab Adm Vendas'!$A$1:$J$3,3,0)/-1000,0)</f>
        <v>-2.95</v>
      </c>
      <c r="L17" s="42">
        <f>IFERROR(HLOOKUP(L$7,'Tab Adm Vendas'!$A$1:$J$3,3,0)/-1000,0)</f>
        <v>-2.9</v>
      </c>
      <c r="M17" s="42">
        <f>IFERROR(HLOOKUP(M$7,'Tab Adm Vendas'!$A$1:$J$3,3,0)/-1000,0)</f>
        <v>-2.85</v>
      </c>
      <c r="N17" s="42">
        <f>IFERROR(HLOOKUP(N$7,'Tab Adm Vendas'!$A$1:$J$3,3,0)/-1000,0)</f>
        <v>-2.7</v>
      </c>
      <c r="O17" s="42">
        <f t="shared" si="0"/>
        <v>-26.65</v>
      </c>
    </row>
    <row r="18" spans="2:15" s="28" customFormat="1" outlineLevel="1" x14ac:dyDescent="0.25">
      <c r="B18" s="29" t="s">
        <v>58</v>
      </c>
      <c r="C18" s="36">
        <v>0</v>
      </c>
      <c r="D18" s="36">
        <v>0</v>
      </c>
      <c r="E18" s="36">
        <v>0</v>
      </c>
      <c r="F18" s="36">
        <v>0</v>
      </c>
      <c r="G18" s="36">
        <v>0</v>
      </c>
      <c r="H18" s="36">
        <v>0</v>
      </c>
      <c r="I18" s="36">
        <v>0</v>
      </c>
      <c r="J18" s="36">
        <v>0</v>
      </c>
      <c r="K18" s="36">
        <v>0</v>
      </c>
      <c r="L18" s="36">
        <v>0</v>
      </c>
      <c r="M18" s="36">
        <v>0</v>
      </c>
      <c r="N18" s="36">
        <v>0</v>
      </c>
      <c r="O18" s="36">
        <f t="shared" si="0"/>
        <v>0</v>
      </c>
    </row>
    <row r="19" spans="2:15" x14ac:dyDescent="0.25">
      <c r="B19" s="38" t="s">
        <v>59</v>
      </c>
      <c r="C19" s="40">
        <f>SUM(C14:C15)</f>
        <v>60.890800000000013</v>
      </c>
      <c r="D19" s="40">
        <f t="shared" ref="D19:N19" si="4">SUM(D14:D15)</f>
        <v>57.080400000000033</v>
      </c>
      <c r="E19" s="40">
        <f t="shared" si="4"/>
        <v>17.471400000000006</v>
      </c>
      <c r="F19" s="40">
        <f t="shared" si="4"/>
        <v>22.704700000000003</v>
      </c>
      <c r="G19" s="40">
        <f t="shared" si="4"/>
        <v>0</v>
      </c>
      <c r="H19" s="40">
        <f t="shared" si="4"/>
        <v>0</v>
      </c>
      <c r="I19" s="40">
        <f t="shared" si="4"/>
        <v>0</v>
      </c>
      <c r="J19" s="40">
        <f t="shared" si="4"/>
        <v>9.9504200000000047</v>
      </c>
      <c r="K19" s="40">
        <f t="shared" si="4"/>
        <v>18.721659999999982</v>
      </c>
      <c r="L19" s="40">
        <f t="shared" si="4"/>
        <v>19.123020000000004</v>
      </c>
      <c r="M19" s="40">
        <f t="shared" si="4"/>
        <v>25.622610000000009</v>
      </c>
      <c r="N19" s="40">
        <f t="shared" si="4"/>
        <v>30.708480000000012</v>
      </c>
      <c r="O19" s="40">
        <f t="shared" si="0"/>
        <v>262.27349000000009</v>
      </c>
    </row>
    <row r="20" spans="2:15" x14ac:dyDescent="0.25">
      <c r="B20" s="38" t="s">
        <v>60</v>
      </c>
      <c r="C20" s="40">
        <f>C19</f>
        <v>60.890800000000013</v>
      </c>
      <c r="D20" s="40">
        <f t="shared" ref="D20:N20" si="5">D19</f>
        <v>57.080400000000033</v>
      </c>
      <c r="E20" s="40">
        <f t="shared" si="5"/>
        <v>17.471400000000006</v>
      </c>
      <c r="F20" s="40">
        <f t="shared" si="5"/>
        <v>22.704700000000003</v>
      </c>
      <c r="G20" s="40">
        <f t="shared" si="5"/>
        <v>0</v>
      </c>
      <c r="H20" s="40">
        <f t="shared" si="5"/>
        <v>0</v>
      </c>
      <c r="I20" s="40">
        <f t="shared" si="5"/>
        <v>0</v>
      </c>
      <c r="J20" s="40">
        <f t="shared" si="5"/>
        <v>9.9504200000000047</v>
      </c>
      <c r="K20" s="40">
        <f t="shared" si="5"/>
        <v>18.721659999999982</v>
      </c>
      <c r="L20" s="40">
        <f t="shared" si="5"/>
        <v>19.123020000000004</v>
      </c>
      <c r="M20" s="40">
        <f t="shared" si="5"/>
        <v>25.622610000000009</v>
      </c>
      <c r="N20" s="40">
        <f t="shared" si="5"/>
        <v>30.708480000000012</v>
      </c>
      <c r="O20" s="40">
        <f t="shared" si="0"/>
        <v>262.27349000000009</v>
      </c>
    </row>
    <row r="21" spans="2:15" s="28" customFormat="1" outlineLevel="1" x14ac:dyDescent="0.25">
      <c r="B21" s="29" t="s">
        <v>61</v>
      </c>
      <c r="C21" s="36">
        <v>0</v>
      </c>
      <c r="D21" s="36">
        <v>0</v>
      </c>
      <c r="E21" s="36">
        <v>0</v>
      </c>
      <c r="F21" s="36">
        <v>0</v>
      </c>
      <c r="G21" s="36">
        <v>0</v>
      </c>
      <c r="H21" s="36">
        <v>0</v>
      </c>
      <c r="I21" s="36">
        <v>0</v>
      </c>
      <c r="J21" s="36">
        <v>0</v>
      </c>
      <c r="K21" s="36">
        <v>0</v>
      </c>
      <c r="L21" s="36">
        <v>0</v>
      </c>
      <c r="M21" s="36">
        <v>0</v>
      </c>
      <c r="N21" s="36">
        <v>0</v>
      </c>
      <c r="O21" s="36">
        <v>0</v>
      </c>
    </row>
    <row r="22" spans="2:15" x14ac:dyDescent="0.25">
      <c r="B22" s="38" t="s">
        <v>62</v>
      </c>
      <c r="C22" s="40">
        <f>SUM(C20:C21)</f>
        <v>60.890800000000013</v>
      </c>
      <c r="D22" s="40">
        <f t="shared" ref="D22:N22" si="6">SUM(D20:D21)</f>
        <v>57.080400000000033</v>
      </c>
      <c r="E22" s="40">
        <f t="shared" si="6"/>
        <v>17.471400000000006</v>
      </c>
      <c r="F22" s="40">
        <f t="shared" si="6"/>
        <v>22.704700000000003</v>
      </c>
      <c r="G22" s="40">
        <f t="shared" si="6"/>
        <v>0</v>
      </c>
      <c r="H22" s="40">
        <f t="shared" si="6"/>
        <v>0</v>
      </c>
      <c r="I22" s="40">
        <f t="shared" si="6"/>
        <v>0</v>
      </c>
      <c r="J22" s="40">
        <f t="shared" si="6"/>
        <v>9.9504200000000047</v>
      </c>
      <c r="K22" s="40">
        <f t="shared" si="6"/>
        <v>18.721659999999982</v>
      </c>
      <c r="L22" s="40">
        <f t="shared" si="6"/>
        <v>19.123020000000004</v>
      </c>
      <c r="M22" s="40">
        <f t="shared" si="6"/>
        <v>25.622610000000009</v>
      </c>
      <c r="N22" s="40">
        <f t="shared" si="6"/>
        <v>30.708480000000012</v>
      </c>
      <c r="O22" s="40">
        <f>SUM(C22:N22)</f>
        <v>262.27349000000009</v>
      </c>
    </row>
    <row r="23" spans="2:15" ht="8.25" customHeight="1" x14ac:dyDescent="0.25"/>
    <row r="24" spans="2:15" hidden="1" x14ac:dyDescent="0.25"/>
    <row r="25" spans="2:15" hidden="1" x14ac:dyDescent="0.25"/>
    <row r="26" spans="2:15" hidden="1" x14ac:dyDescent="0.25"/>
    <row r="27" spans="2:15" hidden="1" x14ac:dyDescent="0.25"/>
    <row r="28" spans="2:15" hidden="1" x14ac:dyDescent="0.25"/>
    <row r="29" spans="2:15" hidden="1" x14ac:dyDescent="0.25"/>
    <row r="30" spans="2:15" hidden="1" x14ac:dyDescent="0.25"/>
    <row r="31" spans="2:15" hidden="1" x14ac:dyDescent="0.25"/>
    <row r="32" spans="2:15" hidden="1" x14ac:dyDescent="0.25"/>
    <row r="33" hidden="1" x14ac:dyDescent="0.25"/>
  </sheetData>
  <dataConsolidate/>
  <mergeCells count="2">
    <mergeCell ref="B5:O5"/>
    <mergeCell ref="B6:O6"/>
  </mergeCells>
  <phoneticPr fontId="7" type="noConversion"/>
  <pageMargins left="0.511811024" right="0.511811024" top="0.78740157499999996" bottom="0.78740157499999996" header="0.31496062000000002" footer="0.31496062000000002"/>
  <ignoredErrors>
    <ignoredError sqref="C13:O13" formula="1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B6D48-B718-489B-8CF6-D816853B407A}">
  <dimension ref="A1:S31"/>
  <sheetViews>
    <sheetView showGridLines="0" showRowColHeaders="0" zoomScale="90" zoomScaleNormal="90" workbookViewId="0">
      <selection activeCell="S9" sqref="S9"/>
    </sheetView>
  </sheetViews>
  <sheetFormatPr defaultColWidth="0" defaultRowHeight="15" zeroHeight="1" x14ac:dyDescent="0.25"/>
  <cols>
    <col min="1" max="19" width="9.140625" customWidth="1"/>
    <col min="20" max="16384" width="9.140625" hidden="1"/>
  </cols>
  <sheetData>
    <row r="1" spans="1:19" ht="15" customHeight="1" x14ac:dyDescent="0.25">
      <c r="A1" s="48"/>
      <c r="B1" s="48"/>
      <c r="C1" s="48"/>
      <c r="D1" s="48"/>
      <c r="E1" s="48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</row>
    <row r="2" spans="1:19" s="37" customFormat="1" ht="26.25" customHeight="1" x14ac:dyDescent="0.25">
      <c r="A2" s="48"/>
      <c r="B2" s="48"/>
      <c r="C2" s="48"/>
      <c r="D2" s="48"/>
      <c r="E2" s="48"/>
    </row>
    <row r="3" spans="1:19" s="37" customFormat="1" x14ac:dyDescent="0.25"/>
    <row r="4" spans="1:19" s="37" customFormat="1" x14ac:dyDescent="0.25"/>
    <row r="5" spans="1:19" s="37" customFormat="1" ht="18.75" customHeight="1" x14ac:dyDescent="0.25">
      <c r="A5" s="48"/>
      <c r="B5" s="48"/>
      <c r="C5" s="48"/>
      <c r="D5" s="48"/>
      <c r="E5" s="48"/>
    </row>
    <row r="6" spans="1:19" s="37" customFormat="1" ht="15" customHeight="1" x14ac:dyDescent="0.25">
      <c r="A6" s="54" t="s">
        <v>92</v>
      </c>
      <c r="B6" s="54"/>
      <c r="C6" s="54"/>
      <c r="D6" s="54"/>
      <c r="E6" s="54"/>
    </row>
    <row r="7" spans="1:19" s="37" customFormat="1" ht="15" customHeight="1" x14ac:dyDescent="0.25">
      <c r="A7" s="54"/>
      <c r="B7" s="54"/>
      <c r="C7" s="54"/>
      <c r="D7" s="54"/>
      <c r="E7" s="54"/>
    </row>
    <row r="8" spans="1:19" s="37" customFormat="1" x14ac:dyDescent="0.25">
      <c r="A8" s="54"/>
      <c r="B8" s="54"/>
      <c r="C8" s="54"/>
      <c r="D8" s="54"/>
      <c r="E8" s="54"/>
    </row>
    <row r="9" spans="1:19" s="37" customFormat="1" x14ac:dyDescent="0.25"/>
    <row r="10" spans="1:19" s="37" customFormat="1" x14ac:dyDescent="0.25"/>
    <row r="11" spans="1:19" s="37" customFormat="1" x14ac:dyDescent="0.25"/>
    <row r="12" spans="1:19" s="37" customFormat="1" x14ac:dyDescent="0.25"/>
    <row r="13" spans="1:19" s="37" customFormat="1" x14ac:dyDescent="0.25"/>
    <row r="14" spans="1:19" s="37" customFormat="1" x14ac:dyDescent="0.25"/>
    <row r="15" spans="1:19" s="37" customFormat="1" x14ac:dyDescent="0.25"/>
    <row r="16" spans="1:19" s="37" customFormat="1" x14ac:dyDescent="0.25"/>
    <row r="17" s="37" customFormat="1" x14ac:dyDescent="0.25"/>
    <row r="18" s="37" customFormat="1" x14ac:dyDescent="0.25"/>
    <row r="19" s="37" customFormat="1" x14ac:dyDescent="0.25"/>
    <row r="20" s="37" customFormat="1" x14ac:dyDescent="0.25"/>
    <row r="21" s="37" customFormat="1" x14ac:dyDescent="0.25"/>
    <row r="22" s="37" customFormat="1" x14ac:dyDescent="0.25"/>
    <row r="23" s="37" customFormat="1" x14ac:dyDescent="0.25"/>
    <row r="24" s="37" customFormat="1" x14ac:dyDescent="0.25"/>
    <row r="25" s="37" customFormat="1" x14ac:dyDescent="0.25"/>
    <row r="26" s="37" customFormat="1" x14ac:dyDescent="0.25"/>
    <row r="27" s="37" customFormat="1" x14ac:dyDescent="0.25"/>
    <row r="28" s="37" customFormat="1" x14ac:dyDescent="0.25"/>
    <row r="29" s="37" customFormat="1" x14ac:dyDescent="0.25"/>
    <row r="30" s="37" customFormat="1" x14ac:dyDescent="0.25"/>
    <row r="31" s="37" customFormat="1" ht="9.75" customHeight="1" x14ac:dyDescent="0.25"/>
  </sheetData>
  <mergeCells count="1">
    <mergeCell ref="A6:E8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9</vt:i4>
      </vt:variant>
    </vt:vector>
  </HeadingPairs>
  <TitlesOfParts>
    <vt:vector size="18" baseType="lpstr">
      <vt:lpstr>Exercício</vt:lpstr>
      <vt:lpstr>Tab Adm Vendas</vt:lpstr>
      <vt:lpstr>Impostos s Vendas</vt:lpstr>
      <vt:lpstr>Tab Custo</vt:lpstr>
      <vt:lpstr>Tab Vendas</vt:lpstr>
      <vt:lpstr>Resumo de Vendas e Custos</vt:lpstr>
      <vt:lpstr>Gráficos</vt:lpstr>
      <vt:lpstr>DRE</vt:lpstr>
      <vt:lpstr>Dashboard</vt:lpstr>
      <vt:lpstr>Abril</vt:lpstr>
      <vt:lpstr>Agosto</vt:lpstr>
      <vt:lpstr>Dezembro</vt:lpstr>
      <vt:lpstr>Fevereiro</vt:lpstr>
      <vt:lpstr>Janeiro</vt:lpstr>
      <vt:lpstr>Março</vt:lpstr>
      <vt:lpstr>Novembro</vt:lpstr>
      <vt:lpstr>Outubro</vt:lpstr>
      <vt:lpstr>Setembro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Paim</dc:creator>
  <cp:lastModifiedBy>Alexandre Lima</cp:lastModifiedBy>
  <dcterms:created xsi:type="dcterms:W3CDTF">2020-07-03T13:17:31Z</dcterms:created>
  <dcterms:modified xsi:type="dcterms:W3CDTF">2020-09-15T16:40:41Z</dcterms:modified>
</cp:coreProperties>
</file>