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38355" windowHeight="12600" activeTab="3"/>
  </bookViews>
  <sheets>
    <sheet name="raw data" sheetId="17" r:id="rId1"/>
    <sheet name="Logistic Regression" sheetId="2" r:id="rId2"/>
    <sheet name="Removed line too little info" sheetId="7" r:id="rId3"/>
    <sheet name="With weights to reflect data" sheetId="11" r:id="rId4"/>
    <sheet name="With data from website" sheetId="10" r:id="rId5"/>
  </sheets>
  <definedNames>
    <definedName name="solver_adj" localSheetId="1" hidden="1">'Logistic Regression'!$C$13:$F$13</definedName>
    <definedName name="solver_adj" localSheetId="2" hidden="1">'Removed line too little info'!$C$13:$F$13</definedName>
    <definedName name="solver_adj" localSheetId="4" hidden="1">'With data from website'!$O$12:$R$12</definedName>
    <definedName name="solver_adj" localSheetId="3" hidden="1">'With weights to reflect data'!$H$12:$K$12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itr" localSheetId="3" hidden="1">100</definedName>
    <definedName name="solver_lhs1" localSheetId="3" hidden="1">'With weights to reflect data'!$J$26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lin" localSheetId="3" hidden="1">2</definedName>
    <definedName name="solver_neg" localSheetId="1" hidden="1">2</definedName>
    <definedName name="solver_neg" localSheetId="2" hidden="1">2</definedName>
    <definedName name="solver_neg" localSheetId="4" hidden="1">2</definedName>
    <definedName name="solver_neg" localSheetId="3" hidden="1">2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1" hidden="1">'Logistic Regression'!$J$13</definedName>
    <definedName name="solver_opt" localSheetId="2" hidden="1">'Removed line too little info'!$J$13</definedName>
    <definedName name="solver_opt" localSheetId="4" hidden="1">'With data from website'!$T$12</definedName>
    <definedName name="solver_opt" localSheetId="3" hidden="1">'With weights to reflect data'!$N$12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el1" localSheetId="3" hidden="1">1</definedName>
    <definedName name="solver_rhs1" localSheetId="3" hidden="1">1.389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3" hidden="1">2</definedName>
    <definedName name="solver_sho" localSheetId="1" hidden="1">1</definedName>
    <definedName name="solver_sho" localSheetId="2" hidden="1">1</definedName>
    <definedName name="solver_sho" localSheetId="4" hidden="1">1</definedName>
    <definedName name="solver_sho" localSheetId="3" hidden="1">1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im" localSheetId="3" hidden="1">100</definedName>
    <definedName name="solver_tol" localSheetId="1" hidden="1">0.05</definedName>
    <definedName name="solver_tol" localSheetId="2" hidden="1">0.05</definedName>
    <definedName name="solver_tol" localSheetId="4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T15" i="11"/>
  <c r="F20" i="7"/>
  <c r="K20"/>
  <c r="L16" i="2"/>
  <c r="L15"/>
  <c r="I12"/>
  <c r="L12" s="1"/>
  <c r="M5" i="11" l="1"/>
  <c r="M6"/>
  <c r="M7"/>
  <c r="M8"/>
  <c r="M9"/>
  <c r="M10"/>
  <c r="M4"/>
  <c r="N4"/>
  <c r="R26"/>
  <c r="S26" s="1"/>
  <c r="T26" s="1"/>
  <c r="R25"/>
  <c r="S25" s="1"/>
  <c r="T25" s="1"/>
  <c r="R24"/>
  <c r="S24" s="1"/>
  <c r="T24" s="1"/>
  <c r="R23"/>
  <c r="S23" s="1"/>
  <c r="T23" s="1"/>
  <c r="G23"/>
  <c r="R22"/>
  <c r="S22" s="1"/>
  <c r="T22" s="1"/>
  <c r="G22"/>
  <c r="R21"/>
  <c r="S21" s="1"/>
  <c r="T21" s="1"/>
  <c r="G21"/>
  <c r="R20"/>
  <c r="S20" s="1"/>
  <c r="T20" s="1"/>
  <c r="G20"/>
  <c r="R19"/>
  <c r="S19" s="1"/>
  <c r="T19" s="1"/>
  <c r="G19"/>
  <c r="R18"/>
  <c r="S18" s="1"/>
  <c r="T18" s="1"/>
  <c r="G18"/>
  <c r="R17"/>
  <c r="S17" s="1"/>
  <c r="T17" s="1"/>
  <c r="G17"/>
  <c r="R16"/>
  <c r="S16" s="1"/>
  <c r="T16" s="1"/>
  <c r="R15"/>
  <c r="S15" s="1"/>
  <c r="J10"/>
  <c r="I10"/>
  <c r="H10"/>
  <c r="E10"/>
  <c r="G10" s="1"/>
  <c r="J9"/>
  <c r="I9"/>
  <c r="E9"/>
  <c r="G9" s="1"/>
  <c r="J8"/>
  <c r="H8"/>
  <c r="E8"/>
  <c r="G8" s="1"/>
  <c r="J7"/>
  <c r="N7" s="1"/>
  <c r="E7"/>
  <c r="G7" s="1"/>
  <c r="I6"/>
  <c r="N6" s="1"/>
  <c r="O6" s="1"/>
  <c r="P6" s="1"/>
  <c r="D19" s="1"/>
  <c r="E6"/>
  <c r="G6" s="1"/>
  <c r="H5"/>
  <c r="N5" s="1"/>
  <c r="E5"/>
  <c r="G5" s="1"/>
  <c r="E4"/>
  <c r="G4" s="1"/>
  <c r="K21" i="7"/>
  <c r="K27"/>
  <c r="J27"/>
  <c r="I27"/>
  <c r="G27"/>
  <c r="F27"/>
  <c r="T29"/>
  <c r="U29" s="1"/>
  <c r="V29" s="1"/>
  <c r="J21"/>
  <c r="J22"/>
  <c r="K22" s="1"/>
  <c r="J26"/>
  <c r="J20"/>
  <c r="I21"/>
  <c r="I22"/>
  <c r="I25"/>
  <c r="I20"/>
  <c r="H21"/>
  <c r="H22"/>
  <c r="H23"/>
  <c r="H24"/>
  <c r="H25"/>
  <c r="H26"/>
  <c r="H20"/>
  <c r="G21"/>
  <c r="G22"/>
  <c r="G23"/>
  <c r="I23" s="1"/>
  <c r="G24"/>
  <c r="I24" s="1"/>
  <c r="G25"/>
  <c r="G26"/>
  <c r="I26" s="1"/>
  <c r="F21"/>
  <c r="F22"/>
  <c r="F23"/>
  <c r="J23" s="1"/>
  <c r="K23" s="1"/>
  <c r="F24"/>
  <c r="J24" s="1"/>
  <c r="F25"/>
  <c r="J25" s="1"/>
  <c r="K25" s="1"/>
  <c r="F26"/>
  <c r="G20"/>
  <c r="E21"/>
  <c r="E22"/>
  <c r="E23"/>
  <c r="E24"/>
  <c r="E25"/>
  <c r="E26"/>
  <c r="E20"/>
  <c r="T28"/>
  <c r="U28" s="1"/>
  <c r="V28" s="1"/>
  <c r="T19"/>
  <c r="U19" s="1"/>
  <c r="V19" s="1"/>
  <c r="T20"/>
  <c r="U20" s="1"/>
  <c r="V20" s="1"/>
  <c r="T21"/>
  <c r="U21" s="1"/>
  <c r="V21" s="1"/>
  <c r="T22"/>
  <c r="U22" s="1"/>
  <c r="V22" s="1"/>
  <c r="T23"/>
  <c r="U23" s="1"/>
  <c r="V23" s="1"/>
  <c r="T24"/>
  <c r="U24" s="1"/>
  <c r="V24" s="1"/>
  <c r="T25"/>
  <c r="U25" s="1"/>
  <c r="V25" s="1"/>
  <c r="T26"/>
  <c r="U26" s="1"/>
  <c r="V26" s="1"/>
  <c r="T27"/>
  <c r="U27" s="1"/>
  <c r="V27" s="1"/>
  <c r="N11"/>
  <c r="N10"/>
  <c r="N9"/>
  <c r="N8"/>
  <c r="N7"/>
  <c r="N6"/>
  <c r="Q10" i="10"/>
  <c r="P10"/>
  <c r="O10"/>
  <c r="K10"/>
  <c r="N10" s="1"/>
  <c r="J10"/>
  <c r="I10"/>
  <c r="L10" s="1"/>
  <c r="Q9"/>
  <c r="P9"/>
  <c r="T9" s="1"/>
  <c r="U9" s="1"/>
  <c r="V9" s="1"/>
  <c r="K9"/>
  <c r="N9" s="1"/>
  <c r="I9"/>
  <c r="J9" s="1"/>
  <c r="Q8"/>
  <c r="O8"/>
  <c r="T8" s="1"/>
  <c r="U8" s="1"/>
  <c r="V8" s="1"/>
  <c r="K8"/>
  <c r="N8" s="1"/>
  <c r="J8"/>
  <c r="I8"/>
  <c r="L8" s="1"/>
  <c r="T7"/>
  <c r="U7" s="1"/>
  <c r="V7" s="1"/>
  <c r="Q7"/>
  <c r="K7"/>
  <c r="N7" s="1"/>
  <c r="J7"/>
  <c r="I7"/>
  <c r="L7" s="1"/>
  <c r="T6"/>
  <c r="U6" s="1"/>
  <c r="V6" s="1"/>
  <c r="P6"/>
  <c r="K6"/>
  <c r="N6" s="1"/>
  <c r="J6"/>
  <c r="I6"/>
  <c r="L6" s="1"/>
  <c r="T5"/>
  <c r="U5" s="1"/>
  <c r="V5" s="1"/>
  <c r="O5"/>
  <c r="K5"/>
  <c r="N5" s="1"/>
  <c r="J5"/>
  <c r="I5"/>
  <c r="L5" s="1"/>
  <c r="T4"/>
  <c r="U4" s="1"/>
  <c r="V4" s="1"/>
  <c r="K4"/>
  <c r="N4" s="1"/>
  <c r="I4"/>
  <c r="J4" s="1"/>
  <c r="T18" i="7"/>
  <c r="U18" s="1"/>
  <c r="V18" s="1"/>
  <c r="O11"/>
  <c r="Q11"/>
  <c r="K11"/>
  <c r="I11"/>
  <c r="L11" s="1"/>
  <c r="Q10"/>
  <c r="K10"/>
  <c r="I10"/>
  <c r="J10" s="1"/>
  <c r="Q9"/>
  <c r="K9"/>
  <c r="I9"/>
  <c r="J9" s="1"/>
  <c r="Q8"/>
  <c r="T8" s="1"/>
  <c r="U8" s="1"/>
  <c r="V8" s="1"/>
  <c r="K8"/>
  <c r="I8"/>
  <c r="J8" s="1"/>
  <c r="P7"/>
  <c r="T7" s="1"/>
  <c r="U7" s="1"/>
  <c r="V7" s="1"/>
  <c r="K7"/>
  <c r="I7"/>
  <c r="J7" s="1"/>
  <c r="O6"/>
  <c r="T6" s="1"/>
  <c r="U6" s="1"/>
  <c r="V6" s="1"/>
  <c r="K6"/>
  <c r="I6"/>
  <c r="L6" s="1"/>
  <c r="T5"/>
  <c r="K5"/>
  <c r="N5" s="1"/>
  <c r="I5"/>
  <c r="L5" s="1"/>
  <c r="O5" i="2"/>
  <c r="T5" s="1"/>
  <c r="U5" s="1"/>
  <c r="V5" s="1"/>
  <c r="P6"/>
  <c r="T6" s="1"/>
  <c r="U6" s="1"/>
  <c r="V6" s="1"/>
  <c r="Q7"/>
  <c r="T7" s="1"/>
  <c r="U7" s="1"/>
  <c r="V7" s="1"/>
  <c r="Q8"/>
  <c r="P9"/>
  <c r="O10"/>
  <c r="P11"/>
  <c r="T4"/>
  <c r="U4" s="1"/>
  <c r="V4" s="1"/>
  <c r="K5"/>
  <c r="N5" s="1"/>
  <c r="K6"/>
  <c r="N6" s="1"/>
  <c r="K7"/>
  <c r="N7" s="1"/>
  <c r="K8"/>
  <c r="N8" s="1"/>
  <c r="K9"/>
  <c r="N9" s="1"/>
  <c r="K10"/>
  <c r="K11"/>
  <c r="N11" s="1"/>
  <c r="K4"/>
  <c r="N4" s="1"/>
  <c r="I5"/>
  <c r="J5" s="1"/>
  <c r="I6"/>
  <c r="J6" s="1"/>
  <c r="I7"/>
  <c r="J7" s="1"/>
  <c r="I8"/>
  <c r="J8" s="1"/>
  <c r="I9"/>
  <c r="J9" s="1"/>
  <c r="I10"/>
  <c r="J10" s="1"/>
  <c r="I11"/>
  <c r="J11" s="1"/>
  <c r="I4"/>
  <c r="J4" s="1"/>
  <c r="N10" i="11" l="1"/>
  <c r="O10" s="1"/>
  <c r="P10" s="1"/>
  <c r="D23" s="1"/>
  <c r="F23" s="1"/>
  <c r="H23" s="1"/>
  <c r="N8"/>
  <c r="O8" s="1"/>
  <c r="P8" s="1"/>
  <c r="D21" s="1"/>
  <c r="E21" s="1"/>
  <c r="I21" s="1"/>
  <c r="N9"/>
  <c r="O9" s="1"/>
  <c r="P9" s="1"/>
  <c r="D22" s="1"/>
  <c r="E22" s="1"/>
  <c r="I22" s="1"/>
  <c r="K24" i="7"/>
  <c r="K26"/>
  <c r="K29"/>
  <c r="L7"/>
  <c r="O5" i="11"/>
  <c r="P5" s="1"/>
  <c r="D18" s="1"/>
  <c r="E18" s="1"/>
  <c r="I18" s="1"/>
  <c r="O7"/>
  <c r="P7" s="1"/>
  <c r="D20" s="1"/>
  <c r="F20" s="1"/>
  <c r="H20" s="1"/>
  <c r="E19"/>
  <c r="I19" s="1"/>
  <c r="F19"/>
  <c r="H19" s="1"/>
  <c r="T10" i="10"/>
  <c r="U10" s="1"/>
  <c r="V10" s="1"/>
  <c r="L9"/>
  <c r="J12"/>
  <c r="I14"/>
  <c r="L4"/>
  <c r="J6" i="7"/>
  <c r="T11"/>
  <c r="U11" s="1"/>
  <c r="V11" s="1"/>
  <c r="L8"/>
  <c r="L9"/>
  <c r="P10"/>
  <c r="T10" s="1"/>
  <c r="U10" s="1"/>
  <c r="V10" s="1"/>
  <c r="P11"/>
  <c r="O9"/>
  <c r="T9" s="1"/>
  <c r="U9" s="1"/>
  <c r="V9" s="1"/>
  <c r="I15"/>
  <c r="J5"/>
  <c r="U5"/>
  <c r="V5" s="1"/>
  <c r="J11"/>
  <c r="L10"/>
  <c r="T9" i="2"/>
  <c r="U9" s="1"/>
  <c r="V9" s="1"/>
  <c r="Q9"/>
  <c r="T10"/>
  <c r="U10" s="1"/>
  <c r="V10" s="1"/>
  <c r="O8"/>
  <c r="T8" s="1"/>
  <c r="U8" s="1"/>
  <c r="V8" s="1"/>
  <c r="O11"/>
  <c r="P10"/>
  <c r="Q11"/>
  <c r="L7"/>
  <c r="L9"/>
  <c r="L11"/>
  <c r="L5"/>
  <c r="L4"/>
  <c r="L6"/>
  <c r="L8"/>
  <c r="L10"/>
  <c r="N10" s="1"/>
  <c r="I15"/>
  <c r="J13"/>
  <c r="N12" i="11" l="1"/>
  <c r="F18"/>
  <c r="H18" s="1"/>
  <c r="J18" s="1"/>
  <c r="E20"/>
  <c r="I20" s="1"/>
  <c r="J20" s="1"/>
  <c r="F21"/>
  <c r="H21" s="1"/>
  <c r="J21" s="1"/>
  <c r="F22"/>
  <c r="H22" s="1"/>
  <c r="J22" s="1"/>
  <c r="E23"/>
  <c r="I23" s="1"/>
  <c r="J23" s="1"/>
  <c r="J19"/>
  <c r="T12" i="10"/>
  <c r="J13" i="7"/>
  <c r="T13"/>
  <c r="T11" i="2"/>
  <c r="U11" s="1"/>
  <c r="V11" s="1"/>
  <c r="T13" l="1"/>
  <c r="O4" i="11"/>
  <c r="P4" s="1"/>
  <c r="D17" s="1"/>
  <c r="F17" l="1"/>
  <c r="H17" s="1"/>
  <c r="E17"/>
  <c r="I17" s="1"/>
  <c r="J17" l="1"/>
  <c r="J26" s="1"/>
</calcChain>
</file>

<file path=xl/sharedStrings.xml><?xml version="1.0" encoding="utf-8"?>
<sst xmlns="http://schemas.openxmlformats.org/spreadsheetml/2006/main" count="113" uniqueCount="46">
  <si>
    <t>Men</t>
  </si>
  <si>
    <t>Hypertensive</t>
  </si>
  <si>
    <t>Smoking</t>
  </si>
  <si>
    <t>Obesity</t>
  </si>
  <si>
    <t>Snoring</t>
  </si>
  <si>
    <t>Intercept</t>
  </si>
  <si>
    <t>Odds</t>
  </si>
  <si>
    <t>err</t>
  </si>
  <si>
    <t>Regressed</t>
  </si>
  <si>
    <t>Prob-Regressed</t>
  </si>
  <si>
    <t>Prob Direct</t>
  </si>
  <si>
    <t>Log(Odds Observed)</t>
  </si>
  <si>
    <t>Log(Odds Regressed)</t>
  </si>
  <si>
    <t>Slope</t>
  </si>
  <si>
    <t>Real P Logistic</t>
  </si>
  <si>
    <t>Count</t>
  </si>
  <si>
    <t>Prob</t>
  </si>
  <si>
    <t>Mean</t>
  </si>
  <si>
    <t>Variance</t>
  </si>
  <si>
    <t>Observed</t>
  </si>
  <si>
    <t>Sigma</t>
  </si>
  <si>
    <t>Standard Score</t>
  </si>
  <si>
    <t>Observed - Mean</t>
  </si>
  <si>
    <t>Weights</t>
  </si>
  <si>
    <t>R^2</t>
  </si>
  <si>
    <t>R</t>
  </si>
  <si>
    <t>NEW DATA</t>
  </si>
  <si>
    <t>Coefficients</t>
  </si>
  <si>
    <t>P Logistic</t>
  </si>
  <si>
    <t>Sq Error Std Score</t>
  </si>
  <si>
    <t>Test run, for various values for Smoking, Obesity and Snoring</t>
  </si>
  <si>
    <t>Observed Values</t>
  </si>
  <si>
    <t>Coefficients:</t>
  </si>
  <si>
    <t xml:space="preserve">Sq Error: </t>
  </si>
  <si>
    <t>Excluded data:</t>
  </si>
  <si>
    <t>Prob Observed</t>
  </si>
  <si>
    <t>Linear Regression</t>
  </si>
  <si>
    <t>Logistic Regression</t>
  </si>
  <si>
    <t xml:space="preserve">Check for number of standard deviations the observed value is from the theoretical mean. </t>
  </si>
  <si>
    <t>That is, given that our probability is the right one, how likely it is to have ratio we observed:</t>
  </si>
  <si>
    <t>No. of stddevs</t>
  </si>
  <si>
    <t>Prob Logistic</t>
  </si>
  <si>
    <t>Factors:</t>
  </si>
  <si>
    <t>Sq error of residuals:</t>
  </si>
  <si>
    <t>Log (Odds)</t>
  </si>
  <si>
    <t>Square error of standard score:</t>
  </si>
</sst>
</file>

<file path=xl/styles.xml><?xml version="1.0" encoding="utf-8"?>
<styleSheet xmlns="http://schemas.openxmlformats.org/spreadsheetml/2006/main">
  <numFmts count="1">
    <numFmt numFmtId="173" formatCode="0.00000000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right" wrapText="1" inden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5" fillId="0" borderId="0" xfId="0" applyFont="1" applyAlignment="1">
      <alignment horizontal="right" wrapText="1" indent="1"/>
    </xf>
    <xf numFmtId="0" fontId="3" fillId="0" borderId="1" xfId="0" applyFont="1" applyBorder="1"/>
    <xf numFmtId="0" fontId="6" fillId="0" borderId="0" xfId="0" applyFont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5" fillId="2" borderId="0" xfId="0" applyFont="1" applyFill="1" applyBorder="1" applyAlignment="1">
      <alignment horizontal="right" wrapText="1" indent="1"/>
    </xf>
    <xf numFmtId="9" fontId="0" fillId="2" borderId="0" xfId="1" applyFont="1" applyFill="1"/>
    <xf numFmtId="0" fontId="5" fillId="2" borderId="0" xfId="0" applyFont="1" applyFill="1" applyAlignment="1">
      <alignment horizontal="right" wrapText="1" indent="1"/>
    </xf>
    <xf numFmtId="9" fontId="2" fillId="2" borderId="0" xfId="1" applyFont="1" applyFill="1"/>
    <xf numFmtId="0" fontId="0" fillId="0" borderId="3" xfId="0" applyBorder="1"/>
    <xf numFmtId="0" fontId="4" fillId="0" borderId="3" xfId="0" applyFont="1" applyBorder="1" applyAlignment="1">
      <alignment horizontal="right" wrapText="1" indent="1"/>
    </xf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4" fillId="0" borderId="3" xfId="0" applyFont="1" applyBorder="1" applyAlignment="1">
      <alignment horizontal="left" wrapText="1" indent="1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 wrapText="1" indent="1"/>
    </xf>
    <xf numFmtId="9" fontId="8" fillId="0" borderId="0" xfId="0" applyNumberFormat="1" applyFont="1"/>
    <xf numFmtId="2" fontId="8" fillId="0" borderId="0" xfId="0" applyNumberFormat="1" applyFont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4" xfId="0" applyFont="1" applyBorder="1" applyAlignment="1">
      <alignment horizontal="right" wrapText="1" indent="1"/>
    </xf>
    <xf numFmtId="0" fontId="4" fillId="0" borderId="13" xfId="0" applyFont="1" applyBorder="1" applyAlignment="1">
      <alignment horizontal="right" wrapText="1" indent="1"/>
    </xf>
    <xf numFmtId="0" fontId="9" fillId="0" borderId="12" xfId="0" applyFont="1" applyBorder="1" applyAlignment="1">
      <alignment horizontal="right" wrapText="1" indent="1"/>
    </xf>
    <xf numFmtId="0" fontId="10" fillId="0" borderId="0" xfId="0" applyFont="1"/>
    <xf numFmtId="0" fontId="11" fillId="0" borderId="0" xfId="0" applyFont="1" applyAlignment="1">
      <alignment horizontal="right" wrapText="1" indent="1"/>
    </xf>
    <xf numFmtId="2" fontId="10" fillId="0" borderId="0" xfId="0" applyNumberFormat="1" applyFont="1"/>
    <xf numFmtId="9" fontId="10" fillId="2" borderId="0" xfId="1" applyFont="1" applyFill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9" fontId="0" fillId="0" borderId="0" xfId="1" applyFont="1" applyFill="1"/>
    <xf numFmtId="0" fontId="1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/>
    </xf>
    <xf numFmtId="0" fontId="5" fillId="2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/>
    </xf>
    <xf numFmtId="0" fontId="3" fillId="0" borderId="14" xfId="0" applyFont="1" applyBorder="1"/>
    <xf numFmtId="173" fontId="3" fillId="0" borderId="15" xfId="0" applyNumberFormat="1" applyFont="1" applyBorder="1"/>
    <xf numFmtId="0" fontId="3" fillId="0" borderId="3" xfId="0" applyFont="1" applyBorder="1" applyAlignment="1">
      <alignment horizontal="left" indent="1"/>
    </xf>
    <xf numFmtId="0" fontId="14" fillId="0" borderId="3" xfId="0" applyFont="1" applyBorder="1" applyAlignment="1">
      <alignment horizontal="right"/>
    </xf>
    <xf numFmtId="0" fontId="2" fillId="0" borderId="3" xfId="0" applyFont="1" applyBorder="1"/>
    <xf numFmtId="0" fontId="3" fillId="0" borderId="16" xfId="0" applyFont="1" applyBorder="1" applyAlignment="1">
      <alignment horizontal="right"/>
    </xf>
    <xf numFmtId="0" fontId="3" fillId="0" borderId="3" xfId="0" applyFont="1" applyBorder="1" applyAlignment="1"/>
    <xf numFmtId="0" fontId="0" fillId="0" borderId="3" xfId="0" applyBorder="1" applyAlignment="1"/>
    <xf numFmtId="0" fontId="14" fillId="0" borderId="3" xfId="0" applyFont="1" applyBorder="1" applyAlignment="1"/>
    <xf numFmtId="0" fontId="15" fillId="0" borderId="3" xfId="0" applyFont="1" applyBorder="1" applyAlignment="1">
      <alignment horizontal="left" wrapText="1"/>
    </xf>
    <xf numFmtId="0" fontId="14" fillId="0" borderId="3" xfId="0" applyFont="1" applyBorder="1"/>
    <xf numFmtId="173" fontId="14" fillId="0" borderId="3" xfId="0" applyNumberFormat="1" applyFont="1" applyBorder="1"/>
  </cellXfs>
  <cellStyles count="2">
    <cellStyle name="Normal" xfId="0" builtinId="0"/>
    <cellStyle name="Pro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'Removed line too little info'!$V$18:$V$28</c:f>
              <c:numCache>
                <c:formatCode>0%</c:formatCode>
                <c:ptCount val="11"/>
                <c:pt idx="0">
                  <c:v>8.3238759792645001E-2</c:v>
                </c:pt>
                <c:pt idx="1">
                  <c:v>9.6704104423044404E-2</c:v>
                </c:pt>
                <c:pt idx="2">
                  <c:v>0.11208139770431369</c:v>
                </c:pt>
                <c:pt idx="3">
                  <c:v>0.12955319605157148</c:v>
                </c:pt>
                <c:pt idx="4">
                  <c:v>0.1492906519193678</c:v>
                </c:pt>
                <c:pt idx="5">
                  <c:v>0.17144285463024572</c:v>
                </c:pt>
                <c:pt idx="6">
                  <c:v>0.19612427445707867</c:v>
                </c:pt>
                <c:pt idx="7">
                  <c:v>0.22340086520954064</c:v>
                </c:pt>
                <c:pt idx="8">
                  <c:v>0.25327579645868831</c:v>
                </c:pt>
                <c:pt idx="9">
                  <c:v>0.28567621613916117</c:v>
                </c:pt>
                <c:pt idx="10">
                  <c:v>0.32044279384836083</c:v>
                </c:pt>
              </c:numCache>
            </c:numRef>
          </c:val>
        </c:ser>
        <c:marker val="1"/>
        <c:axId val="125362560"/>
        <c:axId val="125364096"/>
      </c:lineChart>
      <c:catAx>
        <c:axId val="125362560"/>
        <c:scaling>
          <c:orientation val="minMax"/>
        </c:scaling>
        <c:axPos val="b"/>
        <c:tickLblPos val="nextTo"/>
        <c:crossAx val="125364096"/>
        <c:crosses val="autoZero"/>
        <c:auto val="1"/>
        <c:lblAlgn val="ctr"/>
        <c:lblOffset val="100"/>
      </c:catAx>
      <c:valAx>
        <c:axId val="125364096"/>
        <c:scaling>
          <c:orientation val="minMax"/>
        </c:scaling>
        <c:axPos val="l"/>
        <c:majorGridlines/>
        <c:numFmt formatCode="0%" sourceLinked="1"/>
        <c:tickLblPos val="nextTo"/>
        <c:crossAx val="1253625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'With weights to reflect data'!$T$15:$T$25</c:f>
              <c:numCache>
                <c:formatCode>0%</c:formatCode>
                <c:ptCount val="11"/>
                <c:pt idx="0">
                  <c:v>8.8330283223358522E-2</c:v>
                </c:pt>
                <c:pt idx="1">
                  <c:v>0.10085811140104482</c:v>
                </c:pt>
                <c:pt idx="2">
                  <c:v>0.11493874173885546</c:v>
                </c:pt>
                <c:pt idx="3">
                  <c:v>0.13069940000524571</c:v>
                </c:pt>
                <c:pt idx="4">
                  <c:v>0.14825917681437886</c:v>
                </c:pt>
                <c:pt idx="5">
                  <c:v>0.16772296765385314</c:v>
                </c:pt>
                <c:pt idx="6">
                  <c:v>0.18917447837843721</c:v>
                </c:pt>
                <c:pt idx="7">
                  <c:v>0.21266853902462768</c:v>
                </c:pt>
                <c:pt idx="8">
                  <c:v>0.2382231317113104</c:v>
                </c:pt>
                <c:pt idx="9">
                  <c:v>0.26581170980987417</c:v>
                </c:pt>
                <c:pt idx="10">
                  <c:v>0.29535653809780543</c:v>
                </c:pt>
              </c:numCache>
            </c:numRef>
          </c:val>
        </c:ser>
        <c:marker val="1"/>
        <c:axId val="126178816"/>
        <c:axId val="126180352"/>
      </c:lineChart>
      <c:catAx>
        <c:axId val="126178816"/>
        <c:scaling>
          <c:orientation val="minMax"/>
        </c:scaling>
        <c:axPos val="b"/>
        <c:tickLblPos val="nextTo"/>
        <c:crossAx val="126180352"/>
        <c:crosses val="autoZero"/>
        <c:auto val="1"/>
        <c:lblAlgn val="ctr"/>
        <c:lblOffset val="100"/>
      </c:catAx>
      <c:valAx>
        <c:axId val="126180352"/>
        <c:scaling>
          <c:orientation val="minMax"/>
        </c:scaling>
        <c:axPos val="l"/>
        <c:majorGridlines/>
        <c:numFmt formatCode="0%" sourceLinked="1"/>
        <c:tickLblPos val="nextTo"/>
        <c:crossAx val="12617881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23</xdr:row>
      <xdr:rowOff>133350</xdr:rowOff>
    </xdr:from>
    <xdr:to>
      <xdr:col>17</xdr:col>
      <xdr:colOff>638175</xdr:colOff>
      <xdr:row>38</xdr:row>
      <xdr:rowOff>0</xdr:rowOff>
    </xdr:to>
    <xdr:graphicFrame macro="">
      <xdr:nvGraphicFramePr>
        <xdr:cNvPr id="7" name="Diagramă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17</xdr:row>
      <xdr:rowOff>104775</xdr:rowOff>
    </xdr:from>
    <xdr:to>
      <xdr:col>16</xdr:col>
      <xdr:colOff>695325</xdr:colOff>
      <xdr:row>31</xdr:row>
      <xdr:rowOff>180975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1"/>
  <sheetViews>
    <sheetView showGridLines="0" workbookViewId="0">
      <selection activeCell="E27" sqref="E27"/>
    </sheetView>
  </sheetViews>
  <sheetFormatPr defaultRowHeight="15"/>
  <cols>
    <col min="3" max="3" width="16" customWidth="1"/>
    <col min="4" max="4" width="16.140625" customWidth="1"/>
    <col min="5" max="5" width="12.42578125" customWidth="1"/>
    <col min="6" max="6" width="15.5703125" customWidth="1"/>
  </cols>
  <sheetData>
    <row r="3" spans="2:6" ht="15.75" thickBot="1">
      <c r="B3" s="29" t="s">
        <v>0</v>
      </c>
      <c r="C3" s="29" t="s">
        <v>1</v>
      </c>
      <c r="D3" s="29" t="s">
        <v>2</v>
      </c>
      <c r="E3" s="29" t="s">
        <v>3</v>
      </c>
      <c r="F3" s="29" t="s">
        <v>4</v>
      </c>
    </row>
    <row r="4" spans="2:6">
      <c r="B4" s="28">
        <v>60</v>
      </c>
      <c r="C4" s="28">
        <v>5</v>
      </c>
      <c r="D4" s="28">
        <v>0</v>
      </c>
      <c r="E4" s="28">
        <v>0</v>
      </c>
      <c r="F4" s="28">
        <v>0</v>
      </c>
    </row>
    <row r="5" spans="2:6">
      <c r="B5" s="27">
        <v>17</v>
      </c>
      <c r="C5" s="27">
        <v>2</v>
      </c>
      <c r="D5" s="27">
        <v>1</v>
      </c>
      <c r="E5" s="27">
        <v>0</v>
      </c>
      <c r="F5" s="27">
        <v>0</v>
      </c>
    </row>
    <row r="6" spans="2:6">
      <c r="B6" s="27">
        <v>8</v>
      </c>
      <c r="C6" s="27">
        <v>1</v>
      </c>
      <c r="D6" s="27">
        <v>0</v>
      </c>
      <c r="E6" s="27">
        <v>1</v>
      </c>
      <c r="F6" s="27">
        <v>0</v>
      </c>
    </row>
    <row r="7" spans="2:6">
      <c r="B7" s="27">
        <v>2</v>
      </c>
      <c r="C7" s="27">
        <v>0</v>
      </c>
      <c r="D7" s="27">
        <v>1</v>
      </c>
      <c r="E7" s="27">
        <v>1</v>
      </c>
      <c r="F7" s="27">
        <v>0</v>
      </c>
    </row>
    <row r="8" spans="2:6">
      <c r="B8" s="27">
        <v>187</v>
      </c>
      <c r="C8" s="27">
        <v>35</v>
      </c>
      <c r="D8" s="27">
        <v>0</v>
      </c>
      <c r="E8" s="27">
        <v>0</v>
      </c>
      <c r="F8" s="27">
        <v>1</v>
      </c>
    </row>
    <row r="9" spans="2:6">
      <c r="B9" s="27">
        <v>85</v>
      </c>
      <c r="C9" s="27">
        <v>13</v>
      </c>
      <c r="D9" s="27">
        <v>1</v>
      </c>
      <c r="E9" s="27">
        <v>0</v>
      </c>
      <c r="F9" s="27">
        <v>1</v>
      </c>
    </row>
    <row r="10" spans="2:6">
      <c r="B10" s="27">
        <v>51</v>
      </c>
      <c r="C10" s="27">
        <v>15</v>
      </c>
      <c r="D10" s="27">
        <v>0</v>
      </c>
      <c r="E10" s="27">
        <v>1</v>
      </c>
      <c r="F10" s="27">
        <v>1</v>
      </c>
    </row>
    <row r="11" spans="2:6">
      <c r="B11" s="27">
        <v>23</v>
      </c>
      <c r="C11" s="27">
        <v>8</v>
      </c>
      <c r="D11" s="27">
        <v>1</v>
      </c>
      <c r="E11" s="27">
        <v>1</v>
      </c>
      <c r="F11" s="2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V16"/>
  <sheetViews>
    <sheetView showGridLines="0" workbookViewId="0">
      <selection activeCell="L10" sqref="L10"/>
    </sheetView>
  </sheetViews>
  <sheetFormatPr defaultRowHeight="15"/>
  <cols>
    <col min="2" max="2" width="11.28515625" bestFit="1" customWidth="1"/>
    <col min="3" max="3" width="11" bestFit="1" customWidth="1"/>
    <col min="4" max="4" width="13.5703125" bestFit="1" customWidth="1"/>
    <col min="5" max="6" width="12.85546875" bestFit="1" customWidth="1"/>
    <col min="7" max="7" width="10.28515625" bestFit="1" customWidth="1"/>
    <col min="8" max="8" width="14.140625" bestFit="1" customWidth="1"/>
    <col min="9" max="9" width="11.7109375" bestFit="1" customWidth="1"/>
    <col min="10" max="10" width="5.28515625" bestFit="1" customWidth="1"/>
    <col min="11" max="11" width="12.42578125" customWidth="1"/>
    <col min="12" max="12" width="17.28515625" customWidth="1"/>
    <col min="13" max="13" width="9.140625" style="35"/>
    <col min="14" max="14" width="19.85546875" style="35" bestFit="1" customWidth="1"/>
    <col min="15" max="15" width="13.42578125" customWidth="1"/>
    <col min="16" max="17" width="12.85546875" bestFit="1" customWidth="1"/>
    <col min="18" max="18" width="12.7109375" bestFit="1" customWidth="1"/>
    <col min="20" max="20" width="29.42578125" customWidth="1"/>
    <col min="21" max="21" width="16" customWidth="1"/>
    <col min="22" max="22" width="13.28515625" customWidth="1"/>
  </cols>
  <sheetData>
    <row r="3" spans="2:22" ht="26.25">
      <c r="C3" s="5" t="s">
        <v>0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1</v>
      </c>
      <c r="I3" s="5" t="s">
        <v>8</v>
      </c>
      <c r="J3" s="5" t="s">
        <v>7</v>
      </c>
      <c r="K3" s="11" t="s">
        <v>10</v>
      </c>
      <c r="L3" s="11" t="s">
        <v>9</v>
      </c>
      <c r="N3" s="34" t="s">
        <v>11</v>
      </c>
      <c r="O3" s="5" t="s">
        <v>2</v>
      </c>
      <c r="P3" s="5" t="s">
        <v>3</v>
      </c>
      <c r="Q3" s="5" t="s">
        <v>4</v>
      </c>
      <c r="R3" s="8" t="s">
        <v>5</v>
      </c>
      <c r="T3" s="8" t="s">
        <v>12</v>
      </c>
      <c r="U3" s="8" t="s">
        <v>6</v>
      </c>
      <c r="V3" s="9" t="s">
        <v>28</v>
      </c>
    </row>
    <row r="4" spans="2:22">
      <c r="C4" s="1">
        <v>60</v>
      </c>
      <c r="D4" s="1">
        <v>0</v>
      </c>
      <c r="E4" s="1">
        <v>0</v>
      </c>
      <c r="F4" s="1">
        <v>0</v>
      </c>
      <c r="G4" s="1">
        <v>0</v>
      </c>
      <c r="H4" s="1">
        <v>5</v>
      </c>
      <c r="I4" s="2">
        <f t="shared" ref="I4:I12" si="0">SUMPRODUCT(C$13:G$13,C4:G4)</f>
        <v>5.1766476174608629</v>
      </c>
      <c r="J4" s="2">
        <f>I4-H4</f>
        <v>0.17664761746086288</v>
      </c>
      <c r="K4" s="10">
        <f t="shared" ref="K4:K11" si="1">H4/C4</f>
        <v>8.3333333333333329E-2</v>
      </c>
      <c r="L4" s="10">
        <f t="shared" ref="L4:L12" si="2">I4/C4</f>
        <v>8.627746029101438E-2</v>
      </c>
      <c r="N4" s="35">
        <f>LN(K4/(1-K4))</f>
        <v>-2.3978952727983707</v>
      </c>
      <c r="O4" s="1">
        <v>0</v>
      </c>
      <c r="P4" s="1">
        <v>0</v>
      </c>
      <c r="Q4" s="1">
        <v>0</v>
      </c>
      <c r="R4">
        <v>1</v>
      </c>
      <c r="T4">
        <f t="shared" ref="T4:T11" si="3">SUMPRODUCT(O$13:R$13,O4:R4)</f>
        <v>-2.3991320851782092</v>
      </c>
      <c r="U4">
        <f>EXP(T4)</f>
        <v>9.079672292339673E-2</v>
      </c>
      <c r="V4" s="10">
        <f>U4/(1+U4)</f>
        <v>8.3238903285349428E-2</v>
      </c>
    </row>
    <row r="5" spans="2:22">
      <c r="C5" s="1">
        <v>17</v>
      </c>
      <c r="D5" s="1">
        <v>17</v>
      </c>
      <c r="E5" s="1">
        <v>0</v>
      </c>
      <c r="F5" s="1">
        <v>0</v>
      </c>
      <c r="G5" s="1">
        <v>0</v>
      </c>
      <c r="H5" s="1">
        <v>2</v>
      </c>
      <c r="I5" s="2">
        <f t="shared" si="0"/>
        <v>1.0288604946782927</v>
      </c>
      <c r="J5" s="2">
        <f t="shared" ref="J5:J11" si="4">I5-H5</f>
        <v>-0.97113950532170734</v>
      </c>
      <c r="K5" s="10">
        <f t="shared" si="1"/>
        <v>0.11764705882352941</v>
      </c>
      <c r="L5" s="10">
        <f t="shared" si="2"/>
        <v>6.0521205569311336E-2</v>
      </c>
      <c r="N5" s="35">
        <f t="shared" ref="N5:N11" si="5">LN(K5/(1-K5))</f>
        <v>-2.0149030205422647</v>
      </c>
      <c r="O5" s="1">
        <f>R5</f>
        <v>1</v>
      </c>
      <c r="P5" s="1">
        <v>0</v>
      </c>
      <c r="Q5" s="1">
        <v>0</v>
      </c>
      <c r="R5">
        <v>1</v>
      </c>
      <c r="T5">
        <f t="shared" si="3"/>
        <v>-2.0480625751652273</v>
      </c>
      <c r="U5">
        <f t="shared" ref="U5:U11" si="6">EXP(T5)</f>
        <v>0.12898455955385901</v>
      </c>
      <c r="V5" s="10">
        <f t="shared" ref="V5:V11" si="7">U5/(1+U5)</f>
        <v>0.11424829370990677</v>
      </c>
    </row>
    <row r="6" spans="2:22">
      <c r="C6" s="1">
        <v>8</v>
      </c>
      <c r="D6" s="1">
        <v>0</v>
      </c>
      <c r="E6" s="1">
        <v>8</v>
      </c>
      <c r="F6" s="1">
        <v>0</v>
      </c>
      <c r="G6" s="1">
        <v>1</v>
      </c>
      <c r="H6" s="1">
        <v>1</v>
      </c>
      <c r="I6" s="2">
        <f t="shared" si="0"/>
        <v>1.6486501039244597</v>
      </c>
      <c r="J6" s="2">
        <f t="shared" si="4"/>
        <v>0.64865010392445965</v>
      </c>
      <c r="K6" s="10">
        <f t="shared" si="1"/>
        <v>0.125</v>
      </c>
      <c r="L6" s="10">
        <f t="shared" si="2"/>
        <v>0.20608126299055746</v>
      </c>
      <c r="N6" s="35">
        <f t="shared" si="5"/>
        <v>-1.9459101490553135</v>
      </c>
      <c r="O6" s="1">
        <v>0</v>
      </c>
      <c r="P6" s="1">
        <f>R6</f>
        <v>1</v>
      </c>
      <c r="Q6" s="1">
        <v>0</v>
      </c>
      <c r="R6">
        <v>1</v>
      </c>
      <c r="T6">
        <f t="shared" si="3"/>
        <v>-1.595442463819108</v>
      </c>
      <c r="U6">
        <f t="shared" si="6"/>
        <v>0.20281876867929471</v>
      </c>
      <c r="V6" s="10">
        <f t="shared" si="7"/>
        <v>0.16861955762628436</v>
      </c>
    </row>
    <row r="7" spans="2:22">
      <c r="C7" s="1">
        <v>187</v>
      </c>
      <c r="D7" s="1">
        <v>0</v>
      </c>
      <c r="E7" s="1">
        <v>0</v>
      </c>
      <c r="F7" s="1">
        <v>187</v>
      </c>
      <c r="G7" s="1">
        <v>0</v>
      </c>
      <c r="H7" s="1">
        <v>35</v>
      </c>
      <c r="I7" s="2">
        <f t="shared" si="0"/>
        <v>34.755033873183777</v>
      </c>
      <c r="J7" s="2">
        <f t="shared" si="4"/>
        <v>-0.2449661268162231</v>
      </c>
      <c r="K7" s="10">
        <f t="shared" si="1"/>
        <v>0.18716577540106952</v>
      </c>
      <c r="L7" s="10">
        <f t="shared" si="2"/>
        <v>0.18585579611328223</v>
      </c>
      <c r="N7" s="35">
        <f t="shared" si="5"/>
        <v>-1.4685324593568627</v>
      </c>
      <c r="O7" s="1">
        <v>0</v>
      </c>
      <c r="P7" s="1">
        <v>0</v>
      </c>
      <c r="Q7" s="1">
        <f>R7</f>
        <v>1</v>
      </c>
      <c r="R7">
        <v>1</v>
      </c>
      <c r="T7">
        <f t="shared" si="3"/>
        <v>-1.7484608760294926</v>
      </c>
      <c r="U7">
        <f t="shared" si="6"/>
        <v>0.1740416090246705</v>
      </c>
      <c r="V7" s="10">
        <f t="shared" si="7"/>
        <v>0.14824143172340776</v>
      </c>
    </row>
    <row r="8" spans="2:22">
      <c r="C8" s="1">
        <v>85</v>
      </c>
      <c r="D8" s="1">
        <v>85</v>
      </c>
      <c r="E8" s="1">
        <v>0</v>
      </c>
      <c r="F8" s="1">
        <v>85</v>
      </c>
      <c r="G8" s="1">
        <v>0</v>
      </c>
      <c r="H8" s="1">
        <v>13</v>
      </c>
      <c r="I8" s="2">
        <f t="shared" si="0"/>
        <v>13.608461018284231</v>
      </c>
      <c r="J8" s="2">
        <f t="shared" si="4"/>
        <v>0.60846101828423116</v>
      </c>
      <c r="K8" s="10">
        <f t="shared" si="1"/>
        <v>0.15294117647058825</v>
      </c>
      <c r="L8" s="10">
        <f t="shared" si="2"/>
        <v>0.1600995413915792</v>
      </c>
      <c r="N8" s="35">
        <f t="shared" si="5"/>
        <v>-1.7117167615545184</v>
      </c>
      <c r="O8" s="1">
        <f>R8</f>
        <v>1</v>
      </c>
      <c r="P8" s="1">
        <v>0</v>
      </c>
      <c r="Q8" s="1">
        <f>R8</f>
        <v>1</v>
      </c>
      <c r="R8">
        <v>1</v>
      </c>
      <c r="T8">
        <f t="shared" si="3"/>
        <v>-1.3973913660165107</v>
      </c>
      <c r="U8">
        <f t="shared" si="6"/>
        <v>0.24724108493465713</v>
      </c>
      <c r="V8" s="10">
        <f t="shared" si="7"/>
        <v>0.19823038859212216</v>
      </c>
    </row>
    <row r="9" spans="2:22">
      <c r="C9" s="1">
        <v>51</v>
      </c>
      <c r="D9" s="1">
        <v>0</v>
      </c>
      <c r="E9" s="1">
        <v>51</v>
      </c>
      <c r="F9" s="1">
        <v>51</v>
      </c>
      <c r="G9" s="1">
        <v>0</v>
      </c>
      <c r="H9" s="1">
        <v>15</v>
      </c>
      <c r="I9" s="2">
        <f t="shared" si="0"/>
        <v>15.588639539454089</v>
      </c>
      <c r="J9" s="2">
        <f t="shared" si="4"/>
        <v>0.58863953945408909</v>
      </c>
      <c r="K9" s="10">
        <f t="shared" si="1"/>
        <v>0.29411764705882354</v>
      </c>
      <c r="L9" s="10">
        <f t="shared" si="2"/>
        <v>0.30565959881282528</v>
      </c>
      <c r="N9" s="35">
        <f t="shared" si="5"/>
        <v>-0.87546873735389974</v>
      </c>
      <c r="O9" s="1">
        <v>0</v>
      </c>
      <c r="P9" s="1">
        <f>R9</f>
        <v>1</v>
      </c>
      <c r="Q9" s="1">
        <f>R9</f>
        <v>1</v>
      </c>
      <c r="R9">
        <v>1</v>
      </c>
      <c r="T9">
        <f t="shared" si="3"/>
        <v>-0.94477125467039125</v>
      </c>
      <c r="U9">
        <f t="shared" si="6"/>
        <v>0.3887684897078042</v>
      </c>
      <c r="V9" s="10">
        <f t="shared" si="7"/>
        <v>0.27993757965346749</v>
      </c>
    </row>
    <row r="10" spans="2:22">
      <c r="C10" s="7">
        <v>2</v>
      </c>
      <c r="D10" s="1">
        <v>2</v>
      </c>
      <c r="E10" s="1">
        <v>2</v>
      </c>
      <c r="F10" s="1">
        <v>0</v>
      </c>
      <c r="G10" s="1">
        <v>0</v>
      </c>
      <c r="H10" s="1">
        <v>0</v>
      </c>
      <c r="I10" s="2">
        <f t="shared" si="0"/>
        <v>0.36065001653770878</v>
      </c>
      <c r="J10" s="2">
        <f t="shared" si="4"/>
        <v>0.36065001653770878</v>
      </c>
      <c r="K10" s="10">
        <f t="shared" si="1"/>
        <v>0</v>
      </c>
      <c r="L10" s="12">
        <f t="shared" si="2"/>
        <v>0.18032500826885439</v>
      </c>
      <c r="N10" s="36">
        <f>LN(L10/(1-L10))</f>
        <v>-1.514147085897859</v>
      </c>
      <c r="O10" s="1">
        <f>R10</f>
        <v>1</v>
      </c>
      <c r="P10" s="1">
        <f>R10</f>
        <v>1</v>
      </c>
      <c r="Q10" s="1"/>
      <c r="R10">
        <v>1</v>
      </c>
      <c r="T10">
        <f t="shared" si="3"/>
        <v>-1.2443729538061263</v>
      </c>
      <c r="U10">
        <f t="shared" si="6"/>
        <v>0.28812151700040856</v>
      </c>
      <c r="V10" s="10">
        <f t="shared" si="7"/>
        <v>0.22367572717156714</v>
      </c>
    </row>
    <row r="11" spans="2:22">
      <c r="C11" s="1">
        <v>23</v>
      </c>
      <c r="D11" s="1">
        <v>23</v>
      </c>
      <c r="E11" s="1">
        <v>23</v>
      </c>
      <c r="F11" s="1">
        <v>23</v>
      </c>
      <c r="G11" s="1">
        <v>0</v>
      </c>
      <c r="H11" s="1">
        <v>8</v>
      </c>
      <c r="I11" s="2">
        <f t="shared" si="0"/>
        <v>6.4377769140958128</v>
      </c>
      <c r="J11" s="2">
        <f t="shared" si="4"/>
        <v>-1.5622230859041872</v>
      </c>
      <c r="K11" s="10">
        <f t="shared" si="1"/>
        <v>0.34782608695652173</v>
      </c>
      <c r="L11" s="10">
        <f t="shared" si="2"/>
        <v>0.27990334409112227</v>
      </c>
      <c r="N11" s="35">
        <f t="shared" si="5"/>
        <v>-0.62860865942237421</v>
      </c>
      <c r="O11" s="1">
        <f>R11</f>
        <v>1</v>
      </c>
      <c r="P11" s="1">
        <f>R11</f>
        <v>1</v>
      </c>
      <c r="Q11" s="1">
        <f>R11</f>
        <v>1</v>
      </c>
      <c r="R11">
        <v>1</v>
      </c>
      <c r="T11">
        <f t="shared" si="3"/>
        <v>-0.59370174465740977</v>
      </c>
      <c r="U11">
        <f t="shared" si="6"/>
        <v>0.55227909993719104</v>
      </c>
      <c r="V11" s="10">
        <f t="shared" si="7"/>
        <v>0.35578595367259513</v>
      </c>
    </row>
    <row r="12" spans="2:22">
      <c r="B12" s="30" t="s">
        <v>26</v>
      </c>
      <c r="C12" s="31">
        <v>1</v>
      </c>
      <c r="D12" s="31">
        <v>0.2</v>
      </c>
      <c r="E12" s="31">
        <v>1.2</v>
      </c>
      <c r="F12" s="31">
        <v>0</v>
      </c>
      <c r="G12" s="31">
        <v>0</v>
      </c>
      <c r="H12" s="30"/>
      <c r="I12" s="32">
        <f t="shared" si="0"/>
        <v>0.22489077258612544</v>
      </c>
      <c r="J12" s="30"/>
      <c r="K12" s="30"/>
      <c r="L12" s="33">
        <f t="shared" si="2"/>
        <v>0.22489077258612544</v>
      </c>
    </row>
    <row r="13" spans="2:22">
      <c r="B13" s="30" t="s">
        <v>27</v>
      </c>
      <c r="C13" s="13">
        <v>8.627746029101438E-2</v>
      </c>
      <c r="D13" s="14">
        <v>-2.5756254721703047E-2</v>
      </c>
      <c r="E13" s="14">
        <v>0.11980380269954308</v>
      </c>
      <c r="F13" s="14">
        <v>9.9578335822267869E-2</v>
      </c>
      <c r="G13" s="14">
        <v>0</v>
      </c>
      <c r="H13" s="13"/>
      <c r="I13" s="13"/>
      <c r="J13" s="15">
        <f>SUMPRODUCT(J4:J11,J4:J11)</f>
        <v>4.7424024029005007</v>
      </c>
      <c r="K13" s="13"/>
      <c r="L13" s="13"/>
      <c r="N13" s="13"/>
      <c r="O13" s="13">
        <v>0.35106951001298176</v>
      </c>
      <c r="P13" s="13">
        <v>0.80368962135910116</v>
      </c>
      <c r="Q13" s="13">
        <v>0.65067120914871668</v>
      </c>
      <c r="R13" s="13">
        <v>-2.3991320851782092</v>
      </c>
      <c r="S13" s="13"/>
      <c r="T13" s="13">
        <f>SUMPRODUCT(T4:T11-N4:N11, T4:T11-N4:N11)</f>
        <v>0.37988847085410926</v>
      </c>
      <c r="U13" s="13"/>
      <c r="V13" s="13"/>
    </row>
    <row r="14" spans="2:22" ht="15.75" thickBot="1"/>
    <row r="15" spans="2:22">
      <c r="H15" s="37" t="s">
        <v>13</v>
      </c>
      <c r="I15" s="38">
        <f>SLOPE(I4:I11,H4:H11)</f>
        <v>0.999100619649257</v>
      </c>
      <c r="J15" s="38"/>
      <c r="K15" s="38" t="s">
        <v>25</v>
      </c>
      <c r="L15" s="39">
        <f>CORREL(L4:L11,K4:K11)</f>
        <v>0.70937525600019391</v>
      </c>
    </row>
    <row r="16" spans="2:22" ht="15.75" thickBot="1">
      <c r="H16" s="24"/>
      <c r="I16" s="25"/>
      <c r="J16" s="25"/>
      <c r="K16" s="25" t="s">
        <v>24</v>
      </c>
      <c r="L16" s="26">
        <f>L15*L15</f>
        <v>0.50321325382534066</v>
      </c>
    </row>
  </sheetData>
  <conditionalFormatting sqref="O4:Q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Y62"/>
  <sheetViews>
    <sheetView workbookViewId="0">
      <selection activeCell="C13" sqref="C13:G13"/>
    </sheetView>
  </sheetViews>
  <sheetFormatPr defaultRowHeight="15"/>
  <cols>
    <col min="2" max="2" width="14" bestFit="1" customWidth="1"/>
    <col min="3" max="3" width="12" bestFit="1" customWidth="1"/>
    <col min="4" max="4" width="13.5703125" bestFit="1" customWidth="1"/>
    <col min="5" max="6" width="12.85546875" bestFit="1" customWidth="1"/>
    <col min="7" max="8" width="16.140625" bestFit="1" customWidth="1"/>
    <col min="9" max="9" width="16.5703125" bestFit="1" customWidth="1"/>
    <col min="10" max="11" width="14.7109375" bestFit="1" customWidth="1"/>
    <col min="12" max="12" width="12.7109375" customWidth="1"/>
    <col min="13" max="13" width="9.140625" style="35"/>
    <col min="14" max="14" width="19.140625" style="35" customWidth="1"/>
    <col min="15" max="15" width="13.42578125" customWidth="1"/>
    <col min="16" max="17" width="12.85546875" bestFit="1" customWidth="1"/>
    <col min="18" max="18" width="12.7109375" bestFit="1" customWidth="1"/>
    <col min="20" max="20" width="20.42578125" bestFit="1" customWidth="1"/>
    <col min="21" max="21" width="16" customWidth="1"/>
    <col min="22" max="22" width="11.28515625" customWidth="1"/>
  </cols>
  <sheetData>
    <row r="2" spans="3:22">
      <c r="C2" s="23" t="s">
        <v>36</v>
      </c>
      <c r="N2" s="34" t="s">
        <v>37</v>
      </c>
    </row>
    <row r="4" spans="3:22" ht="26.25">
      <c r="C4" s="5" t="s">
        <v>0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1</v>
      </c>
      <c r="I4" s="5" t="s">
        <v>8</v>
      </c>
      <c r="J4" s="5" t="s">
        <v>7</v>
      </c>
      <c r="K4" s="11" t="s">
        <v>35</v>
      </c>
      <c r="L4" s="11" t="s">
        <v>9</v>
      </c>
      <c r="N4" s="42" t="s">
        <v>11</v>
      </c>
      <c r="O4" s="43" t="s">
        <v>2</v>
      </c>
      <c r="P4" s="43" t="s">
        <v>3</v>
      </c>
      <c r="Q4" s="43" t="s">
        <v>4</v>
      </c>
      <c r="R4" s="44" t="s">
        <v>5</v>
      </c>
      <c r="S4" s="45"/>
      <c r="T4" s="44" t="s">
        <v>12</v>
      </c>
      <c r="U4" s="44" t="s">
        <v>6</v>
      </c>
      <c r="V4" s="46" t="s">
        <v>28</v>
      </c>
    </row>
    <row r="5" spans="3:22">
      <c r="C5" s="1">
        <v>60</v>
      </c>
      <c r="D5" s="1">
        <v>0</v>
      </c>
      <c r="E5" s="1">
        <v>0</v>
      </c>
      <c r="F5" s="1">
        <v>0</v>
      </c>
      <c r="G5" s="1">
        <v>0</v>
      </c>
      <c r="H5" s="1">
        <v>5</v>
      </c>
      <c r="I5" s="2">
        <f t="shared" ref="I5:I11" si="0">SUMPRODUCT(C$13:G$13,C5:G5)</f>
        <v>5.186924247817891</v>
      </c>
      <c r="J5" s="2">
        <f>I5-H5</f>
        <v>0.18692424781789096</v>
      </c>
      <c r="K5" s="10">
        <f t="shared" ref="K5:K11" si="1">H5/C5</f>
        <v>8.3333333333333329E-2</v>
      </c>
      <c r="L5" s="10">
        <f t="shared" ref="L5:L11" si="2">I5/C5</f>
        <v>8.644873746363152E-2</v>
      </c>
      <c r="N5" s="35">
        <f t="shared" ref="N5:N11" si="3">LN(K5/(1-K5))</f>
        <v>-2.3978952727983707</v>
      </c>
      <c r="O5" s="1">
        <v>0</v>
      </c>
      <c r="P5" s="1">
        <v>0</v>
      </c>
      <c r="Q5" s="1">
        <v>0</v>
      </c>
      <c r="R5">
        <v>1</v>
      </c>
      <c r="T5">
        <f t="shared" ref="T5:T11" si="4">SUMPRODUCT(O$13:R$13,O5:R5)</f>
        <v>-2.3991339655669246</v>
      </c>
      <c r="U5">
        <f>EXP(T5)</f>
        <v>9.0796552190424068E-2</v>
      </c>
      <c r="V5" s="10">
        <f>U5/(1+U5)</f>
        <v>8.3238759792645001E-2</v>
      </c>
    </row>
    <row r="6" spans="3:22">
      <c r="C6" s="1">
        <v>17</v>
      </c>
      <c r="D6" s="1">
        <v>17</v>
      </c>
      <c r="E6" s="1">
        <v>0</v>
      </c>
      <c r="F6" s="1">
        <v>0</v>
      </c>
      <c r="G6" s="1">
        <v>0</v>
      </c>
      <c r="H6" s="1">
        <v>2</v>
      </c>
      <c r="I6" s="2">
        <f t="shared" si="0"/>
        <v>1.0334765591410819</v>
      </c>
      <c r="J6" s="2">
        <f t="shared" ref="J6:J11" si="5">I6-H6</f>
        <v>-0.96652344085891806</v>
      </c>
      <c r="K6" s="10">
        <f t="shared" si="1"/>
        <v>0.11764705882352941</v>
      </c>
      <c r="L6" s="10">
        <f t="shared" si="2"/>
        <v>6.0792738773004819E-2</v>
      </c>
      <c r="N6" s="35">
        <f t="shared" si="3"/>
        <v>-2.0149030205422647</v>
      </c>
      <c r="O6" s="1">
        <f>R6</f>
        <v>1</v>
      </c>
      <c r="P6" s="1">
        <v>0</v>
      </c>
      <c r="Q6" s="1">
        <v>0</v>
      </c>
      <c r="R6">
        <v>1</v>
      </c>
      <c r="T6">
        <f t="shared" si="4"/>
        <v>-2.2060998857692429</v>
      </c>
      <c r="U6">
        <f t="shared" ref="U6:U11" si="6">EXP(T6)</f>
        <v>0.1101293289839235</v>
      </c>
      <c r="V6" s="10">
        <f t="shared" ref="V6:V11" si="7">U6/(1+U6)</f>
        <v>9.9204053175247969E-2</v>
      </c>
    </row>
    <row r="7" spans="3:22">
      <c r="C7" s="1">
        <v>8</v>
      </c>
      <c r="D7" s="1">
        <v>0</v>
      </c>
      <c r="E7" s="1">
        <v>8</v>
      </c>
      <c r="F7" s="1">
        <v>0</v>
      </c>
      <c r="G7" s="1">
        <v>0</v>
      </c>
      <c r="H7" s="1">
        <v>1</v>
      </c>
      <c r="I7" s="2">
        <f t="shared" si="0"/>
        <v>1.6519304306496592</v>
      </c>
      <c r="J7" s="2">
        <f t="shared" si="5"/>
        <v>0.65193043064965916</v>
      </c>
      <c r="K7" s="10">
        <f t="shared" si="1"/>
        <v>0.125</v>
      </c>
      <c r="L7" s="10">
        <f t="shared" si="2"/>
        <v>0.2064913038312074</v>
      </c>
      <c r="N7" s="35">
        <f t="shared" si="3"/>
        <v>-1.9459101490553135</v>
      </c>
      <c r="O7" s="1">
        <v>0</v>
      </c>
      <c r="P7" s="1">
        <f>R7</f>
        <v>1</v>
      </c>
      <c r="Q7" s="1">
        <v>0</v>
      </c>
      <c r="R7">
        <v>1</v>
      </c>
      <c r="T7">
        <f t="shared" si="4"/>
        <v>-1.7534794299469048</v>
      </c>
      <c r="U7">
        <f t="shared" si="6"/>
        <v>0.17317035985995891</v>
      </c>
      <c r="V7" s="10">
        <f t="shared" si="7"/>
        <v>0.14760887743586551</v>
      </c>
    </row>
    <row r="8" spans="3:22">
      <c r="C8" s="1">
        <v>187</v>
      </c>
      <c r="D8" s="1">
        <v>0</v>
      </c>
      <c r="E8" s="1">
        <v>0</v>
      </c>
      <c r="F8" s="1">
        <v>187</v>
      </c>
      <c r="G8" s="1">
        <v>0</v>
      </c>
      <c r="H8" s="1">
        <v>35</v>
      </c>
      <c r="I8" s="2">
        <f t="shared" si="0"/>
        <v>34.748743090666167</v>
      </c>
      <c r="J8" s="2">
        <f t="shared" si="5"/>
        <v>-0.25125690933383282</v>
      </c>
      <c r="K8" s="10">
        <f t="shared" si="1"/>
        <v>0.18716577540106952</v>
      </c>
      <c r="L8" s="10">
        <f t="shared" si="2"/>
        <v>0.18582215556505971</v>
      </c>
      <c r="N8" s="35">
        <f t="shared" si="3"/>
        <v>-1.4685324593568627</v>
      </c>
      <c r="O8" s="1">
        <v>0</v>
      </c>
      <c r="P8" s="1">
        <v>0</v>
      </c>
      <c r="Q8" s="1">
        <f>R8</f>
        <v>1</v>
      </c>
      <c r="R8">
        <v>1</v>
      </c>
      <c r="T8">
        <f t="shared" si="4"/>
        <v>-1.5904262639655042</v>
      </c>
      <c r="U8">
        <f t="shared" si="6"/>
        <v>0.20383870411839614</v>
      </c>
      <c r="V8" s="10">
        <f t="shared" si="7"/>
        <v>0.16932393303276683</v>
      </c>
    </row>
    <row r="9" spans="3:22">
      <c r="C9" s="1">
        <v>85</v>
      </c>
      <c r="D9" s="1">
        <v>85</v>
      </c>
      <c r="E9" s="1">
        <v>0</v>
      </c>
      <c r="F9" s="1">
        <v>85</v>
      </c>
      <c r="G9" s="1">
        <v>0</v>
      </c>
      <c r="H9" s="1">
        <v>13</v>
      </c>
      <c r="I9" s="2">
        <f t="shared" si="0"/>
        <v>13.614123334326804</v>
      </c>
      <c r="J9" s="2">
        <f t="shared" si="5"/>
        <v>0.61412333432680377</v>
      </c>
      <c r="K9" s="10">
        <f t="shared" si="1"/>
        <v>0.15294117647058825</v>
      </c>
      <c r="L9" s="10">
        <f t="shared" si="2"/>
        <v>0.16016615687443297</v>
      </c>
      <c r="N9" s="35">
        <f t="shared" si="3"/>
        <v>-1.7117167615545184</v>
      </c>
      <c r="O9" s="1">
        <f>R9</f>
        <v>1</v>
      </c>
      <c r="P9" s="1">
        <v>0</v>
      </c>
      <c r="Q9" s="1">
        <f>R9</f>
        <v>1</v>
      </c>
      <c r="R9">
        <v>1</v>
      </c>
      <c r="T9">
        <f t="shared" si="4"/>
        <v>-1.3973921841678223</v>
      </c>
      <c r="U9">
        <f t="shared" si="6"/>
        <v>0.24724088265412195</v>
      </c>
      <c r="V9" s="10">
        <f t="shared" si="7"/>
        <v>0.19823025855919241</v>
      </c>
    </row>
    <row r="10" spans="3:22">
      <c r="C10" s="1">
        <v>51</v>
      </c>
      <c r="D10" s="1">
        <v>0</v>
      </c>
      <c r="E10" s="1">
        <v>51</v>
      </c>
      <c r="F10" s="1">
        <v>51</v>
      </c>
      <c r="G10" s="1">
        <v>0</v>
      </c>
      <c r="H10" s="1">
        <v>15</v>
      </c>
      <c r="I10" s="2">
        <f t="shared" si="0"/>
        <v>15.599100818564416</v>
      </c>
      <c r="J10" s="2">
        <f t="shared" si="5"/>
        <v>0.59910081856441622</v>
      </c>
      <c r="K10" s="10">
        <f t="shared" si="1"/>
        <v>0.29411764705882354</v>
      </c>
      <c r="L10" s="10">
        <f t="shared" si="2"/>
        <v>0.30586472193263559</v>
      </c>
      <c r="N10" s="35">
        <f t="shared" si="3"/>
        <v>-0.87546873735389974</v>
      </c>
      <c r="O10" s="1">
        <v>0</v>
      </c>
      <c r="P10" s="1">
        <f>R10</f>
        <v>1</v>
      </c>
      <c r="Q10" s="1">
        <f>R10</f>
        <v>1</v>
      </c>
      <c r="R10">
        <v>1</v>
      </c>
      <c r="T10">
        <f t="shared" si="4"/>
        <v>-0.9447717283454844</v>
      </c>
      <c r="U10">
        <f t="shared" si="6"/>
        <v>0.38876830555789726</v>
      </c>
      <c r="V10" s="10">
        <f t="shared" si="7"/>
        <v>0.27993748417358999</v>
      </c>
    </row>
    <row r="11" spans="3:22">
      <c r="C11" s="1">
        <v>23</v>
      </c>
      <c r="D11" s="1">
        <v>23</v>
      </c>
      <c r="E11" s="1">
        <v>23</v>
      </c>
      <c r="F11" s="1">
        <v>23</v>
      </c>
      <c r="G11" s="1">
        <v>0</v>
      </c>
      <c r="H11" s="1">
        <v>8</v>
      </c>
      <c r="I11" s="2">
        <f t="shared" si="0"/>
        <v>6.4448006345662048</v>
      </c>
      <c r="J11" s="2">
        <f t="shared" si="5"/>
        <v>-1.5551993654337952</v>
      </c>
      <c r="K11" s="10">
        <f t="shared" si="1"/>
        <v>0.34782608695652173</v>
      </c>
      <c r="L11" s="10">
        <f t="shared" si="2"/>
        <v>0.28020872324200891</v>
      </c>
      <c r="N11" s="35">
        <f t="shared" si="3"/>
        <v>-0.62860865942237421</v>
      </c>
      <c r="O11" s="1">
        <f>R11</f>
        <v>1</v>
      </c>
      <c r="P11" s="1">
        <f>R11</f>
        <v>1</v>
      </c>
      <c r="Q11" s="1">
        <f>R11</f>
        <v>1</v>
      </c>
      <c r="R11">
        <v>1</v>
      </c>
      <c r="T11">
        <f t="shared" si="4"/>
        <v>-0.75173764854780245</v>
      </c>
      <c r="U11">
        <f t="shared" si="6"/>
        <v>0.47154645841082571</v>
      </c>
      <c r="V11" s="10">
        <f t="shared" si="7"/>
        <v>0.32044279384836083</v>
      </c>
    </row>
    <row r="12" spans="3:22">
      <c r="C12" s="1"/>
      <c r="D12" s="1"/>
      <c r="E12" s="1"/>
      <c r="F12" s="1"/>
      <c r="G12" s="1"/>
    </row>
    <row r="13" spans="3:22">
      <c r="C13" s="13">
        <v>8.644873746363152E-2</v>
      </c>
      <c r="D13" s="14">
        <v>-2.5655998690626704E-2</v>
      </c>
      <c r="E13" s="14">
        <v>0.12004256636757588</v>
      </c>
      <c r="F13" s="14">
        <v>9.9373418101428176E-2</v>
      </c>
      <c r="G13" s="14">
        <v>0</v>
      </c>
      <c r="H13" s="13"/>
      <c r="I13" s="13"/>
      <c r="J13" s="15">
        <f>SUMPRODUCT(J5:J11,J5:J11)</f>
        <v>4.6119658838619912</v>
      </c>
      <c r="K13" s="13"/>
      <c r="L13" s="13"/>
      <c r="N13" s="51" t="s">
        <v>32</v>
      </c>
      <c r="O13" s="52">
        <v>0.19303407979768195</v>
      </c>
      <c r="P13" s="52">
        <v>0.64565453562001984</v>
      </c>
      <c r="Q13" s="52">
        <v>0.80870770160142036</v>
      </c>
      <c r="R13" s="52">
        <v>-2.3991339655669246</v>
      </c>
      <c r="S13" s="50" t="s">
        <v>33</v>
      </c>
      <c r="T13" s="13">
        <f>SUMPRODUCT(T5:T11-N5:N11, T5:T11-N5:N11)</f>
        <v>0.20720904936370169</v>
      </c>
      <c r="U13" s="13"/>
      <c r="V13" s="13"/>
    </row>
    <row r="15" spans="3:22">
      <c r="H15" t="s">
        <v>13</v>
      </c>
      <c r="I15">
        <f>SLOPE(I5:I11,H5:H11)</f>
        <v>1.0042899835643868</v>
      </c>
    </row>
    <row r="16" spans="3:22">
      <c r="C16" s="23" t="s">
        <v>38</v>
      </c>
      <c r="N16" s="34" t="s">
        <v>30</v>
      </c>
    </row>
    <row r="17" spans="3:25">
      <c r="C17" s="23" t="s">
        <v>39</v>
      </c>
    </row>
    <row r="18" spans="3:25">
      <c r="F18" s="19"/>
      <c r="G18" s="19"/>
      <c r="I18" s="19"/>
      <c r="O18">
        <v>0</v>
      </c>
      <c r="P18">
        <v>0</v>
      </c>
      <c r="Q18">
        <v>0</v>
      </c>
      <c r="R18">
        <v>1</v>
      </c>
      <c r="T18">
        <f>SUMPRODUCT(O$13:R$13,O18:R18)</f>
        <v>-2.3991339655669246</v>
      </c>
      <c r="U18">
        <f t="shared" ref="U18:U29" si="8">EXP(T18)</f>
        <v>9.0796552190424068E-2</v>
      </c>
      <c r="V18" s="10">
        <f t="shared" ref="V18:V29" si="9">U18/(1+U18)</f>
        <v>8.3238759792645001E-2</v>
      </c>
    </row>
    <row r="19" spans="3:25">
      <c r="D19" s="47" t="s">
        <v>15</v>
      </c>
      <c r="E19" s="47" t="s">
        <v>28</v>
      </c>
      <c r="F19" s="47" t="s">
        <v>17</v>
      </c>
      <c r="G19" s="47" t="s">
        <v>18</v>
      </c>
      <c r="H19" s="47" t="s">
        <v>31</v>
      </c>
      <c r="I19" s="47" t="s">
        <v>20</v>
      </c>
      <c r="J19" s="47" t="s">
        <v>22</v>
      </c>
      <c r="K19" s="47" t="s">
        <v>40</v>
      </c>
      <c r="L19" s="47"/>
      <c r="O19">
        <v>0.1</v>
      </c>
      <c r="P19">
        <v>0.1</v>
      </c>
      <c r="Q19">
        <v>0.1</v>
      </c>
      <c r="R19">
        <v>1</v>
      </c>
      <c r="T19">
        <f>SUMPRODUCT(O$13:R$13,O19:R19)</f>
        <v>-2.2343943338650125</v>
      </c>
      <c r="U19">
        <f t="shared" si="8"/>
        <v>0.10705695099087914</v>
      </c>
      <c r="V19" s="10">
        <f t="shared" si="9"/>
        <v>9.6704104423044404E-2</v>
      </c>
    </row>
    <row r="20" spans="3:25">
      <c r="D20" s="1">
        <v>60</v>
      </c>
      <c r="E20" s="10">
        <f>V5</f>
        <v>8.3238759792645001E-2</v>
      </c>
      <c r="F20" s="2">
        <f>D20*E20</f>
        <v>4.9943255875587003</v>
      </c>
      <c r="G20" s="2">
        <f>D20*E20*(1-E20)</f>
        <v>4.5786041196496416</v>
      </c>
      <c r="H20" s="2">
        <f>H5</f>
        <v>5</v>
      </c>
      <c r="I20" s="2">
        <f>SQRT(G20)</f>
        <v>2.1397673050239931</v>
      </c>
      <c r="J20" s="2">
        <f>H20-F20</f>
        <v>5.6744124412997365E-3</v>
      </c>
      <c r="K20" s="2">
        <f>J20/I20</f>
        <v>2.6518829538037594E-3</v>
      </c>
      <c r="O20">
        <v>0.2</v>
      </c>
      <c r="P20">
        <v>0.2</v>
      </c>
      <c r="Q20">
        <v>0.2</v>
      </c>
      <c r="R20">
        <v>1</v>
      </c>
      <c r="T20">
        <f>SUMPRODUCT(O$13:R$13,O20:R20)</f>
        <v>-2.0696547021631</v>
      </c>
      <c r="U20">
        <f t="shared" si="8"/>
        <v>0.12622936090597794</v>
      </c>
      <c r="V20" s="10">
        <f t="shared" si="9"/>
        <v>0.11208139770431369</v>
      </c>
    </row>
    <row r="21" spans="3:25">
      <c r="D21" s="1">
        <v>17</v>
      </c>
      <c r="E21" s="10">
        <f>V6</f>
        <v>9.9204053175247969E-2</v>
      </c>
      <c r="F21" s="2">
        <f t="shared" ref="F21:F27" si="10">D21*E21</f>
        <v>1.6864689039792156</v>
      </c>
      <c r="G21" s="2">
        <f t="shared" ref="G21:G27" si="11">D21*E21*(1-E21)</f>
        <v>1.5191643531504593</v>
      </c>
      <c r="H21" s="2">
        <f>H6</f>
        <v>2</v>
      </c>
      <c r="I21" s="2">
        <f t="shared" ref="I21:I27" si="12">SQRT(G21)</f>
        <v>1.2325438544532439</v>
      </c>
      <c r="J21" s="2">
        <f t="shared" ref="J21:J27" si="13">H21-F21</f>
        <v>0.31353109602078444</v>
      </c>
      <c r="K21" s="2">
        <f t="shared" ref="K21:K27" si="14">J21/I21</f>
        <v>0.25437723362781828</v>
      </c>
      <c r="O21">
        <v>0.3</v>
      </c>
      <c r="P21">
        <v>0.3</v>
      </c>
      <c r="Q21">
        <v>0.3</v>
      </c>
      <c r="R21">
        <v>1</v>
      </c>
      <c r="T21">
        <f>SUMPRODUCT(O$13:R$13,O21:R21)</f>
        <v>-1.9049150704611879</v>
      </c>
      <c r="U21">
        <f t="shared" si="8"/>
        <v>0.14883528259728912</v>
      </c>
      <c r="V21" s="10">
        <f t="shared" si="9"/>
        <v>0.12955319605157148</v>
      </c>
    </row>
    <row r="22" spans="3:25">
      <c r="D22" s="1">
        <v>8</v>
      </c>
      <c r="E22" s="10">
        <f>V7</f>
        <v>0.14760887743586551</v>
      </c>
      <c r="F22" s="2">
        <f t="shared" si="10"/>
        <v>1.1808710194869241</v>
      </c>
      <c r="G22" s="2">
        <f t="shared" si="11"/>
        <v>1.0065639739039132</v>
      </c>
      <c r="H22" s="2">
        <f>H7</f>
        <v>1</v>
      </c>
      <c r="I22" s="2">
        <f t="shared" si="12"/>
        <v>1.0032766188364568</v>
      </c>
      <c r="J22" s="2">
        <f t="shared" si="13"/>
        <v>-0.18087101948692408</v>
      </c>
      <c r="K22" s="2">
        <f t="shared" si="14"/>
        <v>-0.1802803096285529</v>
      </c>
      <c r="O22">
        <v>0.4</v>
      </c>
      <c r="P22">
        <v>0.4</v>
      </c>
      <c r="Q22">
        <v>0.4</v>
      </c>
      <c r="R22">
        <v>1</v>
      </c>
      <c r="T22">
        <f>SUMPRODUCT(O$13:R$13,O22:R22)</f>
        <v>-1.7401754387592758</v>
      </c>
      <c r="U22">
        <f t="shared" si="8"/>
        <v>0.17548961023667706</v>
      </c>
      <c r="V22" s="10">
        <f t="shared" si="9"/>
        <v>0.1492906519193678</v>
      </c>
    </row>
    <row r="23" spans="3:25">
      <c r="D23" s="1">
        <v>187</v>
      </c>
      <c r="E23" s="10">
        <f>V8</f>
        <v>0.16932393303276683</v>
      </c>
      <c r="F23" s="2">
        <f t="shared" si="10"/>
        <v>31.663575477127395</v>
      </c>
      <c r="G23" s="2">
        <f t="shared" si="11"/>
        <v>26.302174343460319</v>
      </c>
      <c r="H23" s="2">
        <f>H8</f>
        <v>35</v>
      </c>
      <c r="I23" s="2">
        <f t="shared" si="12"/>
        <v>5.1285645499945032</v>
      </c>
      <c r="J23" s="2">
        <f t="shared" si="13"/>
        <v>3.3364245228726048</v>
      </c>
      <c r="K23" s="2">
        <f t="shared" si="14"/>
        <v>0.65055718619670699</v>
      </c>
      <c r="O23">
        <v>0.5</v>
      </c>
      <c r="P23">
        <v>0.5</v>
      </c>
      <c r="Q23">
        <v>0.5</v>
      </c>
      <c r="R23">
        <v>1</v>
      </c>
      <c r="T23">
        <f>SUMPRODUCT(O$13:R$13,O23:R23)</f>
        <v>-1.5754358070573635</v>
      </c>
      <c r="U23">
        <f t="shared" si="8"/>
        <v>0.20691735698415484</v>
      </c>
      <c r="V23" s="10">
        <f t="shared" si="9"/>
        <v>0.17144285463024572</v>
      </c>
    </row>
    <row r="24" spans="3:25">
      <c r="D24" s="1">
        <v>85</v>
      </c>
      <c r="E24" s="10">
        <f>V9</f>
        <v>0.19823025855919241</v>
      </c>
      <c r="F24" s="2">
        <f t="shared" si="10"/>
        <v>16.849571977531355</v>
      </c>
      <c r="G24" s="2">
        <f t="shared" si="11"/>
        <v>13.50947696781359</v>
      </c>
      <c r="H24" s="2">
        <f>H9</f>
        <v>13</v>
      </c>
      <c r="I24" s="2">
        <f t="shared" si="12"/>
        <v>3.6755240398905826</v>
      </c>
      <c r="J24" s="2">
        <f t="shared" si="13"/>
        <v>-3.8495719775313546</v>
      </c>
      <c r="K24" s="2">
        <f t="shared" si="14"/>
        <v>-1.0473532306554996</v>
      </c>
      <c r="O24">
        <v>0.6</v>
      </c>
      <c r="P24">
        <v>0.6</v>
      </c>
      <c r="Q24">
        <v>0.6</v>
      </c>
      <c r="R24">
        <v>1</v>
      </c>
      <c r="T24">
        <f>SUMPRODUCT(O$13:R$13,O24:R24)</f>
        <v>-1.4106961753554512</v>
      </c>
      <c r="U24">
        <f t="shared" si="8"/>
        <v>0.24397337576603689</v>
      </c>
      <c r="V24" s="10">
        <f t="shared" si="9"/>
        <v>0.19612427445707867</v>
      </c>
    </row>
    <row r="25" spans="3:25">
      <c r="D25" s="1">
        <v>51</v>
      </c>
      <c r="E25" s="10">
        <f>V10</f>
        <v>0.27993748417358999</v>
      </c>
      <c r="F25" s="2">
        <f t="shared" si="10"/>
        <v>14.276811692853089</v>
      </c>
      <c r="G25" s="2">
        <f t="shared" si="11"/>
        <v>10.280196945535703</v>
      </c>
      <c r="H25" s="2">
        <f>H10</f>
        <v>15</v>
      </c>
      <c r="I25" s="2">
        <f t="shared" si="12"/>
        <v>3.2062746210416386</v>
      </c>
      <c r="J25" s="2">
        <f t="shared" si="13"/>
        <v>0.72318830714691096</v>
      </c>
      <c r="K25" s="2">
        <f t="shared" si="14"/>
        <v>0.22555407525009979</v>
      </c>
      <c r="O25">
        <v>0.7</v>
      </c>
      <c r="P25">
        <v>0.7</v>
      </c>
      <c r="Q25">
        <v>0.7</v>
      </c>
      <c r="R25">
        <v>1</v>
      </c>
      <c r="T25">
        <f>SUMPRODUCT(O$13:R$13,O25:R25)</f>
        <v>-1.2459565436535391</v>
      </c>
      <c r="U25">
        <f t="shared" si="8"/>
        <v>0.28766561176998767</v>
      </c>
      <c r="V25" s="10">
        <f t="shared" si="9"/>
        <v>0.22340086520954064</v>
      </c>
    </row>
    <row r="26" spans="3:25">
      <c r="D26" s="1">
        <v>23</v>
      </c>
      <c r="E26" s="10">
        <f>V11</f>
        <v>0.32044279384836083</v>
      </c>
      <c r="F26" s="2">
        <f t="shared" si="10"/>
        <v>7.3701842585122987</v>
      </c>
      <c r="G26" s="2">
        <f t="shared" si="11"/>
        <v>5.0084618235374077</v>
      </c>
      <c r="H26" s="2">
        <f>H11</f>
        <v>8</v>
      </c>
      <c r="I26" s="2">
        <f t="shared" si="12"/>
        <v>2.2379592989009893</v>
      </c>
      <c r="J26" s="2">
        <f t="shared" si="13"/>
        <v>0.62981574148770125</v>
      </c>
      <c r="K26" s="2">
        <f t="shared" si="14"/>
        <v>0.28142412679130913</v>
      </c>
      <c r="O26">
        <v>0.8</v>
      </c>
      <c r="P26">
        <v>0.8</v>
      </c>
      <c r="Q26">
        <v>0.8</v>
      </c>
      <c r="R26">
        <v>1</v>
      </c>
      <c r="T26">
        <f>SUMPRODUCT(O$13:R$13,O26:R26)</f>
        <v>-1.0812169119516268</v>
      </c>
      <c r="U26">
        <f t="shared" si="8"/>
        <v>0.33918251913830744</v>
      </c>
      <c r="V26" s="10">
        <f t="shared" si="9"/>
        <v>0.25327579645868831</v>
      </c>
    </row>
    <row r="27" spans="3:25">
      <c r="C27" s="23" t="s">
        <v>34</v>
      </c>
      <c r="D27" s="20">
        <v>2</v>
      </c>
      <c r="E27" s="21">
        <v>0.17</v>
      </c>
      <c r="F27" s="22">
        <f t="shared" si="10"/>
        <v>0.34</v>
      </c>
      <c r="G27" s="22">
        <f t="shared" si="11"/>
        <v>0.28220000000000001</v>
      </c>
      <c r="H27" s="22">
        <v>0</v>
      </c>
      <c r="I27" s="22">
        <f t="shared" si="12"/>
        <v>0.53122499941173706</v>
      </c>
      <c r="J27" s="22">
        <f t="shared" si="13"/>
        <v>-0.34</v>
      </c>
      <c r="K27" s="22">
        <f t="shared" si="14"/>
        <v>-0.64003011977317714</v>
      </c>
      <c r="O27">
        <v>0.9</v>
      </c>
      <c r="P27">
        <v>0.9</v>
      </c>
      <c r="Q27">
        <v>0.9</v>
      </c>
      <c r="R27">
        <v>1</v>
      </c>
      <c r="T27">
        <f>SUMPRODUCT(O$13:R$13,O27:R27)</f>
        <v>-0.91647728024971453</v>
      </c>
      <c r="U27">
        <f t="shared" si="8"/>
        <v>0.39992538760940272</v>
      </c>
      <c r="V27" s="10">
        <f t="shared" si="9"/>
        <v>0.28567621613916117</v>
      </c>
    </row>
    <row r="28" spans="3:25" ht="15.75" thickBot="1">
      <c r="O28">
        <v>1</v>
      </c>
      <c r="P28">
        <v>1</v>
      </c>
      <c r="Q28">
        <v>1</v>
      </c>
      <c r="R28">
        <v>1</v>
      </c>
      <c r="T28">
        <f>SUMPRODUCT(O$13:R$13,O28:R28)</f>
        <v>-0.75173764854780245</v>
      </c>
      <c r="U28">
        <f t="shared" si="8"/>
        <v>0.47154645841082571</v>
      </c>
      <c r="V28" s="10">
        <f t="shared" si="9"/>
        <v>0.32044279384836083</v>
      </c>
      <c r="W28" s="40"/>
      <c r="X28" s="40"/>
      <c r="Y28" s="40"/>
    </row>
    <row r="29" spans="3:25" ht="15.75" thickBot="1">
      <c r="J29" s="48" t="s">
        <v>29</v>
      </c>
      <c r="K29" s="49">
        <f>SUMPRODUCT(K20:K26,K20:K26)</f>
        <v>1.7474634217899767</v>
      </c>
      <c r="O29">
        <v>1</v>
      </c>
      <c r="P29">
        <v>1</v>
      </c>
      <c r="Q29">
        <v>0</v>
      </c>
      <c r="R29">
        <v>1</v>
      </c>
      <c r="T29">
        <f>SUMPRODUCT(O$13:R$13,O29:R29)</f>
        <v>-1.5604453501492228</v>
      </c>
      <c r="U29">
        <f t="shared" si="8"/>
        <v>0.21004250790585849</v>
      </c>
      <c r="V29" s="10">
        <f t="shared" si="9"/>
        <v>0.17358275146000063</v>
      </c>
      <c r="W29" s="40"/>
      <c r="X29" s="40"/>
      <c r="Y29" s="40"/>
    </row>
    <row r="30" spans="3:25">
      <c r="U30" s="40"/>
      <c r="V30" s="41"/>
      <c r="W30" s="40"/>
      <c r="X30" s="40"/>
      <c r="Y30" s="40"/>
    </row>
    <row r="31" spans="3:25">
      <c r="U31" s="40"/>
      <c r="V31" s="41"/>
      <c r="W31" s="40"/>
      <c r="X31" s="40"/>
      <c r="Y31" s="40"/>
    </row>
    <row r="32" spans="3:25">
      <c r="U32" s="40"/>
      <c r="V32" s="41"/>
      <c r="W32" s="40"/>
      <c r="X32" s="40"/>
      <c r="Y32" s="40"/>
    </row>
    <row r="33" spans="21:25">
      <c r="U33" s="40"/>
      <c r="V33" s="41"/>
      <c r="W33" s="40"/>
      <c r="X33" s="40"/>
      <c r="Y33" s="40"/>
    </row>
    <row r="34" spans="21:25">
      <c r="U34" s="40"/>
      <c r="V34" s="41"/>
      <c r="W34" s="40"/>
      <c r="X34" s="40"/>
      <c r="Y34" s="40"/>
    </row>
    <row r="35" spans="21:25">
      <c r="U35" s="40"/>
      <c r="V35" s="41"/>
      <c r="W35" s="40"/>
      <c r="X35" s="40"/>
      <c r="Y35" s="40"/>
    </row>
    <row r="36" spans="21:25">
      <c r="U36" s="40"/>
      <c r="V36" s="41"/>
      <c r="W36" s="40"/>
      <c r="X36" s="40"/>
      <c r="Y36" s="40"/>
    </row>
    <row r="37" spans="21:25">
      <c r="U37" s="40"/>
      <c r="V37" s="41"/>
      <c r="W37" s="40"/>
      <c r="X37" s="40"/>
      <c r="Y37" s="40"/>
    </row>
    <row r="38" spans="21:25">
      <c r="U38" s="40"/>
      <c r="V38" s="41"/>
      <c r="W38" s="40"/>
      <c r="X38" s="40"/>
      <c r="Y38" s="40"/>
    </row>
    <row r="39" spans="21:25">
      <c r="U39" s="40"/>
      <c r="V39" s="41"/>
      <c r="W39" s="40"/>
      <c r="X39" s="40"/>
      <c r="Y39" s="40"/>
    </row>
    <row r="40" spans="21:25">
      <c r="U40" s="40"/>
      <c r="V40" s="41"/>
      <c r="W40" s="40"/>
      <c r="X40" s="40"/>
      <c r="Y40" s="40"/>
    </row>
    <row r="41" spans="21:25">
      <c r="V41" s="10"/>
    </row>
    <row r="42" spans="21:25">
      <c r="V42" s="10"/>
    </row>
    <row r="43" spans="21:25">
      <c r="V43" s="10"/>
    </row>
    <row r="44" spans="21:25">
      <c r="V44" s="10"/>
    </row>
    <row r="45" spans="21:25">
      <c r="V45" s="10"/>
    </row>
    <row r="46" spans="21:25">
      <c r="V46" s="10"/>
    </row>
    <row r="47" spans="21:25">
      <c r="V47" s="10"/>
    </row>
    <row r="48" spans="21:25">
      <c r="V48" s="10"/>
    </row>
    <row r="49" spans="22:22">
      <c r="V49" s="10"/>
    </row>
    <row r="50" spans="22:22">
      <c r="V50" s="10"/>
    </row>
    <row r="51" spans="22:22">
      <c r="V51" s="10"/>
    </row>
    <row r="52" spans="22:22">
      <c r="V52" s="10"/>
    </row>
    <row r="53" spans="22:22">
      <c r="V53" s="10"/>
    </row>
    <row r="54" spans="22:22">
      <c r="V54" s="10"/>
    </row>
    <row r="55" spans="22:22">
      <c r="V55" s="10"/>
    </row>
    <row r="56" spans="22:22">
      <c r="V56" s="10"/>
    </row>
    <row r="57" spans="22:22">
      <c r="V57" s="10"/>
    </row>
    <row r="58" spans="22:22">
      <c r="V58" s="10"/>
    </row>
    <row r="59" spans="22:22">
      <c r="V59" s="10"/>
    </row>
    <row r="60" spans="22:22">
      <c r="V60" s="10"/>
    </row>
    <row r="61" spans="22:22">
      <c r="V61" s="10"/>
    </row>
    <row r="62" spans="22:22">
      <c r="V62" s="10"/>
    </row>
  </sheetData>
  <conditionalFormatting sqref="O5:Q11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V61"/>
  <sheetViews>
    <sheetView tabSelected="1" topLeftCell="B1" workbookViewId="0">
      <selection activeCell="J35" sqref="J35"/>
    </sheetView>
  </sheetViews>
  <sheetFormatPr defaultRowHeight="15"/>
  <cols>
    <col min="2" max="2" width="14.28515625" customWidth="1"/>
    <col min="3" max="3" width="12.5703125" customWidth="1"/>
    <col min="4" max="4" width="14.140625" bestFit="1" customWidth="1"/>
    <col min="5" max="5" width="15.85546875" bestFit="1" customWidth="1"/>
    <col min="6" max="6" width="13.28515625" customWidth="1"/>
    <col min="7" max="7" width="19.28515625" bestFit="1" customWidth="1"/>
    <col min="8" max="8" width="14.140625" bestFit="1" customWidth="1"/>
    <col min="9" max="9" width="15.5703125" bestFit="1" customWidth="1"/>
    <col min="10" max="10" width="16.7109375" bestFit="1" customWidth="1"/>
    <col min="11" max="11" width="11" customWidth="1"/>
    <col min="12" max="12" width="9.140625" style="35"/>
    <col min="13" max="13" width="19.85546875" style="35" bestFit="1" customWidth="1"/>
    <col min="14" max="14" width="13.42578125" customWidth="1"/>
    <col min="15" max="16" width="12.85546875" bestFit="1" customWidth="1"/>
    <col min="17" max="18" width="12.7109375" bestFit="1" customWidth="1"/>
    <col min="19" max="19" width="12" bestFit="1" customWidth="1"/>
  </cols>
  <sheetData>
    <row r="3" spans="3:20" ht="26.25">
      <c r="C3" s="5" t="s">
        <v>0</v>
      </c>
      <c r="D3" s="5" t="s">
        <v>1</v>
      </c>
      <c r="E3" s="11" t="s">
        <v>35</v>
      </c>
      <c r="F3" s="35"/>
      <c r="G3" s="34" t="s">
        <v>11</v>
      </c>
      <c r="H3" s="5" t="s">
        <v>2</v>
      </c>
      <c r="I3" s="5" t="s">
        <v>3</v>
      </c>
      <c r="J3" s="5" t="s">
        <v>4</v>
      </c>
      <c r="K3" s="8" t="s">
        <v>5</v>
      </c>
      <c r="L3"/>
      <c r="M3" s="8" t="s">
        <v>23</v>
      </c>
      <c r="N3" s="8" t="s">
        <v>12</v>
      </c>
      <c r="O3" s="8" t="s">
        <v>6</v>
      </c>
      <c r="P3" s="9" t="s">
        <v>41</v>
      </c>
    </row>
    <row r="4" spans="3:20">
      <c r="C4" s="1">
        <v>60</v>
      </c>
      <c r="D4" s="1">
        <v>5</v>
      </c>
      <c r="E4" s="10">
        <f>D4/C4</f>
        <v>8.3333333333333329E-2</v>
      </c>
      <c r="F4" s="35"/>
      <c r="G4" s="35">
        <f t="shared" ref="G4:G10" si="0">LN(E4/(1-E4))</f>
        <v>-2.3978952727983707</v>
      </c>
      <c r="H4" s="1">
        <v>0</v>
      </c>
      <c r="I4" s="1">
        <v>0</v>
      </c>
      <c r="J4" s="1">
        <v>0</v>
      </c>
      <c r="K4">
        <v>1</v>
      </c>
      <c r="L4"/>
      <c r="M4" s="1">
        <f>C4/10</f>
        <v>6</v>
      </c>
      <c r="N4">
        <f>SUMPRODUCT(H$12:K$12,H4:K4)</f>
        <v>-2.3341947646489603</v>
      </c>
      <c r="O4">
        <f>EXP(N4)</f>
        <v>9.6888469143918465E-2</v>
      </c>
      <c r="P4" s="10">
        <f>O4/(1+O4)</f>
        <v>8.8330283223358522E-2</v>
      </c>
    </row>
    <row r="5" spans="3:20">
      <c r="C5" s="1">
        <v>17</v>
      </c>
      <c r="D5" s="1">
        <v>2</v>
      </c>
      <c r="E5" s="10">
        <f>D5/C5</f>
        <v>0.11764705882352941</v>
      </c>
      <c r="F5" s="35"/>
      <c r="G5" s="35">
        <f t="shared" si="0"/>
        <v>-2.0149030205422647</v>
      </c>
      <c r="H5" s="1">
        <f>K5</f>
        <v>1</v>
      </c>
      <c r="I5" s="1">
        <v>0</v>
      </c>
      <c r="J5" s="1">
        <v>0</v>
      </c>
      <c r="K5">
        <v>1</v>
      </c>
      <c r="L5"/>
      <c r="M5" s="1">
        <f>C5/10</f>
        <v>1.7</v>
      </c>
      <c r="N5">
        <f>SUMPRODUCT(H$12:K$12,H5:K5)</f>
        <v>-2.3875889199098332</v>
      </c>
      <c r="O5">
        <f t="shared" ref="O5:O10" si="1">EXP(N5)</f>
        <v>9.1850876933902106E-2</v>
      </c>
      <c r="P5" s="10">
        <f t="shared" ref="P5:P10" si="2">O5/(1+O5)</f>
        <v>8.4124012604939749E-2</v>
      </c>
    </row>
    <row r="6" spans="3:20">
      <c r="C6" s="1">
        <v>8</v>
      </c>
      <c r="D6" s="1">
        <v>1</v>
      </c>
      <c r="E6" s="10">
        <f>D6/C6</f>
        <v>0.125</v>
      </c>
      <c r="F6" s="35"/>
      <c r="G6" s="35">
        <f t="shared" si="0"/>
        <v>-1.9459101490553135</v>
      </c>
      <c r="H6" s="1">
        <v>0</v>
      </c>
      <c r="I6" s="1">
        <f>K6</f>
        <v>1</v>
      </c>
      <c r="J6" s="1">
        <v>0</v>
      </c>
      <c r="K6">
        <v>1</v>
      </c>
      <c r="L6"/>
      <c r="M6" s="1">
        <f>C6/10</f>
        <v>0.8</v>
      </c>
      <c r="N6">
        <f>SUMPRODUCT(H$12:K$12,H6:K6)</f>
        <v>-1.6317085177306874</v>
      </c>
      <c r="O6">
        <f t="shared" si="1"/>
        <v>0.19559511077518996</v>
      </c>
      <c r="P6" s="10">
        <f t="shared" si="2"/>
        <v>0.16359644583053845</v>
      </c>
    </row>
    <row r="7" spans="3:20">
      <c r="C7" s="1">
        <v>187</v>
      </c>
      <c r="D7" s="1">
        <v>35</v>
      </c>
      <c r="E7" s="10">
        <f>D7/C7</f>
        <v>0.18716577540106952</v>
      </c>
      <c r="F7" s="35"/>
      <c r="G7" s="35">
        <f t="shared" si="0"/>
        <v>-1.4685324593568627</v>
      </c>
      <c r="H7" s="1">
        <v>0</v>
      </c>
      <c r="I7" s="1">
        <v>0</v>
      </c>
      <c r="J7" s="1">
        <f>K7</f>
        <v>1</v>
      </c>
      <c r="K7">
        <v>1</v>
      </c>
      <c r="L7"/>
      <c r="M7" s="1">
        <f>C7/10</f>
        <v>18.7</v>
      </c>
      <c r="N7">
        <f>SUMPRODUCT(H$12:K$12,H7:K7)</f>
        <v>-1.518600808460266</v>
      </c>
      <c r="O7">
        <f t="shared" si="1"/>
        <v>0.21901812096413642</v>
      </c>
      <c r="P7" s="10">
        <f t="shared" si="2"/>
        <v>0.17966764988769182</v>
      </c>
    </row>
    <row r="8" spans="3:20">
      <c r="C8" s="1">
        <v>85</v>
      </c>
      <c r="D8" s="1">
        <v>13</v>
      </c>
      <c r="E8" s="10">
        <f>D8/C8</f>
        <v>0.15294117647058825</v>
      </c>
      <c r="F8" s="35"/>
      <c r="G8" s="35">
        <f t="shared" si="0"/>
        <v>-1.7117167615545184</v>
      </c>
      <c r="H8" s="1">
        <f>K8</f>
        <v>1</v>
      </c>
      <c r="I8" s="1">
        <v>0</v>
      </c>
      <c r="J8" s="1">
        <f>K8</f>
        <v>1</v>
      </c>
      <c r="K8">
        <v>1</v>
      </c>
      <c r="L8"/>
      <c r="M8" s="1">
        <f>C8/10</f>
        <v>8.5</v>
      </c>
      <c r="N8">
        <f>SUMPRODUCT(H$12:K$12,H8:K8)</f>
        <v>-1.5719949637211392</v>
      </c>
      <c r="O8">
        <f t="shared" si="1"/>
        <v>0.2076305534881504</v>
      </c>
      <c r="P8" s="10">
        <f t="shared" si="2"/>
        <v>0.17193217982803194</v>
      </c>
    </row>
    <row r="9" spans="3:20">
      <c r="C9" s="1">
        <v>51</v>
      </c>
      <c r="D9" s="1">
        <v>15</v>
      </c>
      <c r="E9" s="10">
        <f>D9/C9</f>
        <v>0.29411764705882354</v>
      </c>
      <c r="F9" s="35"/>
      <c r="G9" s="35">
        <f t="shared" si="0"/>
        <v>-0.87546873735389974</v>
      </c>
      <c r="H9" s="1">
        <v>0</v>
      </c>
      <c r="I9" s="1">
        <f>K9</f>
        <v>1</v>
      </c>
      <c r="J9" s="1">
        <f>K9</f>
        <v>1</v>
      </c>
      <c r="K9">
        <v>1</v>
      </c>
      <c r="L9"/>
      <c r="M9" s="1">
        <f>C9/10</f>
        <v>5.0999999999999996</v>
      </c>
      <c r="N9">
        <f>SUMPRODUCT(H$12:K$12,H9:K9)</f>
        <v>-0.81611456154199313</v>
      </c>
      <c r="O9">
        <f t="shared" si="1"/>
        <v>0.44214625342176894</v>
      </c>
      <c r="P9" s="10">
        <f t="shared" si="2"/>
        <v>0.30658905251301111</v>
      </c>
    </row>
    <row r="10" spans="3:20">
      <c r="C10" s="1">
        <v>23</v>
      </c>
      <c r="D10" s="1">
        <v>8</v>
      </c>
      <c r="E10" s="10">
        <f>D10/C10</f>
        <v>0.34782608695652173</v>
      </c>
      <c r="F10" s="35"/>
      <c r="G10" s="35">
        <f t="shared" si="0"/>
        <v>-0.62860865942237421</v>
      </c>
      <c r="H10" s="1">
        <f>K10</f>
        <v>1</v>
      </c>
      <c r="I10" s="1">
        <f>K10</f>
        <v>1</v>
      </c>
      <c r="J10" s="1">
        <f>K10</f>
        <v>1</v>
      </c>
      <c r="K10">
        <v>1</v>
      </c>
      <c r="L10"/>
      <c r="M10" s="1">
        <f>C10/10</f>
        <v>2.2999999999999998</v>
      </c>
      <c r="N10">
        <f>SUMPRODUCT(H$12:K$12,H10:K10)</f>
        <v>-0.86950871680286657</v>
      </c>
      <c r="O10">
        <f t="shared" si="1"/>
        <v>0.41915742367137909</v>
      </c>
      <c r="P10" s="10">
        <f t="shared" si="2"/>
        <v>0.29535653809780543</v>
      </c>
    </row>
    <row r="11" spans="3:20">
      <c r="F11" s="35"/>
      <c r="G11" s="35"/>
      <c r="L11"/>
      <c r="M11"/>
    </row>
    <row r="12" spans="3:20">
      <c r="C12" s="13"/>
      <c r="D12" s="15"/>
      <c r="E12" s="13"/>
      <c r="F12" s="13"/>
      <c r="G12" s="56" t="s">
        <v>42</v>
      </c>
      <c r="H12" s="56">
        <v>-5.3394155260873204E-2</v>
      </c>
      <c r="I12" s="57">
        <v>0.70248624691827277</v>
      </c>
      <c r="J12" s="57">
        <v>0.81559395618869424</v>
      </c>
      <c r="K12" s="56">
        <v>-2.3341947646489603</v>
      </c>
      <c r="L12" s="55"/>
      <c r="M12" s="54" t="s">
        <v>43</v>
      </c>
      <c r="N12" s="54">
        <f>SUMPRODUCT(N4:N10-G4:G10, N4:N10-G4:G10, M4:M10)</f>
        <v>0.70370463206252964</v>
      </c>
      <c r="O12" s="13"/>
      <c r="P12" s="13"/>
    </row>
    <row r="14" spans="3:20">
      <c r="N14" s="53" t="s">
        <v>2</v>
      </c>
      <c r="O14" s="53" t="s">
        <v>3</v>
      </c>
      <c r="P14" s="53" t="s">
        <v>4</v>
      </c>
      <c r="Q14" s="53" t="s">
        <v>5</v>
      </c>
      <c r="R14" s="53" t="s">
        <v>44</v>
      </c>
      <c r="S14" s="53" t="s">
        <v>6</v>
      </c>
      <c r="T14" s="53" t="s">
        <v>16</v>
      </c>
    </row>
    <row r="15" spans="3:20">
      <c r="N15">
        <v>0</v>
      </c>
      <c r="O15">
        <v>0</v>
      </c>
      <c r="P15">
        <v>0</v>
      </c>
      <c r="Q15">
        <v>1</v>
      </c>
      <c r="R15">
        <f>SUMPRODUCT(H$12:K$12,N15:Q15)</f>
        <v>-2.3341947646489603</v>
      </c>
      <c r="S15">
        <f t="shared" ref="S15:S26" si="3">EXP(R15)</f>
        <v>9.6888469143918465E-2</v>
      </c>
      <c r="T15" s="10">
        <f>S15/(1+S15)</f>
        <v>8.8330283223358522E-2</v>
      </c>
    </row>
    <row r="16" spans="3:20">
      <c r="C16" s="19" t="s">
        <v>15</v>
      </c>
      <c r="D16" s="19" t="s">
        <v>16</v>
      </c>
      <c r="E16" s="19" t="s">
        <v>17</v>
      </c>
      <c r="F16" s="19" t="s">
        <v>18</v>
      </c>
      <c r="G16" s="19" t="s">
        <v>19</v>
      </c>
      <c r="H16" s="19" t="s">
        <v>20</v>
      </c>
      <c r="I16" s="19" t="s">
        <v>22</v>
      </c>
      <c r="J16" s="19" t="s">
        <v>21</v>
      </c>
      <c r="N16">
        <v>0.1</v>
      </c>
      <c r="O16">
        <v>0.1</v>
      </c>
      <c r="P16">
        <v>0.1</v>
      </c>
      <c r="Q16">
        <v>1</v>
      </c>
      <c r="R16">
        <f>SUMPRODUCT(H$12:K$12,N16:Q16)</f>
        <v>-2.1877261598643507</v>
      </c>
      <c r="S16">
        <f t="shared" si="3"/>
        <v>0.11217151895592602</v>
      </c>
      <c r="T16" s="10">
        <f t="shared" ref="T15:T26" si="4">S16/(1+S16)</f>
        <v>0.10085811140104482</v>
      </c>
    </row>
    <row r="17" spans="3:22">
      <c r="C17" s="1">
        <v>60</v>
      </c>
      <c r="D17" s="10">
        <f>P4</f>
        <v>8.8330283223358522E-2</v>
      </c>
      <c r="E17" s="2">
        <f>C17*D17</f>
        <v>5.2998169934015111</v>
      </c>
      <c r="F17" s="2">
        <f>C17*D17*(1-D17)</f>
        <v>4.8316826573423874</v>
      </c>
      <c r="G17" s="2">
        <f>D4</f>
        <v>5</v>
      </c>
      <c r="H17" s="2">
        <f>SQRT(F17)</f>
        <v>2.1981088820489281</v>
      </c>
      <c r="I17" s="2">
        <f>G17-E17</f>
        <v>-0.29981699340151113</v>
      </c>
      <c r="J17" s="2">
        <f>I17/H17</f>
        <v>-0.1363976988810682</v>
      </c>
      <c r="N17">
        <v>0.2</v>
      </c>
      <c r="O17">
        <v>0.2</v>
      </c>
      <c r="P17">
        <v>0.2</v>
      </c>
      <c r="Q17">
        <v>1</v>
      </c>
      <c r="R17">
        <f>SUMPRODUCT(H$12:K$12,N17:Q17)</f>
        <v>-2.0412575550797416</v>
      </c>
      <c r="S17">
        <f t="shared" si="3"/>
        <v>0.1298652953860758</v>
      </c>
      <c r="T17" s="10">
        <f t="shared" si="4"/>
        <v>0.11493874173885546</v>
      </c>
    </row>
    <row r="18" spans="3:22">
      <c r="C18" s="1">
        <v>17</v>
      </c>
      <c r="D18" s="10">
        <f>P5</f>
        <v>8.4124012604939749E-2</v>
      </c>
      <c r="E18" s="2">
        <f t="shared" ref="E18:E24" si="5">C18*D18</f>
        <v>1.4301082142839758</v>
      </c>
      <c r="F18" s="2">
        <f t="shared" ref="F18:F24" si="6">C18*D18*(1-D18)</f>
        <v>1.3098017728391227</v>
      </c>
      <c r="G18" s="2">
        <f>D5</f>
        <v>2</v>
      </c>
      <c r="H18" s="2">
        <f t="shared" ref="H18:H24" si="7">SQRT(F18)</f>
        <v>1.1444657150125217</v>
      </c>
      <c r="I18" s="2">
        <f t="shared" ref="I18:I24" si="8">G18-E18</f>
        <v>0.56989178571602417</v>
      </c>
      <c r="J18" s="2">
        <f t="shared" ref="J18:J24" si="9">I18/H18</f>
        <v>0.49795444130870181</v>
      </c>
      <c r="N18">
        <v>0.3</v>
      </c>
      <c r="O18">
        <v>0.3</v>
      </c>
      <c r="P18">
        <v>0.3</v>
      </c>
      <c r="Q18">
        <v>1</v>
      </c>
      <c r="R18">
        <f>SUMPRODUCT(H$12:K$12,N18:Q18)</f>
        <v>-1.8947889502951321</v>
      </c>
      <c r="S18">
        <f t="shared" si="3"/>
        <v>0.15035006303462162</v>
      </c>
      <c r="T18" s="10">
        <f t="shared" si="4"/>
        <v>0.13069940000524571</v>
      </c>
    </row>
    <row r="19" spans="3:22">
      <c r="C19" s="1">
        <v>8</v>
      </c>
      <c r="D19" s="10">
        <f>P6</f>
        <v>0.16359644583053845</v>
      </c>
      <c r="E19" s="2">
        <f t="shared" si="5"/>
        <v>1.3087715666443076</v>
      </c>
      <c r="F19" s="2">
        <f t="shared" si="6"/>
        <v>1.0946611899372332</v>
      </c>
      <c r="G19" s="2">
        <f>D6</f>
        <v>1</v>
      </c>
      <c r="H19" s="2">
        <f t="shared" si="7"/>
        <v>1.0462605745880103</v>
      </c>
      <c r="I19" s="2">
        <f t="shared" si="8"/>
        <v>-0.3087715666443076</v>
      </c>
      <c r="J19" s="2">
        <f t="shared" si="9"/>
        <v>-0.2951191836373015</v>
      </c>
      <c r="N19">
        <v>0.4</v>
      </c>
      <c r="O19">
        <v>0.4</v>
      </c>
      <c r="P19">
        <v>0.4</v>
      </c>
      <c r="Q19">
        <v>1</v>
      </c>
      <c r="R19">
        <f>SUMPRODUCT(H$12:K$12,N19:Q19)</f>
        <v>-1.7483203455105227</v>
      </c>
      <c r="S19">
        <f t="shared" si="3"/>
        <v>0.17406606890094842</v>
      </c>
      <c r="T19" s="10">
        <f t="shared" si="4"/>
        <v>0.14825917681437886</v>
      </c>
    </row>
    <row r="20" spans="3:22">
      <c r="C20" s="1">
        <v>187</v>
      </c>
      <c r="D20" s="10">
        <f>P7</f>
        <v>0.17966764988769182</v>
      </c>
      <c r="E20" s="2">
        <f t="shared" si="5"/>
        <v>33.597850528998372</v>
      </c>
      <c r="F20" s="2">
        <f t="shared" si="6"/>
        <v>27.561403683175293</v>
      </c>
      <c r="G20" s="2">
        <f>D7</f>
        <v>35</v>
      </c>
      <c r="H20" s="2">
        <f>SQRT(F20)</f>
        <v>5.2498955878355611</v>
      </c>
      <c r="I20" s="2">
        <f t="shared" si="8"/>
        <v>1.4021494710016285</v>
      </c>
      <c r="J20" s="2">
        <f t="shared" si="9"/>
        <v>0.26708140143787312</v>
      </c>
      <c r="N20">
        <v>0.5</v>
      </c>
      <c r="O20">
        <v>0.5</v>
      </c>
      <c r="P20">
        <v>0.5</v>
      </c>
      <c r="Q20">
        <v>1</v>
      </c>
      <c r="R20">
        <f>SUMPRODUCT(H$12:K$12,N20:Q20)</f>
        <v>-1.6018517407259134</v>
      </c>
      <c r="S20">
        <f t="shared" si="3"/>
        <v>0.20152300392220432</v>
      </c>
      <c r="T20" s="10">
        <f t="shared" si="4"/>
        <v>0.16772296765385314</v>
      </c>
    </row>
    <row r="21" spans="3:22">
      <c r="C21" s="1">
        <v>85</v>
      </c>
      <c r="D21" s="10">
        <f>P8</f>
        <v>0.17193217982803194</v>
      </c>
      <c r="E21" s="2">
        <f t="shared" si="5"/>
        <v>14.614235285382716</v>
      </c>
      <c r="F21" s="2">
        <f t="shared" si="6"/>
        <v>12.101577956247125</v>
      </c>
      <c r="G21" s="2">
        <f>D8</f>
        <v>13</v>
      </c>
      <c r="H21" s="2">
        <f t="shared" si="7"/>
        <v>3.4787322340541138</v>
      </c>
      <c r="I21" s="2">
        <f t="shared" si="8"/>
        <v>-1.6142352853827155</v>
      </c>
      <c r="J21" s="2">
        <f t="shared" si="9"/>
        <v>-0.46402976049165073</v>
      </c>
      <c r="N21">
        <v>0.6</v>
      </c>
      <c r="O21">
        <v>0.6</v>
      </c>
      <c r="P21">
        <v>0.6</v>
      </c>
      <c r="Q21">
        <v>1</v>
      </c>
      <c r="R21">
        <f>SUMPRODUCT(H$12:K$12,N21:Q21)</f>
        <v>-1.4553831359413041</v>
      </c>
      <c r="S21">
        <f t="shared" si="3"/>
        <v>0.23331095696162701</v>
      </c>
      <c r="T21" s="10">
        <f t="shared" si="4"/>
        <v>0.18917447837843721</v>
      </c>
    </row>
    <row r="22" spans="3:22">
      <c r="C22" s="1">
        <v>51</v>
      </c>
      <c r="D22" s="10">
        <f>P9</f>
        <v>0.30658905251301111</v>
      </c>
      <c r="E22" s="2">
        <f t="shared" si="5"/>
        <v>15.636041678163567</v>
      </c>
      <c r="F22" s="2">
        <f t="shared" si="6"/>
        <v>10.842202475001448</v>
      </c>
      <c r="G22" s="2">
        <f>D9</f>
        <v>15</v>
      </c>
      <c r="H22" s="2">
        <f t="shared" si="7"/>
        <v>3.2927499867134533</v>
      </c>
      <c r="I22" s="2">
        <f t="shared" si="8"/>
        <v>-0.63604167816356671</v>
      </c>
      <c r="J22" s="2">
        <f t="shared" si="9"/>
        <v>-0.19316427931973362</v>
      </c>
      <c r="N22">
        <v>0.7</v>
      </c>
      <c r="O22">
        <v>0.7</v>
      </c>
      <c r="P22">
        <v>0.7</v>
      </c>
      <c r="Q22">
        <v>1</v>
      </c>
      <c r="R22">
        <f>SUMPRODUCT(H$12:K$12,N22:Q22)</f>
        <v>-1.3089145311566948</v>
      </c>
      <c r="S22">
        <f t="shared" si="3"/>
        <v>0.27011309666346478</v>
      </c>
      <c r="T22" s="10">
        <f t="shared" si="4"/>
        <v>0.21266853902462768</v>
      </c>
    </row>
    <row r="23" spans="3:22">
      <c r="C23" s="1">
        <v>23</v>
      </c>
      <c r="D23" s="10">
        <f>P10</f>
        <v>0.29535653809780543</v>
      </c>
      <c r="E23" s="2">
        <f t="shared" si="5"/>
        <v>6.7932003762495246</v>
      </c>
      <c r="F23" s="2">
        <f t="shared" si="6"/>
        <v>4.7867842305157557</v>
      </c>
      <c r="G23" s="2">
        <f>D10</f>
        <v>8</v>
      </c>
      <c r="H23" s="2">
        <f t="shared" si="7"/>
        <v>2.1878720781882461</v>
      </c>
      <c r="I23" s="2">
        <f t="shared" si="8"/>
        <v>1.2067996237504754</v>
      </c>
      <c r="J23" s="2">
        <f t="shared" si="9"/>
        <v>0.55158600714435435</v>
      </c>
      <c r="N23">
        <v>0.8</v>
      </c>
      <c r="O23">
        <v>0.8</v>
      </c>
      <c r="P23">
        <v>0.8</v>
      </c>
      <c r="Q23">
        <v>1</v>
      </c>
      <c r="R23">
        <f>SUMPRODUCT(H$12:K$12,N23:Q23)</f>
        <v>-1.1624459263720852</v>
      </c>
      <c r="S23">
        <f t="shared" si="3"/>
        <v>0.31272035372572027</v>
      </c>
      <c r="T23" s="10">
        <f t="shared" si="4"/>
        <v>0.2382231317113104</v>
      </c>
    </row>
    <row r="24" spans="3:22">
      <c r="C24" s="20"/>
      <c r="D24" s="21"/>
      <c r="E24" s="22"/>
      <c r="F24" s="22"/>
      <c r="G24" s="22"/>
      <c r="H24" s="22"/>
      <c r="I24" s="22"/>
      <c r="J24" s="22"/>
      <c r="N24">
        <v>0.9</v>
      </c>
      <c r="O24">
        <v>0.9</v>
      </c>
      <c r="P24">
        <v>0.9</v>
      </c>
      <c r="Q24">
        <v>1</v>
      </c>
      <c r="R24">
        <f>SUMPRODUCT(H$12:K$12,N24:Q24)</f>
        <v>-1.0159773215874757</v>
      </c>
      <c r="S24">
        <f t="shared" si="3"/>
        <v>0.36204841913378843</v>
      </c>
      <c r="T24" s="10">
        <f t="shared" si="4"/>
        <v>0.26581170980987417</v>
      </c>
    </row>
    <row r="25" spans="3:22">
      <c r="N25">
        <v>1</v>
      </c>
      <c r="O25">
        <v>1</v>
      </c>
      <c r="P25">
        <v>1</v>
      </c>
      <c r="Q25">
        <v>1</v>
      </c>
      <c r="R25">
        <f>SUMPRODUCT(H$12:K$12,N25:Q25)</f>
        <v>-0.86950871680286657</v>
      </c>
      <c r="S25">
        <f t="shared" si="3"/>
        <v>0.41915742367137909</v>
      </c>
      <c r="T25" s="10">
        <f t="shared" si="4"/>
        <v>0.29535653809780543</v>
      </c>
    </row>
    <row r="26" spans="3:22">
      <c r="H26" s="58" t="s">
        <v>45</v>
      </c>
      <c r="I26" s="58"/>
      <c r="J26" s="59">
        <f>SUMPRODUCT(J17:J23,J17:J23)</f>
        <v>0.98187394612838008</v>
      </c>
      <c r="N26">
        <v>1</v>
      </c>
      <c r="O26">
        <v>1</v>
      </c>
      <c r="P26">
        <v>0</v>
      </c>
      <c r="Q26">
        <v>1</v>
      </c>
      <c r="R26">
        <f>SUMPRODUCT(H$12:K$12,N26:Q26)</f>
        <v>-1.6851026729915608</v>
      </c>
      <c r="S26">
        <f t="shared" si="3"/>
        <v>0.185425392798794</v>
      </c>
      <c r="T26" s="10">
        <f t="shared" si="4"/>
        <v>0.15642097252616122</v>
      </c>
    </row>
    <row r="27" spans="3:22">
      <c r="S27" s="40"/>
      <c r="T27" s="41"/>
      <c r="U27" s="40"/>
      <c r="V27" s="40"/>
    </row>
    <row r="28" spans="3:22">
      <c r="S28" s="40"/>
      <c r="T28" s="41"/>
      <c r="U28" s="40"/>
      <c r="V28" s="40"/>
    </row>
    <row r="29" spans="3:22">
      <c r="S29" s="40"/>
      <c r="T29" s="41"/>
      <c r="U29" s="40"/>
      <c r="V29" s="40"/>
    </row>
    <row r="30" spans="3:22">
      <c r="S30" s="40"/>
      <c r="T30" s="41"/>
      <c r="U30" s="40"/>
      <c r="V30" s="40"/>
    </row>
    <row r="31" spans="3:22">
      <c r="S31" s="40"/>
      <c r="T31" s="41"/>
      <c r="U31" s="40"/>
      <c r="V31" s="40"/>
    </row>
    <row r="32" spans="3:22">
      <c r="S32" s="40"/>
      <c r="T32" s="41"/>
      <c r="U32" s="40"/>
      <c r="V32" s="40"/>
    </row>
    <row r="33" spans="19:22">
      <c r="S33" s="40"/>
      <c r="T33" s="41"/>
      <c r="U33" s="40"/>
      <c r="V33" s="40"/>
    </row>
    <row r="34" spans="19:22">
      <c r="S34" s="40"/>
      <c r="T34" s="41"/>
      <c r="U34" s="40"/>
      <c r="V34" s="40"/>
    </row>
    <row r="35" spans="19:22">
      <c r="S35" s="40"/>
      <c r="T35" s="41"/>
      <c r="U35" s="40"/>
      <c r="V35" s="40"/>
    </row>
    <row r="36" spans="19:22">
      <c r="S36" s="40"/>
      <c r="T36" s="41"/>
      <c r="U36" s="40"/>
      <c r="V36" s="40"/>
    </row>
    <row r="37" spans="19:22">
      <c r="S37" s="40"/>
      <c r="T37" s="41"/>
      <c r="U37" s="40"/>
      <c r="V37" s="40"/>
    </row>
    <row r="38" spans="19:22">
      <c r="S38" s="40"/>
      <c r="T38" s="41"/>
      <c r="U38" s="40"/>
      <c r="V38" s="40"/>
    </row>
    <row r="39" spans="19:22">
      <c r="S39" s="40"/>
      <c r="T39" s="41"/>
      <c r="U39" s="40"/>
      <c r="V39" s="40"/>
    </row>
    <row r="40" spans="19:22">
      <c r="S40" s="40"/>
      <c r="T40" s="41"/>
      <c r="U40" s="40"/>
      <c r="V40" s="40"/>
    </row>
    <row r="41" spans="19:22">
      <c r="S41" s="40"/>
      <c r="T41" s="41"/>
      <c r="U41" s="40"/>
      <c r="V41" s="40"/>
    </row>
    <row r="42" spans="19:22">
      <c r="S42" s="40"/>
      <c r="T42" s="41"/>
      <c r="U42" s="40"/>
      <c r="V42" s="40"/>
    </row>
    <row r="43" spans="19:22">
      <c r="S43" s="40"/>
      <c r="T43" s="41"/>
      <c r="U43" s="40"/>
      <c r="V43" s="40"/>
    </row>
    <row r="44" spans="19:22">
      <c r="T44" s="10"/>
    </row>
    <row r="45" spans="19:22">
      <c r="T45" s="10"/>
    </row>
    <row r="46" spans="19:22">
      <c r="T46" s="10"/>
    </row>
    <row r="47" spans="19:22">
      <c r="T47" s="10"/>
    </row>
    <row r="48" spans="19:22">
      <c r="T48" s="10"/>
    </row>
    <row r="49" spans="20:20">
      <c r="T49" s="10"/>
    </row>
    <row r="50" spans="20:20">
      <c r="T50" s="10"/>
    </row>
    <row r="51" spans="20:20">
      <c r="T51" s="10"/>
    </row>
    <row r="52" spans="20:20">
      <c r="T52" s="10"/>
    </row>
    <row r="53" spans="20:20">
      <c r="T53" s="10"/>
    </row>
    <row r="54" spans="20:20">
      <c r="T54" s="10"/>
    </row>
    <row r="55" spans="20:20">
      <c r="T55" s="10"/>
    </row>
    <row r="56" spans="20:20">
      <c r="T56" s="10"/>
    </row>
    <row r="57" spans="20:20">
      <c r="T57" s="10"/>
    </row>
    <row r="58" spans="20:20">
      <c r="T58" s="10"/>
    </row>
    <row r="59" spans="20:20">
      <c r="T59" s="10"/>
    </row>
    <row r="60" spans="20:20">
      <c r="T60" s="10"/>
    </row>
    <row r="61" spans="20:20">
      <c r="T61" s="10"/>
    </row>
  </sheetData>
  <conditionalFormatting sqref="H4:J10 M4:M10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V14"/>
  <sheetViews>
    <sheetView workbookViewId="0">
      <selection activeCell="O12" sqref="O12:R12"/>
    </sheetView>
  </sheetViews>
  <sheetFormatPr defaultRowHeight="15"/>
  <cols>
    <col min="2" max="2" width="14.28515625" customWidth="1"/>
    <col min="3" max="3" width="24.140625" customWidth="1"/>
    <col min="4" max="4" width="17" customWidth="1"/>
    <col min="5" max="5" width="13.28515625" customWidth="1"/>
    <col min="6" max="7" width="14.7109375" customWidth="1"/>
    <col min="8" max="8" width="14.140625" bestFit="1" customWidth="1"/>
    <col min="9" max="11" width="11.85546875" customWidth="1"/>
    <col min="12" max="12" width="12.5703125" bestFit="1" customWidth="1"/>
    <col min="13" max="13" width="9.140625" style="4"/>
    <col min="14" max="14" width="19.85546875" style="3" bestFit="1" customWidth="1"/>
    <col min="15" max="15" width="13.42578125" customWidth="1"/>
    <col min="16" max="17" width="12.85546875" bestFit="1" customWidth="1"/>
    <col min="18" max="18" width="12.7109375" bestFit="1" customWidth="1"/>
    <col min="20" max="20" width="29.42578125" customWidth="1"/>
    <col min="21" max="21" width="16" customWidth="1"/>
  </cols>
  <sheetData>
    <row r="3" spans="3:22" ht="39">
      <c r="C3" s="5" t="s">
        <v>0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1</v>
      </c>
      <c r="I3" s="5" t="s">
        <v>8</v>
      </c>
      <c r="J3" s="5" t="s">
        <v>7</v>
      </c>
      <c r="K3" s="11" t="s">
        <v>10</v>
      </c>
      <c r="L3" s="11" t="s">
        <v>9</v>
      </c>
      <c r="N3" s="6" t="s">
        <v>11</v>
      </c>
      <c r="O3" s="5" t="s">
        <v>2</v>
      </c>
      <c r="P3" s="5" t="s">
        <v>3</v>
      </c>
      <c r="Q3" s="5" t="s">
        <v>4</v>
      </c>
      <c r="R3" s="8" t="s">
        <v>5</v>
      </c>
      <c r="T3" s="8" t="s">
        <v>12</v>
      </c>
      <c r="U3" s="8" t="s">
        <v>6</v>
      </c>
      <c r="V3" s="9" t="s">
        <v>14</v>
      </c>
    </row>
    <row r="4" spans="3:22">
      <c r="C4" s="1">
        <v>60</v>
      </c>
      <c r="D4" s="1">
        <v>0</v>
      </c>
      <c r="E4" s="1">
        <v>0</v>
      </c>
      <c r="F4" s="1">
        <v>0</v>
      </c>
      <c r="G4" s="1">
        <v>1</v>
      </c>
      <c r="H4" s="1">
        <v>5</v>
      </c>
      <c r="I4" s="2">
        <f t="shared" ref="I4:I10" si="0">SUMPRODUCT(C$12:G$12,C4:G4)</f>
        <v>5.1176270341733652</v>
      </c>
      <c r="J4" s="2">
        <f>I4-H4</f>
        <v>0.11762703417336517</v>
      </c>
      <c r="K4" s="10">
        <f t="shared" ref="K4:K10" si="1">H4/C4</f>
        <v>8.3333333333333329E-2</v>
      </c>
      <c r="L4" s="10">
        <f t="shared" ref="L4:L10" si="2">I4/C4</f>
        <v>8.5293783902889414E-2</v>
      </c>
      <c r="N4" s="3">
        <f>LN(K4/(1-K4))</f>
        <v>-2.3978952727983707</v>
      </c>
      <c r="O4" s="1">
        <v>0</v>
      </c>
      <c r="P4" s="1">
        <v>0</v>
      </c>
      <c r="Q4" s="1">
        <v>0</v>
      </c>
      <c r="R4">
        <v>1</v>
      </c>
      <c r="T4">
        <f t="shared" ref="T4:T10" si="3">SUMPRODUCT(O$12:R$12,O4:R4)</f>
        <v>-2.2776100000000001</v>
      </c>
      <c r="U4">
        <f>EXP(T4)</f>
        <v>0.10252895833126457</v>
      </c>
      <c r="V4" s="10">
        <f>U4/(1+U4)</f>
        <v>9.2994345006998769E-2</v>
      </c>
    </row>
    <row r="5" spans="3:22">
      <c r="C5" s="1">
        <v>17</v>
      </c>
      <c r="D5" s="1">
        <v>17</v>
      </c>
      <c r="E5" s="1">
        <v>0</v>
      </c>
      <c r="F5" s="1">
        <v>0</v>
      </c>
      <c r="G5" s="1">
        <v>1</v>
      </c>
      <c r="H5" s="1">
        <v>2</v>
      </c>
      <c r="I5" s="2">
        <f t="shared" si="0"/>
        <v>1.1403287666353545</v>
      </c>
      <c r="J5" s="2">
        <f t="shared" ref="J5:J10" si="4">I5-H5</f>
        <v>-0.85967123336464546</v>
      </c>
      <c r="K5" s="10">
        <f t="shared" si="1"/>
        <v>0.11764705882352941</v>
      </c>
      <c r="L5" s="10">
        <f t="shared" si="2"/>
        <v>6.7078162743256148E-2</v>
      </c>
      <c r="N5" s="3">
        <f t="shared" ref="N5:N10" si="5">LN(K5/(1-K5))</f>
        <v>-2.0149030205422647</v>
      </c>
      <c r="O5" s="1">
        <f>R5</f>
        <v>1</v>
      </c>
      <c r="P5" s="1">
        <v>0</v>
      </c>
      <c r="Q5" s="1">
        <v>0</v>
      </c>
      <c r="R5">
        <v>1</v>
      </c>
      <c r="T5">
        <f t="shared" si="3"/>
        <v>-2.3453850000000003</v>
      </c>
      <c r="U5">
        <f t="shared" ref="U5:U10" si="6">EXP(T5)</f>
        <v>9.5810308060242641E-2</v>
      </c>
      <c r="V5" s="10">
        <f t="shared" ref="V5:V10" si="7">U5/(1+U5)</f>
        <v>8.7433296945200328E-2</v>
      </c>
    </row>
    <row r="6" spans="3:22">
      <c r="C6" s="1">
        <v>8</v>
      </c>
      <c r="D6" s="1">
        <v>0</v>
      </c>
      <c r="E6" s="1">
        <v>8</v>
      </c>
      <c r="F6" s="1">
        <v>0</v>
      </c>
      <c r="G6" s="1">
        <v>1</v>
      </c>
      <c r="H6" s="1">
        <v>1</v>
      </c>
      <c r="I6" s="2">
        <f t="shared" si="0"/>
        <v>1.8029563961765764</v>
      </c>
      <c r="J6" s="2">
        <f t="shared" si="4"/>
        <v>0.80295639617657644</v>
      </c>
      <c r="K6" s="10">
        <f t="shared" si="1"/>
        <v>0.125</v>
      </c>
      <c r="L6" s="10">
        <f t="shared" si="2"/>
        <v>0.22536954952207205</v>
      </c>
      <c r="N6" s="3">
        <f t="shared" si="5"/>
        <v>-1.9459101490553135</v>
      </c>
      <c r="O6" s="1">
        <v>0</v>
      </c>
      <c r="P6" s="1">
        <f>R6</f>
        <v>1</v>
      </c>
      <c r="Q6" s="1">
        <v>0</v>
      </c>
      <c r="R6">
        <v>1</v>
      </c>
      <c r="T6">
        <f t="shared" si="3"/>
        <v>-1.5823</v>
      </c>
      <c r="U6">
        <f t="shared" si="6"/>
        <v>0.20550189986570386</v>
      </c>
      <c r="V6" s="10">
        <f t="shared" si="7"/>
        <v>0.17046999253057776</v>
      </c>
    </row>
    <row r="7" spans="3:22">
      <c r="C7" s="1">
        <v>187</v>
      </c>
      <c r="D7" s="1">
        <v>0</v>
      </c>
      <c r="E7" s="1">
        <v>0</v>
      </c>
      <c r="F7" s="1">
        <v>187</v>
      </c>
      <c r="G7" s="1">
        <v>1</v>
      </c>
      <c r="H7" s="1">
        <v>35</v>
      </c>
      <c r="I7" s="2">
        <f t="shared" si="0"/>
        <v>34.782577768414704</v>
      </c>
      <c r="J7" s="2">
        <f t="shared" si="4"/>
        <v>-0.21742223158529583</v>
      </c>
      <c r="K7" s="10">
        <f t="shared" si="1"/>
        <v>0.18716577540106952</v>
      </c>
      <c r="L7" s="10">
        <f t="shared" si="2"/>
        <v>0.18600308967066687</v>
      </c>
      <c r="N7" s="3">
        <f t="shared" si="5"/>
        <v>-1.4685324593568627</v>
      </c>
      <c r="O7" s="1">
        <v>0</v>
      </c>
      <c r="P7" s="1">
        <v>0</v>
      </c>
      <c r="Q7" s="1">
        <f>R7</f>
        <v>1</v>
      </c>
      <c r="R7">
        <v>1</v>
      </c>
      <c r="T7">
        <f t="shared" si="3"/>
        <v>-1.4056710000000001</v>
      </c>
      <c r="U7">
        <f t="shared" si="6"/>
        <v>0.2452024703828482</v>
      </c>
      <c r="V7" s="10">
        <f t="shared" si="7"/>
        <v>0.19691775130148803</v>
      </c>
    </row>
    <row r="8" spans="3:22">
      <c r="C8" s="1">
        <v>85</v>
      </c>
      <c r="D8" s="1">
        <v>85</v>
      </c>
      <c r="E8" s="1">
        <v>0</v>
      </c>
      <c r="F8" s="1">
        <v>85</v>
      </c>
      <c r="G8" s="1">
        <v>1</v>
      </c>
      <c r="H8" s="1">
        <v>13</v>
      </c>
      <c r="I8" s="2">
        <f t="shared" si="0"/>
        <v>13.567224178221899</v>
      </c>
      <c r="J8" s="2">
        <f t="shared" si="4"/>
        <v>0.56722417822189897</v>
      </c>
      <c r="K8" s="10">
        <f t="shared" si="1"/>
        <v>0.15294117647058825</v>
      </c>
      <c r="L8" s="10">
        <f t="shared" si="2"/>
        <v>0.15961440209672823</v>
      </c>
      <c r="N8" s="3">
        <f t="shared" si="5"/>
        <v>-1.7117167615545184</v>
      </c>
      <c r="O8" s="1">
        <f>R8</f>
        <v>1</v>
      </c>
      <c r="P8" s="1">
        <v>0</v>
      </c>
      <c r="Q8" s="1">
        <f>R8</f>
        <v>1</v>
      </c>
      <c r="R8">
        <v>1</v>
      </c>
      <c r="T8">
        <f t="shared" si="3"/>
        <v>-1.473446</v>
      </c>
      <c r="U8">
        <f t="shared" si="6"/>
        <v>0.22913452557090319</v>
      </c>
      <c r="V8" s="10">
        <f t="shared" si="7"/>
        <v>0.18641940390086736</v>
      </c>
    </row>
    <row r="9" spans="3:22">
      <c r="C9" s="1">
        <v>51</v>
      </c>
      <c r="D9" s="1">
        <v>0</v>
      </c>
      <c r="E9" s="1">
        <v>51</v>
      </c>
      <c r="F9" s="1">
        <v>51</v>
      </c>
      <c r="G9" s="1">
        <v>1</v>
      </c>
      <c r="H9" s="1">
        <v>15</v>
      </c>
      <c r="I9" s="2">
        <f t="shared" si="0"/>
        <v>15.532863885080916</v>
      </c>
      <c r="J9" s="2">
        <f t="shared" si="4"/>
        <v>0.53286388508091598</v>
      </c>
      <c r="K9" s="10">
        <f t="shared" si="1"/>
        <v>0.29411764705882354</v>
      </c>
      <c r="L9" s="10">
        <f t="shared" si="2"/>
        <v>0.30456595853099833</v>
      </c>
      <c r="N9" s="3">
        <f t="shared" si="5"/>
        <v>-0.87546873735389974</v>
      </c>
      <c r="O9" s="1">
        <v>0</v>
      </c>
      <c r="P9" s="1">
        <f>R9</f>
        <v>1</v>
      </c>
      <c r="Q9" s="1">
        <f>R9</f>
        <v>1</v>
      </c>
      <c r="R9">
        <v>1</v>
      </c>
      <c r="T9">
        <f t="shared" si="3"/>
        <v>-0.71036100000000024</v>
      </c>
      <c r="U9">
        <f t="shared" si="6"/>
        <v>0.4914667459376087</v>
      </c>
      <c r="V9" s="10">
        <f t="shared" si="7"/>
        <v>0.32951907729504804</v>
      </c>
    </row>
    <row r="10" spans="3:22">
      <c r="C10" s="1">
        <v>23</v>
      </c>
      <c r="D10" s="1">
        <v>23</v>
      </c>
      <c r="E10" s="1">
        <v>23</v>
      </c>
      <c r="F10" s="1">
        <v>23</v>
      </c>
      <c r="G10" s="1">
        <v>1</v>
      </c>
      <c r="H10" s="1">
        <v>8</v>
      </c>
      <c r="I10" s="2">
        <f t="shared" si="0"/>
        <v>6.4898764617630764</v>
      </c>
      <c r="J10" s="2">
        <f t="shared" si="4"/>
        <v>-1.5101235382369236</v>
      </c>
      <c r="K10" s="10">
        <f t="shared" si="1"/>
        <v>0.34782608695652173</v>
      </c>
      <c r="L10" s="10">
        <f t="shared" si="2"/>
        <v>0.28216854181578593</v>
      </c>
      <c r="N10" s="3">
        <f t="shared" si="5"/>
        <v>-0.62860865942237421</v>
      </c>
      <c r="O10" s="1">
        <f>R10</f>
        <v>1</v>
      </c>
      <c r="P10" s="1">
        <f>R10</f>
        <v>1</v>
      </c>
      <c r="Q10" s="1">
        <f>R10</f>
        <v>1</v>
      </c>
      <c r="R10">
        <v>1</v>
      </c>
      <c r="T10">
        <f t="shared" si="3"/>
        <v>-0.77813600000000016</v>
      </c>
      <c r="U10">
        <f t="shared" si="6"/>
        <v>0.45926127697026148</v>
      </c>
      <c r="V10" s="10">
        <f t="shared" si="7"/>
        <v>0.31472175971378208</v>
      </c>
    </row>
    <row r="11" spans="3:22">
      <c r="C11" s="1"/>
      <c r="D11" s="1"/>
      <c r="E11" s="1"/>
      <c r="F11" s="1"/>
      <c r="G11" s="1"/>
    </row>
    <row r="12" spans="3:22">
      <c r="C12" s="13">
        <v>8.1482403804447767E-2</v>
      </c>
      <c r="D12" s="14">
        <v>-2.7856170820397423E-2</v>
      </c>
      <c r="E12" s="14">
        <v>0.11530179497931195</v>
      </c>
      <c r="F12" s="14">
        <v>0.10329778316083674</v>
      </c>
      <c r="G12" s="14">
        <v>0.2286828059064987</v>
      </c>
      <c r="H12" s="13"/>
      <c r="I12" s="13"/>
      <c r="J12" s="15">
        <f>SUMPRODUCT(J4:J10,J4:J10)</f>
        <v>4.3310424387117594</v>
      </c>
      <c r="K12" s="13"/>
      <c r="L12" s="13"/>
      <c r="M12" s="16"/>
      <c r="N12" s="17"/>
      <c r="O12" s="13">
        <v>-6.7775000000000002E-2</v>
      </c>
      <c r="P12" s="18">
        <v>0.69530999999999998</v>
      </c>
      <c r="Q12" s="18">
        <v>0.87193900000000002</v>
      </c>
      <c r="R12" s="13">
        <v>-2.2776100000000001</v>
      </c>
      <c r="S12" s="13"/>
      <c r="T12" s="13">
        <f>SUMPRODUCT(T4:T10-N4:N10, T4:T10-N4:N10)</f>
        <v>0.366242735493095</v>
      </c>
      <c r="U12" s="13"/>
      <c r="V12" s="13"/>
    </row>
    <row r="14" spans="3:22">
      <c r="H14" t="s">
        <v>13</v>
      </c>
      <c r="I14">
        <f>SLOPE(I4:I10,H4:H10)</f>
        <v>1.0021203621265073</v>
      </c>
    </row>
  </sheetData>
  <conditionalFormatting sqref="O4:Q10">
    <cfRule type="cellIs" dxfId="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raw data</vt:lpstr>
      <vt:lpstr>Logistic Regression</vt:lpstr>
      <vt:lpstr>Removed line too little info</vt:lpstr>
      <vt:lpstr>With weights to reflect data</vt:lpstr>
      <vt:lpstr>With data from website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2018-08-25T12:26:02Z</dcterms:created>
  <dcterms:modified xsi:type="dcterms:W3CDTF">2018-08-26T09:33:41Z</dcterms:modified>
</cp:coreProperties>
</file>