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alexandru.vesa\Desktop\Research\New_Personal_Program_DL_Programming\GitMy\my-work\FinanciaApplication\21.11.20\"/>
    </mc:Choice>
  </mc:AlternateContent>
  <xr:revisionPtr revIDLastSave="0" documentId="13_ncr:1_{5E516ED8-0BAF-4525-9B92-A8537C3691A9}" xr6:coauthVersionLast="45" xr6:coauthVersionMax="45" xr10:uidLastSave="{00000000-0000-0000-0000-000000000000}"/>
  <bookViews>
    <workbookView xWindow="-108" yWindow="-108" windowWidth="23256" windowHeight="12576" firstSheet="5" activeTab="8" xr2:uid="{00000000-000D-0000-FFFF-FFFF00000000}"/>
  </bookViews>
  <sheets>
    <sheet name="1A-Bilant" sheetId="1" r:id="rId1"/>
    <sheet name="1B-ContPP" sheetId="2" r:id="rId2"/>
    <sheet name="1C-Analiza_fin_extinsa" sheetId="3" r:id="rId3"/>
    <sheet name="1D-Analiza_fin_indicatori" sheetId="4" r:id="rId4"/>
    <sheet name="1E-Intreprindere_in_dificultate" sheetId="5" r:id="rId5"/>
    <sheet name="2B-Investitie" sheetId="6" r:id="rId6"/>
    <sheet name="2A-Buget_cerere" sheetId="7" r:id="rId7"/>
    <sheet name="3A-Proiectii_fin_investitie" sheetId="8" r:id="rId8"/>
    <sheet name="3B-Rentabilitate_investitie" sheetId="9" r:id="rId9"/>
    <sheet name="LIST" sheetId="10" state="hidden" r:id="rId10"/>
    <sheet name="4-Proiectii_fin_intreprindere" sheetId="11" r:id="rId11"/>
    <sheet name="Sheet1" sheetId="12" r:id="rId12"/>
  </sheets>
  <definedNames>
    <definedName name="_xlnm.Print_Area" localSheetId="7">'3A-Proiectii_fin_investitie'!$A$1:$M$195</definedName>
    <definedName name="TVA">LIST!$A$2:$B$3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73" i="8" l="1"/>
  <c r="G17" i="8"/>
  <c r="F17" i="8"/>
  <c r="E17" i="8"/>
  <c r="D17" i="8"/>
  <c r="G32" i="8"/>
  <c r="F32" i="8"/>
  <c r="D32" i="8"/>
  <c r="E32" i="8"/>
  <c r="G28" i="8"/>
  <c r="F28" i="8"/>
  <c r="E28" i="8"/>
  <c r="D28" i="8"/>
  <c r="G23" i="8"/>
  <c r="F23" i="8"/>
  <c r="E23" i="8"/>
  <c r="D23" i="8"/>
  <c r="G106" i="8"/>
  <c r="F106" i="8"/>
  <c r="E106" i="8"/>
  <c r="G98" i="8"/>
  <c r="F98" i="8"/>
  <c r="E98" i="8"/>
  <c r="G50" i="8"/>
  <c r="F50" i="8"/>
  <c r="E50" i="8"/>
  <c r="D50" i="8"/>
  <c r="F124" i="11"/>
  <c r="E124" i="11"/>
  <c r="D124" i="11"/>
  <c r="C124" i="11"/>
  <c r="F122" i="11"/>
  <c r="E122" i="11"/>
  <c r="D122" i="11"/>
  <c r="C122" i="11"/>
  <c r="F109" i="11"/>
  <c r="E109" i="11"/>
  <c r="D109" i="11"/>
  <c r="C97" i="11"/>
  <c r="C85" i="11"/>
  <c r="D85" i="11" s="1"/>
  <c r="D59" i="11"/>
  <c r="E59" i="11" s="1"/>
  <c r="F59" i="11" s="1"/>
  <c r="C59" i="11"/>
  <c r="C57" i="11"/>
  <c r="C56" i="11"/>
  <c r="F54" i="11"/>
  <c r="F52" i="11" s="1"/>
  <c r="E54" i="11"/>
  <c r="D54" i="11"/>
  <c r="C53" i="11"/>
  <c r="C54" i="11" s="1"/>
  <c r="C52" i="11" s="1"/>
  <c r="E52" i="11"/>
  <c r="D52" i="11"/>
  <c r="F49" i="11"/>
  <c r="E49" i="11"/>
  <c r="D49" i="11"/>
  <c r="C49" i="11"/>
  <c r="F48" i="11"/>
  <c r="F46" i="11" s="1"/>
  <c r="E48" i="11"/>
  <c r="E46" i="11" s="1"/>
  <c r="D48" i="11"/>
  <c r="C48" i="11"/>
  <c r="C46" i="11" s="1"/>
  <c r="C47" i="11"/>
  <c r="D46" i="11"/>
  <c r="F31" i="11"/>
  <c r="E31" i="11"/>
  <c r="D31" i="11"/>
  <c r="D32" i="11" s="1"/>
  <c r="F26" i="11"/>
  <c r="F32" i="11" s="1"/>
  <c r="E26" i="11"/>
  <c r="E32" i="11" s="1"/>
  <c r="E33" i="11" s="1"/>
  <c r="D26" i="11"/>
  <c r="C26" i="11"/>
  <c r="E22" i="11"/>
  <c r="E21" i="11"/>
  <c r="F16" i="11"/>
  <c r="F21" i="11" s="1"/>
  <c r="E16" i="11"/>
  <c r="D16" i="11"/>
  <c r="D21" i="11" s="1"/>
  <c r="C16" i="11"/>
  <c r="F14" i="11"/>
  <c r="F9" i="11"/>
  <c r="E9" i="11"/>
  <c r="E14" i="11" s="1"/>
  <c r="D9" i="11"/>
  <c r="D14" i="11" s="1"/>
  <c r="C9" i="11"/>
  <c r="C60" i="9"/>
  <c r="D60" i="9" s="1"/>
  <c r="E60" i="9" s="1"/>
  <c r="B56" i="9"/>
  <c r="C52" i="9" s="1"/>
  <c r="E52" i="9" s="1"/>
  <c r="C48" i="9"/>
  <c r="E48" i="9" s="1"/>
  <c r="C44" i="9"/>
  <c r="E44" i="9" s="1"/>
  <c r="C36" i="9"/>
  <c r="E36" i="9" s="1"/>
  <c r="B9" i="9"/>
  <c r="G189" i="8"/>
  <c r="G188" i="8"/>
  <c r="F188" i="8"/>
  <c r="E188" i="8"/>
  <c r="D188" i="8"/>
  <c r="C188" i="8" s="1"/>
  <c r="G187" i="8"/>
  <c r="F187" i="8"/>
  <c r="E187" i="8"/>
  <c r="D187" i="8"/>
  <c r="C187" i="8" s="1"/>
  <c r="G186" i="8"/>
  <c r="F186" i="8"/>
  <c r="F189" i="8" s="1"/>
  <c r="E186" i="8"/>
  <c r="E189" i="8" s="1"/>
  <c r="D186" i="8"/>
  <c r="A185" i="8"/>
  <c r="G181" i="8"/>
  <c r="F181" i="8"/>
  <c r="E181" i="8"/>
  <c r="D181" i="8"/>
  <c r="C181" i="8" s="1"/>
  <c r="D178" i="8"/>
  <c r="C178" i="8" s="1"/>
  <c r="D177" i="8"/>
  <c r="C177" i="8"/>
  <c r="D176" i="8"/>
  <c r="C176" i="8" s="1"/>
  <c r="D175" i="8"/>
  <c r="C175" i="8"/>
  <c r="G168" i="8"/>
  <c r="F168" i="8"/>
  <c r="E168" i="8"/>
  <c r="D168" i="8"/>
  <c r="D154" i="8"/>
  <c r="D137" i="8"/>
  <c r="G132" i="8"/>
  <c r="F132" i="8"/>
  <c r="D132" i="8"/>
  <c r="C132" i="8" s="1"/>
  <c r="G131" i="8"/>
  <c r="F131" i="8"/>
  <c r="E131" i="8"/>
  <c r="E132" i="8" s="1"/>
  <c r="D131" i="8"/>
  <c r="C131" i="8" s="1"/>
  <c r="C130" i="8"/>
  <c r="C129" i="8"/>
  <c r="C128" i="8"/>
  <c r="G123" i="8"/>
  <c r="F123" i="8"/>
  <c r="E123" i="8"/>
  <c r="D123" i="8"/>
  <c r="C123" i="8"/>
  <c r="D119" i="8"/>
  <c r="D118" i="8"/>
  <c r="C118" i="8"/>
  <c r="D117" i="8"/>
  <c r="C117" i="8"/>
  <c r="C110" i="8"/>
  <c r="F105" i="8"/>
  <c r="G105" i="8" s="1"/>
  <c r="G103" i="8" s="1"/>
  <c r="E105" i="8"/>
  <c r="E103" i="8" s="1"/>
  <c r="F103" i="8"/>
  <c r="D103" i="8"/>
  <c r="D98" i="8"/>
  <c r="G92" i="8"/>
  <c r="F92" i="8"/>
  <c r="F157" i="8" s="1"/>
  <c r="E92" i="8"/>
  <c r="E157" i="8" s="1"/>
  <c r="D92" i="8"/>
  <c r="C92" i="8" s="1"/>
  <c r="G89" i="8"/>
  <c r="F89" i="8"/>
  <c r="E89" i="8"/>
  <c r="E156" i="8" s="1"/>
  <c r="D89" i="8"/>
  <c r="C89" i="8" s="1"/>
  <c r="E85" i="8"/>
  <c r="D67" i="11" s="1"/>
  <c r="D85" i="8"/>
  <c r="C67" i="11" s="1"/>
  <c r="F81" i="8"/>
  <c r="G81" i="8" s="1"/>
  <c r="E81" i="8"/>
  <c r="D81" i="8"/>
  <c r="F70" i="8"/>
  <c r="G70" i="8" s="1"/>
  <c r="G68" i="8" s="1"/>
  <c r="F68" i="8"/>
  <c r="E41" i="11" s="1"/>
  <c r="E68" i="8"/>
  <c r="D68" i="8"/>
  <c r="G65" i="8"/>
  <c r="F38" i="11" s="1"/>
  <c r="F65" i="8"/>
  <c r="E38" i="11" s="1"/>
  <c r="E65" i="8"/>
  <c r="D65" i="8"/>
  <c r="C65" i="8"/>
  <c r="D58" i="8"/>
  <c r="C58" i="8"/>
  <c r="C54" i="8"/>
  <c r="E49" i="8"/>
  <c r="F49" i="8" s="1"/>
  <c r="D47" i="8"/>
  <c r="E46" i="8"/>
  <c r="D46" i="8"/>
  <c r="D44" i="8"/>
  <c r="D42" i="8"/>
  <c r="G36" i="8"/>
  <c r="F36" i="8"/>
  <c r="E36" i="8"/>
  <c r="D36" i="8"/>
  <c r="G33" i="8"/>
  <c r="F33" i="8"/>
  <c r="E33" i="8"/>
  <c r="D33" i="8"/>
  <c r="C33" i="8" s="1"/>
  <c r="E29" i="8"/>
  <c r="D84" i="8"/>
  <c r="E84" i="8" s="1"/>
  <c r="E82" i="8" s="1"/>
  <c r="G25" i="8"/>
  <c r="F25" i="8"/>
  <c r="E25" i="8"/>
  <c r="D15" i="8"/>
  <c r="G9" i="8"/>
  <c r="F9" i="8"/>
  <c r="E9" i="8"/>
  <c r="D9" i="8"/>
  <c r="H19" i="7"/>
  <c r="E19" i="7"/>
  <c r="I19" i="7" s="1"/>
  <c r="G18" i="7"/>
  <c r="F18" i="7"/>
  <c r="C18" i="7"/>
  <c r="I17" i="7"/>
  <c r="H17" i="7"/>
  <c r="E17" i="7"/>
  <c r="H16" i="7"/>
  <c r="E16" i="7"/>
  <c r="H15" i="7"/>
  <c r="E15" i="7"/>
  <c r="I15" i="7" s="1"/>
  <c r="F14" i="7"/>
  <c r="H14" i="7" s="1"/>
  <c r="E14" i="7"/>
  <c r="I14" i="7" s="1"/>
  <c r="C15" i="6" s="1"/>
  <c r="D15" i="6" s="1"/>
  <c r="D14" i="7"/>
  <c r="D18" i="7" s="1"/>
  <c r="H13" i="7"/>
  <c r="E13" i="7"/>
  <c r="I13" i="7" s="1"/>
  <c r="C14" i="6" s="1"/>
  <c r="D14" i="6" s="1"/>
  <c r="H12" i="7"/>
  <c r="E12" i="7"/>
  <c r="I12" i="7" s="1"/>
  <c r="C13" i="6" s="1"/>
  <c r="D13" i="6" s="1"/>
  <c r="H11" i="7"/>
  <c r="I11" i="7" s="1"/>
  <c r="C12" i="6" s="1"/>
  <c r="D12" i="6" s="1"/>
  <c r="E11" i="7"/>
  <c r="I10" i="7"/>
  <c r="C11" i="6" s="1"/>
  <c r="D11" i="6" s="1"/>
  <c r="H10" i="7"/>
  <c r="E10" i="7"/>
  <c r="H9" i="7"/>
  <c r="E9" i="7"/>
  <c r="I9" i="7" s="1"/>
  <c r="H8" i="7"/>
  <c r="E8" i="7"/>
  <c r="I8" i="7" s="1"/>
  <c r="C9" i="6" s="1"/>
  <c r="D9" i="6" s="1"/>
  <c r="I7" i="7"/>
  <c r="H7" i="7"/>
  <c r="E7" i="7"/>
  <c r="H6" i="7"/>
  <c r="E6" i="7"/>
  <c r="I6" i="7" s="1"/>
  <c r="C7" i="6" s="1"/>
  <c r="D7" i="6" s="1"/>
  <c r="H5" i="7"/>
  <c r="E5" i="7"/>
  <c r="I5" i="7" s="1"/>
  <c r="D45" i="6"/>
  <c r="G37" i="6"/>
  <c r="G122" i="8" s="1"/>
  <c r="F37" i="6"/>
  <c r="F122" i="8" s="1"/>
  <c r="F180" i="8" s="1"/>
  <c r="F182" i="8" s="1"/>
  <c r="F183" i="8" s="1"/>
  <c r="E37" i="6"/>
  <c r="E122" i="8" s="1"/>
  <c r="D37" i="6"/>
  <c r="D122" i="8" s="1"/>
  <c r="C37" i="6"/>
  <c r="C36" i="6"/>
  <c r="C35" i="6"/>
  <c r="D34" i="6"/>
  <c r="D42" i="6" s="1"/>
  <c r="E42" i="6" s="1"/>
  <c r="A29" i="6"/>
  <c r="D25" i="6"/>
  <c r="C25" i="6"/>
  <c r="E19" i="6"/>
  <c r="E24" i="6" s="1"/>
  <c r="B19" i="6"/>
  <c r="D18" i="6"/>
  <c r="C18" i="6"/>
  <c r="B18" i="6"/>
  <c r="A18" i="6"/>
  <c r="C16" i="6"/>
  <c r="D16" i="6" s="1"/>
  <c r="B15" i="6"/>
  <c r="A15" i="6"/>
  <c r="B14" i="6"/>
  <c r="A14" i="6"/>
  <c r="B13" i="6"/>
  <c r="A13" i="6"/>
  <c r="B12" i="6"/>
  <c r="A12" i="6"/>
  <c r="B11" i="6"/>
  <c r="A11" i="6"/>
  <c r="C10" i="6"/>
  <c r="D10" i="6" s="1"/>
  <c r="B10" i="6"/>
  <c r="A10" i="6"/>
  <c r="B9" i="6"/>
  <c r="A9" i="6"/>
  <c r="C8" i="6"/>
  <c r="D8" i="6" s="1"/>
  <c r="B8" i="6"/>
  <c r="A8" i="6"/>
  <c r="B7" i="6"/>
  <c r="A7" i="6"/>
  <c r="D6" i="6"/>
  <c r="C6" i="6"/>
  <c r="B6" i="6"/>
  <c r="A6" i="6"/>
  <c r="F18" i="5"/>
  <c r="F16" i="5"/>
  <c r="F15" i="5"/>
  <c r="D89" i="4"/>
  <c r="C89" i="4"/>
  <c r="B89" i="4"/>
  <c r="D84" i="4"/>
  <c r="C84" i="4"/>
  <c r="B84" i="4"/>
  <c r="D68" i="4"/>
  <c r="C68" i="4"/>
  <c r="B68" i="4"/>
  <c r="D61" i="4"/>
  <c r="C61" i="4"/>
  <c r="B61" i="4"/>
  <c r="D42" i="4"/>
  <c r="C42" i="4"/>
  <c r="B42" i="4"/>
  <c r="D33" i="4"/>
  <c r="C33" i="4"/>
  <c r="B33" i="4"/>
  <c r="D13" i="4"/>
  <c r="D12" i="4"/>
  <c r="C12" i="4"/>
  <c r="B12" i="4"/>
  <c r="D4" i="4"/>
  <c r="C4" i="4"/>
  <c r="B4" i="4"/>
  <c r="A47" i="3"/>
  <c r="G46" i="3"/>
  <c r="F46" i="3"/>
  <c r="K46" i="3" s="1"/>
  <c r="D46" i="3"/>
  <c r="M46" i="3" s="1"/>
  <c r="C46" i="3"/>
  <c r="L46" i="3" s="1"/>
  <c r="B46" i="3"/>
  <c r="A46" i="3"/>
  <c r="M45" i="3"/>
  <c r="I45" i="3"/>
  <c r="D45" i="3"/>
  <c r="D27" i="4" s="1"/>
  <c r="C45" i="3"/>
  <c r="C27" i="4" s="1"/>
  <c r="B45" i="3"/>
  <c r="B27" i="4" s="1"/>
  <c r="A45" i="3"/>
  <c r="A44" i="3"/>
  <c r="A43" i="3"/>
  <c r="A42" i="3"/>
  <c r="C41" i="3"/>
  <c r="A41" i="3"/>
  <c r="D40" i="3"/>
  <c r="C40" i="3"/>
  <c r="C22" i="4" s="1"/>
  <c r="B40" i="3"/>
  <c r="B22" i="4" s="1"/>
  <c r="A40" i="3"/>
  <c r="G39" i="3"/>
  <c r="D39" i="3"/>
  <c r="D21" i="4" s="1"/>
  <c r="C39" i="3"/>
  <c r="C21" i="4" s="1"/>
  <c r="B39" i="3"/>
  <c r="B21" i="4" s="1"/>
  <c r="A39" i="3"/>
  <c r="A38" i="3"/>
  <c r="A37" i="3"/>
  <c r="A36" i="3"/>
  <c r="M35" i="3"/>
  <c r="L35" i="3"/>
  <c r="D35" i="3"/>
  <c r="I35" i="3" s="1"/>
  <c r="C35" i="3"/>
  <c r="H35" i="3" s="1"/>
  <c r="B35" i="3"/>
  <c r="G35" i="3" s="1"/>
  <c r="A35" i="3"/>
  <c r="M34" i="3"/>
  <c r="D34" i="3"/>
  <c r="I34" i="3" s="1"/>
  <c r="C34" i="3"/>
  <c r="L34" i="3" s="1"/>
  <c r="B34" i="3"/>
  <c r="G34" i="3" s="1"/>
  <c r="A34" i="3"/>
  <c r="D33" i="3"/>
  <c r="C33" i="3"/>
  <c r="B33" i="3"/>
  <c r="G33" i="3" s="1"/>
  <c r="A33" i="3"/>
  <c r="D32" i="3"/>
  <c r="A32" i="3"/>
  <c r="A31" i="3"/>
  <c r="A30" i="3"/>
  <c r="I29" i="3"/>
  <c r="H29" i="3"/>
  <c r="D29" i="3"/>
  <c r="M29" i="3" s="1"/>
  <c r="C29" i="3"/>
  <c r="L29" i="3" s="1"/>
  <c r="B29" i="3"/>
  <c r="G29" i="3" s="1"/>
  <c r="I28" i="3"/>
  <c r="D28" i="3"/>
  <c r="M28" i="3" s="1"/>
  <c r="C28" i="3"/>
  <c r="H28" i="3" s="1"/>
  <c r="B28" i="3"/>
  <c r="G28" i="3" s="1"/>
  <c r="A27" i="3"/>
  <c r="L26" i="3"/>
  <c r="G26" i="3"/>
  <c r="D26" i="3"/>
  <c r="I26" i="3" s="1"/>
  <c r="C26" i="3"/>
  <c r="H26" i="3" s="1"/>
  <c r="B26" i="3"/>
  <c r="A26" i="3"/>
  <c r="M25" i="3"/>
  <c r="L25" i="3"/>
  <c r="H25" i="3"/>
  <c r="G25" i="3"/>
  <c r="D25" i="3"/>
  <c r="I46" i="3" s="1"/>
  <c r="C25" i="3"/>
  <c r="B25" i="3"/>
  <c r="A25" i="3"/>
  <c r="M24" i="3"/>
  <c r="L24" i="3"/>
  <c r="I24" i="3"/>
  <c r="H24" i="3"/>
  <c r="G24" i="3"/>
  <c r="D24" i="3"/>
  <c r="C24" i="3"/>
  <c r="B24" i="3"/>
  <c r="A22" i="3"/>
  <c r="A21" i="3"/>
  <c r="D19" i="3"/>
  <c r="C19" i="3"/>
  <c r="L19" i="3" s="1"/>
  <c r="B19" i="3"/>
  <c r="D18" i="3"/>
  <c r="C18" i="3"/>
  <c r="L18" i="3" s="1"/>
  <c r="B18" i="3"/>
  <c r="D17" i="3"/>
  <c r="C17" i="3"/>
  <c r="L17" i="3" s="1"/>
  <c r="B17" i="3"/>
  <c r="C16" i="3"/>
  <c r="L16" i="3" s="1"/>
  <c r="B16" i="3"/>
  <c r="D15" i="3"/>
  <c r="D14" i="3"/>
  <c r="C14" i="3"/>
  <c r="L14" i="3" s="1"/>
  <c r="B14" i="3"/>
  <c r="D13" i="3"/>
  <c r="C13" i="3"/>
  <c r="C67" i="4" s="1"/>
  <c r="B13" i="3"/>
  <c r="B81" i="4" s="1"/>
  <c r="D12" i="3"/>
  <c r="C12" i="3"/>
  <c r="L12" i="3" s="1"/>
  <c r="B12" i="3"/>
  <c r="D9" i="3"/>
  <c r="C9" i="3"/>
  <c r="C82" i="4" s="1"/>
  <c r="B9" i="3"/>
  <c r="D8" i="3"/>
  <c r="D7" i="3"/>
  <c r="C7" i="3"/>
  <c r="C66" i="4" s="1"/>
  <c r="B7" i="3"/>
  <c r="B80" i="4" s="1"/>
  <c r="D6" i="3"/>
  <c r="D5" i="3" s="1"/>
  <c r="C6" i="3"/>
  <c r="M3" i="3"/>
  <c r="L3" i="3"/>
  <c r="I3" i="3"/>
  <c r="H3" i="3"/>
  <c r="G3" i="3"/>
  <c r="D3" i="3"/>
  <c r="C3" i="3"/>
  <c r="B3" i="3"/>
  <c r="D47" i="2"/>
  <c r="C47" i="2"/>
  <c r="B47" i="2"/>
  <c r="D46" i="2"/>
  <c r="C46" i="2"/>
  <c r="B46" i="2"/>
  <c r="D45" i="2"/>
  <c r="D41" i="3" s="1"/>
  <c r="C45" i="2"/>
  <c r="B45" i="2"/>
  <c r="B41" i="3" s="1"/>
  <c r="D38" i="2"/>
  <c r="C38" i="2"/>
  <c r="D36" i="2"/>
  <c r="D36" i="3" s="1"/>
  <c r="C36" i="2"/>
  <c r="B36" i="2"/>
  <c r="D32" i="2"/>
  <c r="D37" i="2" s="1"/>
  <c r="D37" i="3" s="1"/>
  <c r="I37" i="3" s="1"/>
  <c r="D35" i="4" s="1"/>
  <c r="C32" i="2"/>
  <c r="C32" i="3" s="1"/>
  <c r="B32" i="2"/>
  <c r="B32" i="3" s="1"/>
  <c r="C26" i="2"/>
  <c r="B26" i="2"/>
  <c r="D24" i="2"/>
  <c r="D30" i="3" s="1"/>
  <c r="C24" i="2"/>
  <c r="C30" i="3" s="1"/>
  <c r="H30" i="3" s="1"/>
  <c r="B24" i="2"/>
  <c r="B30" i="3" s="1"/>
  <c r="D13" i="2"/>
  <c r="C13" i="2"/>
  <c r="C48" i="2" s="1"/>
  <c r="B13" i="2"/>
  <c r="B48" i="2" s="1"/>
  <c r="B42" i="3" s="1"/>
  <c r="D5" i="2"/>
  <c r="C5" i="2"/>
  <c r="B5" i="2"/>
  <c r="C89" i="1"/>
  <c r="C20" i="3" s="1"/>
  <c r="D85" i="1"/>
  <c r="C85" i="1"/>
  <c r="F11" i="5" s="1"/>
  <c r="B85" i="1"/>
  <c r="D82" i="1"/>
  <c r="C82" i="1"/>
  <c r="F10" i="5" s="1"/>
  <c r="B82" i="1"/>
  <c r="B78" i="1"/>
  <c r="B89" i="1" s="1"/>
  <c r="B20" i="3" s="1"/>
  <c r="D75" i="1"/>
  <c r="C75" i="1"/>
  <c r="F17" i="5" s="1"/>
  <c r="B75" i="1"/>
  <c r="D68" i="1"/>
  <c r="D89" i="1" s="1"/>
  <c r="D20" i="3" s="1"/>
  <c r="C68" i="1"/>
  <c r="B68" i="1"/>
  <c r="D63" i="1"/>
  <c r="C63" i="1"/>
  <c r="B63" i="1"/>
  <c r="B56" i="1" s="1"/>
  <c r="B15" i="3" s="1"/>
  <c r="D60" i="1"/>
  <c r="C60" i="1"/>
  <c r="B60" i="1"/>
  <c r="D57" i="1"/>
  <c r="C57" i="1"/>
  <c r="B57" i="1"/>
  <c r="D56" i="1"/>
  <c r="C56" i="1"/>
  <c r="C15" i="3" s="1"/>
  <c r="D54" i="1"/>
  <c r="C54" i="1"/>
  <c r="B54" i="1"/>
  <c r="D43" i="1"/>
  <c r="D42" i="1"/>
  <c r="C42" i="1"/>
  <c r="B42" i="1"/>
  <c r="D30" i="1"/>
  <c r="C30" i="1"/>
  <c r="C8" i="3" s="1"/>
  <c r="B30" i="1"/>
  <c r="B8" i="3" s="1"/>
  <c r="D29" i="1"/>
  <c r="B29" i="1"/>
  <c r="B43" i="1" s="1"/>
  <c r="D25" i="1"/>
  <c r="C25" i="1"/>
  <c r="C29" i="1" s="1"/>
  <c r="C43" i="1" s="1"/>
  <c r="B25" i="1"/>
  <c r="B6" i="3" s="1"/>
  <c r="D18" i="1"/>
  <c r="D4" i="3" s="1"/>
  <c r="D16" i="1"/>
  <c r="C11" i="1"/>
  <c r="B11" i="1"/>
  <c r="C10" i="1"/>
  <c r="C16" i="1" s="1"/>
  <c r="C18" i="1" s="1"/>
  <c r="B10" i="1"/>
  <c r="B9" i="1"/>
  <c r="B16" i="1" s="1"/>
  <c r="B18" i="1" s="1"/>
  <c r="B44" i="1" s="1"/>
  <c r="E26" i="8" l="1"/>
  <c r="E153" i="8" s="1"/>
  <c r="G26" i="8"/>
  <c r="D26" i="8"/>
  <c r="E21" i="8"/>
  <c r="D21" i="8"/>
  <c r="B24" i="4"/>
  <c r="G42" i="3"/>
  <c r="C4" i="3"/>
  <c r="C93" i="1"/>
  <c r="C92" i="1"/>
  <c r="C44" i="1"/>
  <c r="D64" i="4"/>
  <c r="D78" i="4"/>
  <c r="D92" i="4"/>
  <c r="M20" i="3"/>
  <c r="D63" i="4"/>
  <c r="D77" i="4"/>
  <c r="M4" i="3"/>
  <c r="I4" i="3"/>
  <c r="D21" i="3"/>
  <c r="D10" i="3"/>
  <c r="B65" i="4"/>
  <c r="B79" i="4"/>
  <c r="B5" i="3"/>
  <c r="G30" i="3"/>
  <c r="B15" i="4"/>
  <c r="M15" i="3"/>
  <c r="I15" i="3"/>
  <c r="L41" i="3"/>
  <c r="H41" i="3"/>
  <c r="C36" i="4" s="1"/>
  <c r="C23" i="4"/>
  <c r="B94" i="1"/>
  <c r="M8" i="3"/>
  <c r="I8" i="3"/>
  <c r="M12" i="3"/>
  <c r="I12" i="3"/>
  <c r="B94" i="4"/>
  <c r="M18" i="3"/>
  <c r="E45" i="6"/>
  <c r="F42" i="6"/>
  <c r="D15" i="4"/>
  <c r="M30" i="3"/>
  <c r="I30" i="3"/>
  <c r="D73" i="11"/>
  <c r="D25" i="2"/>
  <c r="D27" i="3"/>
  <c r="D27" i="2"/>
  <c r="D14" i="8"/>
  <c r="D26" i="2"/>
  <c r="C11" i="3"/>
  <c r="L15" i="3"/>
  <c r="D16" i="3"/>
  <c r="D6" i="4" s="1"/>
  <c r="L33" i="3"/>
  <c r="H33" i="3"/>
  <c r="D93" i="1"/>
  <c r="D92" i="1"/>
  <c r="D44" i="1"/>
  <c r="D48" i="2"/>
  <c r="C92" i="4"/>
  <c r="C6" i="4"/>
  <c r="L20" i="3"/>
  <c r="D80" i="4"/>
  <c r="M7" i="3"/>
  <c r="D66" i="4"/>
  <c r="I7" i="3"/>
  <c r="M32" i="3"/>
  <c r="D17" i="4"/>
  <c r="I32" i="3"/>
  <c r="D18" i="4"/>
  <c r="I36" i="3"/>
  <c r="L6" i="3"/>
  <c r="D82" i="4"/>
  <c r="M9" i="3"/>
  <c r="I9" i="3"/>
  <c r="D67" i="4"/>
  <c r="D81" i="4"/>
  <c r="M13" i="3"/>
  <c r="M19" i="3"/>
  <c r="I19" i="3"/>
  <c r="M33" i="3"/>
  <c r="M14" i="3"/>
  <c r="I14" i="3"/>
  <c r="B4" i="3"/>
  <c r="B93" i="1"/>
  <c r="B92" i="1"/>
  <c r="M41" i="3"/>
  <c r="I41" i="3"/>
  <c r="D36" i="4" s="1"/>
  <c r="D23" i="4"/>
  <c r="C94" i="1"/>
  <c r="C15" i="4"/>
  <c r="L30" i="3"/>
  <c r="B51" i="2"/>
  <c r="B50" i="2"/>
  <c r="B52" i="2"/>
  <c r="D19" i="4"/>
  <c r="B11" i="3"/>
  <c r="B38" i="2"/>
  <c r="B36" i="3"/>
  <c r="B92" i="4"/>
  <c r="D94" i="1"/>
  <c r="B17" i="4"/>
  <c r="G32" i="3"/>
  <c r="D65" i="4"/>
  <c r="D79" i="4"/>
  <c r="M6" i="3"/>
  <c r="I6" i="3"/>
  <c r="C5" i="3"/>
  <c r="L8" i="3"/>
  <c r="C50" i="2"/>
  <c r="C42" i="3"/>
  <c r="L32" i="3"/>
  <c r="C17" i="4"/>
  <c r="H32" i="3"/>
  <c r="B23" i="4"/>
  <c r="G41" i="3"/>
  <c r="B36" i="4" s="1"/>
  <c r="D11" i="3"/>
  <c r="M17" i="3"/>
  <c r="I17" i="3"/>
  <c r="D22" i="4"/>
  <c r="M40" i="3"/>
  <c r="I40" i="3"/>
  <c r="C119" i="8"/>
  <c r="D120" i="8"/>
  <c r="B39" i="2"/>
  <c r="B49" i="2"/>
  <c r="B43" i="3" s="1"/>
  <c r="B71" i="4"/>
  <c r="B73" i="4"/>
  <c r="B70" i="4"/>
  <c r="M26" i="3"/>
  <c r="L28" i="3"/>
  <c r="H39" i="3"/>
  <c r="G40" i="3"/>
  <c r="L45" i="3"/>
  <c r="H46" i="3"/>
  <c r="D69" i="4"/>
  <c r="E190" i="8"/>
  <c r="D12" i="9"/>
  <c r="D17" i="9" s="1"/>
  <c r="F12" i="5"/>
  <c r="B27" i="2"/>
  <c r="C39" i="2"/>
  <c r="C49" i="2"/>
  <c r="C52" i="2" s="1"/>
  <c r="C73" i="4"/>
  <c r="C70" i="4"/>
  <c r="C74" i="4"/>
  <c r="I39" i="3"/>
  <c r="H40" i="3"/>
  <c r="B66" i="4"/>
  <c r="C71" i="4"/>
  <c r="E47" i="8"/>
  <c r="E163" i="8" s="1"/>
  <c r="F41" i="11"/>
  <c r="D163" i="8"/>
  <c r="C103" i="8"/>
  <c r="F190" i="8"/>
  <c r="E12" i="9"/>
  <c r="E17" i="9" s="1"/>
  <c r="C27" i="2"/>
  <c r="B37" i="2"/>
  <c r="B37" i="3" s="1"/>
  <c r="D39" i="2"/>
  <c r="D49" i="2"/>
  <c r="D43" i="3" s="1"/>
  <c r="D73" i="4"/>
  <c r="D70" i="4"/>
  <c r="D48" i="4"/>
  <c r="D72" i="4"/>
  <c r="D71" i="4"/>
  <c r="B27" i="3"/>
  <c r="C36" i="3"/>
  <c r="L39" i="3"/>
  <c r="B72" i="4"/>
  <c r="C80" i="4"/>
  <c r="C87" i="4"/>
  <c r="D82" i="8"/>
  <c r="F84" i="8"/>
  <c r="F82" i="8" s="1"/>
  <c r="D40" i="8"/>
  <c r="E42" i="8"/>
  <c r="G49" i="8"/>
  <c r="G47" i="8" s="1"/>
  <c r="F47" i="8"/>
  <c r="D68" i="11"/>
  <c r="D66" i="11"/>
  <c r="B25" i="2"/>
  <c r="C37" i="2"/>
  <c r="C37" i="3" s="1"/>
  <c r="L7" i="3"/>
  <c r="L9" i="3"/>
  <c r="L13" i="3"/>
  <c r="C27" i="3"/>
  <c r="I33" i="3"/>
  <c r="H34" i="3"/>
  <c r="M39" i="3"/>
  <c r="L40" i="3"/>
  <c r="B67" i="4"/>
  <c r="C72" i="4"/>
  <c r="E44" i="8"/>
  <c r="F44" i="8" s="1"/>
  <c r="G44" i="8" s="1"/>
  <c r="C25" i="2"/>
  <c r="B74" i="4"/>
  <c r="C81" i="4"/>
  <c r="D180" i="8"/>
  <c r="D124" i="8"/>
  <c r="C124" i="8" s="1"/>
  <c r="C122" i="8"/>
  <c r="H18" i="7"/>
  <c r="E18" i="7"/>
  <c r="C9" i="8"/>
  <c r="C36" i="8"/>
  <c r="G163" i="8"/>
  <c r="G180" i="8"/>
  <c r="G182" i="8" s="1"/>
  <c r="G183" i="8" s="1"/>
  <c r="G124" i="8"/>
  <c r="G125" i="8" s="1"/>
  <c r="G133" i="8" s="1"/>
  <c r="D30" i="8"/>
  <c r="D88" i="8"/>
  <c r="E30" i="8"/>
  <c r="B82" i="4"/>
  <c r="B87" i="4"/>
  <c r="I25" i="3"/>
  <c r="G45" i="3"/>
  <c r="B13" i="4"/>
  <c r="D74" i="4"/>
  <c r="E180" i="8"/>
  <c r="E182" i="8" s="1"/>
  <c r="E183" i="8" s="1"/>
  <c r="E124" i="8"/>
  <c r="E125" i="8" s="1"/>
  <c r="E133" i="8" s="1"/>
  <c r="F29" i="8"/>
  <c r="G29" i="8" s="1"/>
  <c r="C29" i="8"/>
  <c r="C68" i="8"/>
  <c r="D106" i="8"/>
  <c r="F124" i="8"/>
  <c r="F125" i="8" s="1"/>
  <c r="F133" i="8" s="1"/>
  <c r="C65" i="4"/>
  <c r="C79" i="4"/>
  <c r="C94" i="4"/>
  <c r="H45" i="3"/>
  <c r="C13" i="4"/>
  <c r="F192" i="8"/>
  <c r="I16" i="7"/>
  <c r="C17" i="6" s="1"/>
  <c r="D17" i="6" s="1"/>
  <c r="E96" i="8"/>
  <c r="C41" i="11"/>
  <c r="D96" i="8"/>
  <c r="E154" i="8"/>
  <c r="C40" i="9"/>
  <c r="E40" i="9" s="1"/>
  <c r="F22" i="11"/>
  <c r="D79" i="8"/>
  <c r="D156" i="8"/>
  <c r="C156" i="8" s="1"/>
  <c r="G157" i="8"/>
  <c r="F163" i="8"/>
  <c r="E93" i="11"/>
  <c r="D41" i="11"/>
  <c r="D42" i="11"/>
  <c r="D102" i="8"/>
  <c r="F33" i="11"/>
  <c r="F21" i="8"/>
  <c r="F46" i="8"/>
  <c r="G46" i="8" s="1"/>
  <c r="C46" i="8" s="1"/>
  <c r="C38" i="11"/>
  <c r="D146" i="8"/>
  <c r="D73" i="8"/>
  <c r="C68" i="11"/>
  <c r="C66" i="11"/>
  <c r="F156" i="8"/>
  <c r="C168" i="8"/>
  <c r="E15" i="8"/>
  <c r="D38" i="11"/>
  <c r="E146" i="8"/>
  <c r="G156" i="8"/>
  <c r="F146" i="8"/>
  <c r="G190" i="8"/>
  <c r="F12" i="9"/>
  <c r="F17" i="9" s="1"/>
  <c r="C55" i="9"/>
  <c r="E55" i="9" s="1"/>
  <c r="C51" i="9"/>
  <c r="E51" i="9" s="1"/>
  <c r="C47" i="9"/>
  <c r="E47" i="9" s="1"/>
  <c r="C43" i="9"/>
  <c r="E43" i="9" s="1"/>
  <c r="C39" i="9"/>
  <c r="E39" i="9" s="1"/>
  <c r="C35" i="9"/>
  <c r="E35" i="9" s="1"/>
  <c r="C31" i="9"/>
  <c r="E31" i="9" s="1"/>
  <c r="C27" i="9"/>
  <c r="E27" i="9" s="1"/>
  <c r="C54" i="9"/>
  <c r="E54" i="9" s="1"/>
  <c r="C50" i="9"/>
  <c r="E50" i="9" s="1"/>
  <c r="C46" i="9"/>
  <c r="E46" i="9" s="1"/>
  <c r="C42" i="9"/>
  <c r="E42" i="9" s="1"/>
  <c r="C38" i="9"/>
  <c r="E38" i="9" s="1"/>
  <c r="C34" i="9"/>
  <c r="E34" i="9" s="1"/>
  <c r="C30" i="9"/>
  <c r="E30" i="9" s="1"/>
  <c r="C26" i="9"/>
  <c r="E26" i="9" s="1"/>
  <c r="C53" i="9"/>
  <c r="E53" i="9" s="1"/>
  <c r="C49" i="9"/>
  <c r="E49" i="9" s="1"/>
  <c r="C45" i="9"/>
  <c r="E45" i="9" s="1"/>
  <c r="C41" i="9"/>
  <c r="E41" i="9" s="1"/>
  <c r="C37" i="9"/>
  <c r="E37" i="9" s="1"/>
  <c r="C33" i="9"/>
  <c r="E33" i="9" s="1"/>
  <c r="C29" i="9"/>
  <c r="E29" i="9" s="1"/>
  <c r="C25" i="9"/>
  <c r="D22" i="11"/>
  <c r="D33" i="11" s="1"/>
  <c r="C34" i="6"/>
  <c r="E39" i="11"/>
  <c r="E37" i="11"/>
  <c r="F85" i="8"/>
  <c r="G146" i="8"/>
  <c r="C28" i="9"/>
  <c r="E28" i="9" s="1"/>
  <c r="E85" i="11"/>
  <c r="D125" i="11"/>
  <c r="F39" i="11"/>
  <c r="F37" i="11"/>
  <c r="D157" i="8"/>
  <c r="C157" i="8" s="1"/>
  <c r="D189" i="8"/>
  <c r="C32" i="9"/>
  <c r="E32" i="9" s="1"/>
  <c r="C109" i="11"/>
  <c r="C125" i="11"/>
  <c r="C186" i="8"/>
  <c r="F73" i="8" l="1"/>
  <c r="G73" i="8"/>
  <c r="F26" i="8"/>
  <c r="C26" i="8" s="1"/>
  <c r="E39" i="8"/>
  <c r="E51" i="8" s="1"/>
  <c r="G21" i="8"/>
  <c r="C21" i="8" s="1"/>
  <c r="D39" i="8"/>
  <c r="D93" i="11"/>
  <c r="C50" i="8"/>
  <c r="G15" i="8"/>
  <c r="F15" i="8"/>
  <c r="B41" i="2"/>
  <c r="B31" i="3"/>
  <c r="B40" i="2"/>
  <c r="B38" i="3" s="1"/>
  <c r="B42" i="2"/>
  <c r="D97" i="4"/>
  <c r="M11" i="3"/>
  <c r="D96" i="4"/>
  <c r="I11" i="3"/>
  <c r="D22" i="3"/>
  <c r="F85" i="11"/>
  <c r="F125" i="11" s="1"/>
  <c r="E125" i="11"/>
  <c r="C78" i="11"/>
  <c r="F102" i="8"/>
  <c r="E102" i="8"/>
  <c r="D162" i="8"/>
  <c r="D159" i="8"/>
  <c r="D100" i="8"/>
  <c r="G192" i="8"/>
  <c r="F42" i="8"/>
  <c r="E40" i="8"/>
  <c r="E45" i="8" s="1"/>
  <c r="I43" i="3"/>
  <c r="D25" i="4"/>
  <c r="C24" i="4"/>
  <c r="L42" i="3"/>
  <c r="H42" i="3"/>
  <c r="D91" i="4"/>
  <c r="D90" i="4"/>
  <c r="I10" i="3"/>
  <c r="C42" i="11"/>
  <c r="C40" i="11" s="1"/>
  <c r="D77" i="8"/>
  <c r="E79" i="8"/>
  <c r="E77" i="8" s="1"/>
  <c r="C189" i="8"/>
  <c r="D190" i="8"/>
  <c r="C190" i="8" s="1"/>
  <c r="C12" i="9"/>
  <c r="C44" i="11"/>
  <c r="D71" i="8"/>
  <c r="E192" i="8"/>
  <c r="C44" i="8"/>
  <c r="C19" i="4"/>
  <c r="H37" i="3"/>
  <c r="C35" i="4" s="1"/>
  <c r="L37" i="3"/>
  <c r="D45" i="8"/>
  <c r="C18" i="4"/>
  <c r="H36" i="3"/>
  <c r="L36" i="3"/>
  <c r="F42" i="11"/>
  <c r="F40" i="11"/>
  <c r="C21" i="5"/>
  <c r="F19" i="5"/>
  <c r="B18" i="4"/>
  <c r="G36" i="3"/>
  <c r="D87" i="4"/>
  <c r="D12" i="8"/>
  <c r="E14" i="8"/>
  <c r="D62" i="4"/>
  <c r="D76" i="4"/>
  <c r="D58" i="4"/>
  <c r="D53" i="4"/>
  <c r="D5" i="4"/>
  <c r="I21" i="3"/>
  <c r="D85" i="4"/>
  <c r="B19" i="4"/>
  <c r="G37" i="3"/>
  <c r="B35" i="4" s="1"/>
  <c r="D125" i="8"/>
  <c r="C120" i="8"/>
  <c r="G84" i="8"/>
  <c r="G82" i="8" s="1"/>
  <c r="C82" i="8" s="1"/>
  <c r="D94" i="4"/>
  <c r="D95" i="4"/>
  <c r="M16" i="3"/>
  <c r="I16" i="3"/>
  <c r="D14" i="4"/>
  <c r="M27" i="3"/>
  <c r="I27" i="3"/>
  <c r="F45" i="6"/>
  <c r="G42" i="6"/>
  <c r="G45" i="6" s="1"/>
  <c r="D7" i="4"/>
  <c r="D10" i="4" s="1"/>
  <c r="C146" i="8"/>
  <c r="D182" i="8"/>
  <c r="C180" i="8"/>
  <c r="G27" i="3"/>
  <c r="B14" i="4"/>
  <c r="B55" i="2"/>
  <c r="B44" i="3"/>
  <c r="C73" i="11"/>
  <c r="D153" i="8"/>
  <c r="C47" i="8"/>
  <c r="B22" i="3"/>
  <c r="G22" i="3" s="1"/>
  <c r="I13" i="3"/>
  <c r="D31" i="3"/>
  <c r="D40" i="2"/>
  <c r="D38" i="3" s="1"/>
  <c r="D42" i="2"/>
  <c r="D41" i="2"/>
  <c r="E25" i="9"/>
  <c r="E56" i="9" s="1"/>
  <c r="B66" i="9" s="1"/>
  <c r="B68" i="9" s="1"/>
  <c r="C56" i="9"/>
  <c r="C55" i="2"/>
  <c r="C44" i="3"/>
  <c r="E42" i="11"/>
  <c r="E40" i="11" s="1"/>
  <c r="D40" i="11"/>
  <c r="D164" i="8"/>
  <c r="D83" i="11"/>
  <c r="C83" i="11"/>
  <c r="E88" i="8"/>
  <c r="E86" i="8" s="1"/>
  <c r="D86" i="8"/>
  <c r="C31" i="3"/>
  <c r="C40" i="2"/>
  <c r="C38" i="3" s="1"/>
  <c r="C42" i="2"/>
  <c r="C41" i="2"/>
  <c r="I18" i="7"/>
  <c r="H27" i="3"/>
  <c r="C14" i="4"/>
  <c r="L27" i="3"/>
  <c r="D52" i="4"/>
  <c r="D57" i="4"/>
  <c r="G43" i="3"/>
  <c r="B25" i="4"/>
  <c r="C86" i="4"/>
  <c r="C85" i="4"/>
  <c r="L5" i="3"/>
  <c r="C78" i="4"/>
  <c r="C64" i="4"/>
  <c r="C7" i="4"/>
  <c r="C10" i="4" s="1"/>
  <c r="B63" i="4"/>
  <c r="B77" i="4"/>
  <c r="B21" i="3"/>
  <c r="G4" i="3" s="1"/>
  <c r="B10" i="3"/>
  <c r="M36" i="3"/>
  <c r="D50" i="2"/>
  <c r="D52" i="2"/>
  <c r="D42" i="3"/>
  <c r="D51" i="2"/>
  <c r="D74" i="11"/>
  <c r="D72" i="11" s="1"/>
  <c r="I18" i="3"/>
  <c r="B86" i="4"/>
  <c r="B78" i="4"/>
  <c r="B85" i="4"/>
  <c r="B64" i="4"/>
  <c r="B7" i="4"/>
  <c r="D86" i="4"/>
  <c r="C77" i="4"/>
  <c r="C63" i="4"/>
  <c r="C10" i="3"/>
  <c r="M10" i="3" s="1"/>
  <c r="L4" i="3"/>
  <c r="C21" i="3"/>
  <c r="H5" i="3" s="1"/>
  <c r="E73" i="11"/>
  <c r="C39" i="11"/>
  <c r="C37" i="11"/>
  <c r="C106" i="11"/>
  <c r="E159" i="8"/>
  <c r="E100" i="8"/>
  <c r="C43" i="3"/>
  <c r="C51" i="2"/>
  <c r="C58" i="11" s="1"/>
  <c r="I20" i="3"/>
  <c r="I5" i="3"/>
  <c r="F154" i="8"/>
  <c r="E67" i="11"/>
  <c r="G85" i="8"/>
  <c r="C85" i="8"/>
  <c r="D39" i="11"/>
  <c r="D37" i="11"/>
  <c r="F93" i="11"/>
  <c r="F96" i="8"/>
  <c r="G96" i="8"/>
  <c r="C28" i="7"/>
  <c r="C26" i="7" s="1"/>
  <c r="C26" i="6" s="1"/>
  <c r="D26" i="6" s="1"/>
  <c r="C24" i="7"/>
  <c r="C163" i="8"/>
  <c r="B6" i="4"/>
  <c r="B8" i="4" s="1"/>
  <c r="M37" i="3"/>
  <c r="C96" i="4"/>
  <c r="L11" i="3"/>
  <c r="H11" i="3"/>
  <c r="C22" i="3"/>
  <c r="D93" i="4"/>
  <c r="M5" i="3"/>
  <c r="F153" i="8" l="1"/>
  <c r="C96" i="8"/>
  <c r="F88" i="8"/>
  <c r="F79" i="8"/>
  <c r="F77" i="8" s="1"/>
  <c r="E64" i="11" s="1"/>
  <c r="E74" i="11"/>
  <c r="E72" i="11" s="1"/>
  <c r="L31" i="3"/>
  <c r="H31" i="3"/>
  <c r="C34" i="4" s="1"/>
  <c r="C16" i="4"/>
  <c r="F164" i="8"/>
  <c r="F83" i="11"/>
  <c r="M31" i="3"/>
  <c r="I31" i="3"/>
  <c r="D34" i="4" s="1"/>
  <c r="D16" i="4"/>
  <c r="C182" i="8"/>
  <c r="D183" i="8"/>
  <c r="D44" i="11"/>
  <c r="E71" i="8"/>
  <c r="M22" i="3"/>
  <c r="I22" i="3"/>
  <c r="L22" i="3"/>
  <c r="H22" i="3"/>
  <c r="C55" i="11"/>
  <c r="D58" i="11"/>
  <c r="G164" i="8"/>
  <c r="C26" i="4"/>
  <c r="H44" i="3"/>
  <c r="C37" i="4" s="1"/>
  <c r="L44" i="3"/>
  <c r="C74" i="11"/>
  <c r="C72" i="11" s="1"/>
  <c r="G79" i="8"/>
  <c r="G77" i="8" s="1"/>
  <c r="D78" i="11"/>
  <c r="E162" i="8"/>
  <c r="C15" i="8"/>
  <c r="C43" i="4"/>
  <c r="C57" i="2"/>
  <c r="C56" i="2"/>
  <c r="C20" i="11" s="1"/>
  <c r="C21" i="11" s="1"/>
  <c r="C47" i="3"/>
  <c r="E78" i="11"/>
  <c r="F162" i="8"/>
  <c r="G100" i="8"/>
  <c r="B53" i="4"/>
  <c r="B62" i="4"/>
  <c r="B76" i="4"/>
  <c r="B58" i="4"/>
  <c r="B5" i="4"/>
  <c r="G21" i="3"/>
  <c r="G19" i="3"/>
  <c r="G16" i="3"/>
  <c r="B93" i="4"/>
  <c r="B69" i="4"/>
  <c r="B95" i="4"/>
  <c r="G18" i="3"/>
  <c r="G20" i="3"/>
  <c r="G6" i="3"/>
  <c r="G9" i="3"/>
  <c r="G12" i="3"/>
  <c r="G8" i="3"/>
  <c r="G7" i="3"/>
  <c r="G17" i="3"/>
  <c r="G15" i="3"/>
  <c r="G13" i="3"/>
  <c r="G14" i="3"/>
  <c r="G11" i="3"/>
  <c r="B26" i="4"/>
  <c r="G44" i="3"/>
  <c r="B37" i="4" s="1"/>
  <c r="F14" i="8"/>
  <c r="E12" i="8"/>
  <c r="C45" i="11"/>
  <c r="C43" i="11" s="1"/>
  <c r="C36" i="11" s="1"/>
  <c r="G102" i="8"/>
  <c r="E160" i="8"/>
  <c r="E101" i="8"/>
  <c r="C19" i="6"/>
  <c r="D19" i="6" s="1"/>
  <c r="C23" i="7"/>
  <c r="D155" i="8"/>
  <c r="C70" i="11"/>
  <c r="D123" i="11"/>
  <c r="D121" i="11" s="1"/>
  <c r="D126" i="11" s="1"/>
  <c r="D81" i="11"/>
  <c r="D80" i="11" s="1"/>
  <c r="C68" i="9"/>
  <c r="B96" i="4"/>
  <c r="B43" i="4"/>
  <c r="B47" i="3"/>
  <c r="B57" i="2"/>
  <c r="B56" i="2"/>
  <c r="G153" i="8"/>
  <c r="F73" i="11"/>
  <c r="D18" i="8"/>
  <c r="D147" i="8"/>
  <c r="C17" i="9"/>
  <c r="B17" i="9" s="1"/>
  <c r="B12" i="9"/>
  <c r="D51" i="8"/>
  <c r="C79" i="11"/>
  <c r="C77" i="11"/>
  <c r="C115" i="11"/>
  <c r="B10" i="4"/>
  <c r="F100" i="8"/>
  <c r="G154" i="8"/>
  <c r="C154" i="8" s="1"/>
  <c r="F67" i="11"/>
  <c r="C62" i="4"/>
  <c r="C76" i="4"/>
  <c r="C58" i="4"/>
  <c r="C53" i="4"/>
  <c r="L21" i="3"/>
  <c r="C5" i="4"/>
  <c r="H21" i="3"/>
  <c r="C69" i="4"/>
  <c r="H20" i="3"/>
  <c r="H16" i="3"/>
  <c r="C93" i="4"/>
  <c r="H17" i="3"/>
  <c r="H15" i="3"/>
  <c r="H6" i="3"/>
  <c r="H18" i="3"/>
  <c r="H7" i="3"/>
  <c r="H19" i="3"/>
  <c r="H8" i="3"/>
  <c r="H9" i="3"/>
  <c r="H13" i="3"/>
  <c r="H14" i="3"/>
  <c r="C95" i="4"/>
  <c r="H12" i="3"/>
  <c r="C97" i="4"/>
  <c r="E68" i="11"/>
  <c r="E66" i="11"/>
  <c r="H4" i="3"/>
  <c r="G5" i="3"/>
  <c r="D24" i="4"/>
  <c r="M42" i="3"/>
  <c r="I42" i="3"/>
  <c r="E155" i="8"/>
  <c r="D70" i="11"/>
  <c r="B97" i="4"/>
  <c r="F30" i="8"/>
  <c r="G30" i="8"/>
  <c r="G39" i="8" s="1"/>
  <c r="G51" i="8" s="1"/>
  <c r="C8" i="4"/>
  <c r="C9" i="4" s="1"/>
  <c r="D160" i="8"/>
  <c r="D101" i="8"/>
  <c r="L43" i="3"/>
  <c r="H43" i="3"/>
  <c r="C25" i="4"/>
  <c r="B90" i="4"/>
  <c r="B91" i="4"/>
  <c r="G10" i="3"/>
  <c r="B48" i="4"/>
  <c r="C123" i="11"/>
  <c r="C121" i="11" s="1"/>
  <c r="C126" i="11" s="1"/>
  <c r="C81" i="11"/>
  <c r="C80" i="11" s="1"/>
  <c r="D152" i="8"/>
  <c r="C64" i="11"/>
  <c r="C77" i="8"/>
  <c r="D95" i="8"/>
  <c r="G42" i="8"/>
  <c r="G40" i="8" s="1"/>
  <c r="G45" i="8" s="1"/>
  <c r="F40" i="8"/>
  <c r="M21" i="3"/>
  <c r="M43" i="3"/>
  <c r="G38" i="3"/>
  <c r="B20" i="4"/>
  <c r="C132" i="11"/>
  <c r="C110" i="11"/>
  <c r="L10" i="3"/>
  <c r="C91" i="4"/>
  <c r="H10" i="3"/>
  <c r="C90" i="4"/>
  <c r="C48" i="4"/>
  <c r="D55" i="2"/>
  <c r="D44" i="3"/>
  <c r="C20" i="4"/>
  <c r="L38" i="3"/>
  <c r="H38" i="3"/>
  <c r="E164" i="8"/>
  <c r="E83" i="11"/>
  <c r="D20" i="4"/>
  <c r="M38" i="3"/>
  <c r="I38" i="3"/>
  <c r="D133" i="8"/>
  <c r="C133" i="8" s="1"/>
  <c r="C125" i="8"/>
  <c r="D148" i="8"/>
  <c r="D74" i="8"/>
  <c r="E152" i="8"/>
  <c r="D64" i="11"/>
  <c r="E95" i="8"/>
  <c r="C102" i="8"/>
  <c r="B16" i="4"/>
  <c r="G31" i="3"/>
  <c r="B34" i="4" s="1"/>
  <c r="D8" i="4"/>
  <c r="D9" i="4" s="1"/>
  <c r="C153" i="8" l="1"/>
  <c r="F152" i="8"/>
  <c r="C164" i="8"/>
  <c r="F86" i="8"/>
  <c r="F155" i="8" s="1"/>
  <c r="G88" i="8"/>
  <c r="G86" i="8" s="1"/>
  <c r="F70" i="11" s="1"/>
  <c r="F68" i="11"/>
  <c r="F66" i="11" s="1"/>
  <c r="D109" i="8"/>
  <c r="D111" i="8"/>
  <c r="D149" i="8"/>
  <c r="E123" i="11"/>
  <c r="E121" i="11" s="1"/>
  <c r="E126" i="11" s="1"/>
  <c r="E81" i="11"/>
  <c r="E80" i="11" s="1"/>
  <c r="F45" i="8"/>
  <c r="C45" i="8" s="1"/>
  <c r="C40" i="8"/>
  <c r="B52" i="4"/>
  <c r="B57" i="4"/>
  <c r="F160" i="8"/>
  <c r="F101" i="8"/>
  <c r="B48" i="3"/>
  <c r="B28" i="4"/>
  <c r="G47" i="3"/>
  <c r="B38" i="4" s="1"/>
  <c r="C71" i="11"/>
  <c r="C69" i="11"/>
  <c r="F71" i="11"/>
  <c r="F69" i="11" s="1"/>
  <c r="G159" i="8"/>
  <c r="C52" i="4"/>
  <c r="C57" i="4"/>
  <c r="C75" i="11"/>
  <c r="D161" i="8"/>
  <c r="D158" i="8"/>
  <c r="D107" i="8"/>
  <c r="D108" i="8" s="1"/>
  <c r="F159" i="8"/>
  <c r="B49" i="4"/>
  <c r="B45" i="4"/>
  <c r="B47" i="4"/>
  <c r="B51" i="4" s="1"/>
  <c r="E18" i="8"/>
  <c r="E147" i="8"/>
  <c r="D115" i="11"/>
  <c r="D77" i="11"/>
  <c r="D192" i="8"/>
  <c r="C192" i="8" s="1"/>
  <c r="C183" i="8"/>
  <c r="E115" i="11"/>
  <c r="E77" i="11"/>
  <c r="F64" i="11"/>
  <c r="G152" i="8"/>
  <c r="G95" i="8"/>
  <c r="G14" i="8"/>
  <c r="G12" i="8" s="1"/>
  <c r="F12" i="8"/>
  <c r="D68" i="9"/>
  <c r="L47" i="3"/>
  <c r="H47" i="3"/>
  <c r="C38" i="4" s="1"/>
  <c r="C28" i="4"/>
  <c r="C48" i="3"/>
  <c r="E44" i="11"/>
  <c r="F71" i="8"/>
  <c r="D55" i="11"/>
  <c r="E58" i="11"/>
  <c r="C28" i="11"/>
  <c r="C25" i="7"/>
  <c r="D27" i="7" s="1"/>
  <c r="C24" i="6"/>
  <c r="D24" i="6" s="1"/>
  <c r="C29" i="7"/>
  <c r="C65" i="11"/>
  <c r="C63" i="11" s="1"/>
  <c r="C112" i="11"/>
  <c r="C60" i="11"/>
  <c r="C119" i="11"/>
  <c r="C127" i="11" s="1"/>
  <c r="C30" i="8"/>
  <c r="F39" i="8"/>
  <c r="D53" i="8"/>
  <c r="D55" i="8"/>
  <c r="D52" i="8"/>
  <c r="E158" i="8"/>
  <c r="E107" i="8"/>
  <c r="E165" i="8" s="1"/>
  <c r="D11" i="9" s="1"/>
  <c r="D26" i="4"/>
  <c r="I44" i="3"/>
  <c r="D37" i="4" s="1"/>
  <c r="M44" i="3"/>
  <c r="F74" i="11"/>
  <c r="F72" i="11" s="1"/>
  <c r="E161" i="8"/>
  <c r="D75" i="11"/>
  <c r="D112" i="11"/>
  <c r="D65" i="11"/>
  <c r="D63" i="11" s="1"/>
  <c r="D43" i="4"/>
  <c r="D57" i="2"/>
  <c r="D56" i="2"/>
  <c r="D47" i="3"/>
  <c r="D71" i="11"/>
  <c r="D69" i="11" s="1"/>
  <c r="E65" i="11"/>
  <c r="E63" i="11" s="1"/>
  <c r="F78" i="11"/>
  <c r="G162" i="8"/>
  <c r="C162" i="8" s="1"/>
  <c r="C106" i="8"/>
  <c r="C49" i="4"/>
  <c r="C45" i="4"/>
  <c r="C47" i="4"/>
  <c r="C51" i="4" s="1"/>
  <c r="E148" i="8"/>
  <c r="E74" i="8"/>
  <c r="G155" i="8"/>
  <c r="G160" i="8"/>
  <c r="C160" i="8" s="1"/>
  <c r="G101" i="8"/>
  <c r="D45" i="11"/>
  <c r="D106" i="11"/>
  <c r="F123" i="11"/>
  <c r="F121" i="11" s="1"/>
  <c r="F126" i="11" s="1"/>
  <c r="F81" i="11"/>
  <c r="F80" i="11" s="1"/>
  <c r="C155" i="8" l="1"/>
  <c r="C152" i="8"/>
  <c r="E70" i="11"/>
  <c r="F95" i="8"/>
  <c r="C95" i="8" s="1"/>
  <c r="C86" i="8"/>
  <c r="D89" i="11"/>
  <c r="D92" i="11" s="1"/>
  <c r="E68" i="9"/>
  <c r="F112" i="11"/>
  <c r="F65" i="11"/>
  <c r="F63" i="11" s="1"/>
  <c r="E53" i="8"/>
  <c r="E55" i="8"/>
  <c r="E52" i="8"/>
  <c r="D165" i="8"/>
  <c r="F161" i="8"/>
  <c r="E75" i="11"/>
  <c r="D119" i="11"/>
  <c r="D127" i="11" s="1"/>
  <c r="G161" i="8"/>
  <c r="F75" i="11"/>
  <c r="D76" i="11"/>
  <c r="D113" i="11"/>
  <c r="D56" i="8"/>
  <c r="D57" i="8" s="1"/>
  <c r="C29" i="6"/>
  <c r="D29" i="6" s="1"/>
  <c r="C13" i="11"/>
  <c r="C14" i="11" s="1"/>
  <c r="C22" i="11" s="1"/>
  <c r="F44" i="11"/>
  <c r="G71" i="8"/>
  <c r="C71" i="8" s="1"/>
  <c r="D116" i="11"/>
  <c r="D130" i="11" s="1"/>
  <c r="F148" i="8"/>
  <c r="F74" i="8"/>
  <c r="E45" i="11"/>
  <c r="E106" i="11"/>
  <c r="C101" i="8"/>
  <c r="C8" i="9"/>
  <c r="F51" i="8"/>
  <c r="C51" i="8" s="1"/>
  <c r="C39" i="8"/>
  <c r="C31" i="11"/>
  <c r="C32" i="11" s="1"/>
  <c r="C33" i="11" s="1"/>
  <c r="C89" i="11"/>
  <c r="C92" i="11" s="1"/>
  <c r="C29" i="4"/>
  <c r="L48" i="3"/>
  <c r="H48" i="3"/>
  <c r="C49" i="3"/>
  <c r="F147" i="8"/>
  <c r="C147" i="8" s="1"/>
  <c r="F18" i="8"/>
  <c r="C12" i="8"/>
  <c r="D169" i="8"/>
  <c r="D166" i="8"/>
  <c r="F115" i="11"/>
  <c r="F77" i="11"/>
  <c r="E149" i="8"/>
  <c r="D8" i="9" s="1"/>
  <c r="D10" i="9" s="1"/>
  <c r="E111" i="8"/>
  <c r="E108" i="8"/>
  <c r="E109" i="8"/>
  <c r="D45" i="4"/>
  <c r="D49" i="4"/>
  <c r="C129" i="11"/>
  <c r="G18" i="8"/>
  <c r="G147" i="8"/>
  <c r="C76" i="11"/>
  <c r="C62" i="11" s="1"/>
  <c r="C86" i="11" s="1"/>
  <c r="C87" i="11" s="1"/>
  <c r="D112" i="8"/>
  <c r="D167" i="8"/>
  <c r="D132" i="11"/>
  <c r="D110" i="11"/>
  <c r="D62" i="11"/>
  <c r="D86" i="11" s="1"/>
  <c r="G158" i="8"/>
  <c r="G107" i="8"/>
  <c r="G165" i="8" s="1"/>
  <c r="F11" i="9" s="1"/>
  <c r="C159" i="8"/>
  <c r="M47" i="3"/>
  <c r="I47" i="3"/>
  <c r="D38" i="4" s="1"/>
  <c r="D28" i="4"/>
  <c r="D48" i="3"/>
  <c r="D43" i="11"/>
  <c r="D36" i="11" s="1"/>
  <c r="D60" i="11" s="1"/>
  <c r="E55" i="11"/>
  <c r="F58" i="11"/>
  <c r="F55" i="11" s="1"/>
  <c r="B49" i="3"/>
  <c r="B29" i="4"/>
  <c r="G48" i="3"/>
  <c r="E56" i="8" l="1"/>
  <c r="E169" i="8"/>
  <c r="F158" i="8"/>
  <c r="F107" i="8"/>
  <c r="F165" i="8" s="1"/>
  <c r="E11" i="9" s="1"/>
  <c r="C18" i="8"/>
  <c r="C161" i="8"/>
  <c r="D87" i="11"/>
  <c r="D88" i="11" s="1"/>
  <c r="E112" i="11"/>
  <c r="E71" i="11"/>
  <c r="E89" i="11" s="1"/>
  <c r="E92" i="11" s="1"/>
  <c r="C94" i="11"/>
  <c r="C158" i="8"/>
  <c r="D129" i="11"/>
  <c r="D131" i="11" s="1"/>
  <c r="D133" i="11" s="1"/>
  <c r="D117" i="11"/>
  <c r="D128" i="11" s="1"/>
  <c r="G55" i="8"/>
  <c r="G52" i="8"/>
  <c r="G53" i="8"/>
  <c r="G56" i="8" s="1"/>
  <c r="E167" i="8"/>
  <c r="D13" i="9" s="1"/>
  <c r="D14" i="9" s="1"/>
  <c r="D15" i="9" s="1"/>
  <c r="E112" i="8"/>
  <c r="E170" i="8" s="1"/>
  <c r="F149" i="8"/>
  <c r="E8" i="9" s="1"/>
  <c r="E10" i="9" s="1"/>
  <c r="F111" i="8"/>
  <c r="F108" i="8"/>
  <c r="F109" i="8"/>
  <c r="E119" i="11"/>
  <c r="E127" i="11" s="1"/>
  <c r="E166" i="8"/>
  <c r="C44" i="4"/>
  <c r="L49" i="3"/>
  <c r="C30" i="4"/>
  <c r="H49" i="3"/>
  <c r="C40" i="4" s="1"/>
  <c r="C50" i="3"/>
  <c r="D170" i="8"/>
  <c r="D59" i="8"/>
  <c r="E58" i="8" s="1"/>
  <c r="C13" i="9"/>
  <c r="C10" i="9"/>
  <c r="E76" i="11"/>
  <c r="E113" i="11" s="1"/>
  <c r="E132" i="11"/>
  <c r="E110" i="11"/>
  <c r="G148" i="8"/>
  <c r="C148" i="8" s="1"/>
  <c r="G74" i="8"/>
  <c r="C74" i="8" s="1"/>
  <c r="C107" i="8"/>
  <c r="F68" i="9"/>
  <c r="B30" i="4"/>
  <c r="B50" i="3"/>
  <c r="B44" i="4"/>
  <c r="G49" i="3"/>
  <c r="B40" i="4" s="1"/>
  <c r="D29" i="4"/>
  <c r="M48" i="3"/>
  <c r="I48" i="3"/>
  <c r="D49" i="3"/>
  <c r="C113" i="11"/>
  <c r="C116" i="11" s="1"/>
  <c r="D47" i="4"/>
  <c r="D51" i="4" s="1"/>
  <c r="E43" i="11"/>
  <c r="E36" i="11" s="1"/>
  <c r="E60" i="11" s="1"/>
  <c r="F45" i="11"/>
  <c r="F89" i="11" s="1"/>
  <c r="F92" i="11" s="1"/>
  <c r="F106" i="11"/>
  <c r="F76" i="11"/>
  <c r="F62" i="11" s="1"/>
  <c r="F86" i="11" s="1"/>
  <c r="C11" i="9"/>
  <c r="C93" i="11"/>
  <c r="C88" i="11"/>
  <c r="E57" i="8"/>
  <c r="F119" i="11"/>
  <c r="F127" i="11" s="1"/>
  <c r="D113" i="8"/>
  <c r="F55" i="8"/>
  <c r="F52" i="8"/>
  <c r="F53" i="8"/>
  <c r="D94" i="11" l="1"/>
  <c r="D96" i="11" s="1"/>
  <c r="C55" i="8"/>
  <c r="C165" i="8"/>
  <c r="F113" i="11"/>
  <c r="F116" i="11" s="1"/>
  <c r="F130" i="11" s="1"/>
  <c r="E69" i="11"/>
  <c r="E62" i="11" s="1"/>
  <c r="E86" i="11" s="1"/>
  <c r="E87" i="11" s="1"/>
  <c r="C96" i="11"/>
  <c r="C98" i="11" s="1"/>
  <c r="D97" i="11" s="1"/>
  <c r="E116" i="11"/>
  <c r="E130" i="11" s="1"/>
  <c r="E59" i="8"/>
  <c r="F58" i="8" s="1"/>
  <c r="E113" i="8"/>
  <c r="E171" i="8" s="1"/>
  <c r="E195" i="8" s="1"/>
  <c r="C52" i="8"/>
  <c r="B31" i="4"/>
  <c r="G50" i="3"/>
  <c r="B39" i="4" s="1"/>
  <c r="C130" i="11"/>
  <c r="C131" i="11" s="1"/>
  <c r="C133" i="11" s="1"/>
  <c r="C117" i="11"/>
  <c r="C128" i="11" s="1"/>
  <c r="F167" i="8"/>
  <c r="F112" i="8"/>
  <c r="G57" i="8"/>
  <c r="C56" i="4"/>
  <c r="C54" i="4"/>
  <c r="C59" i="4" s="1"/>
  <c r="F166" i="8"/>
  <c r="D44" i="4"/>
  <c r="M49" i="3"/>
  <c r="D30" i="4"/>
  <c r="I49" i="3"/>
  <c r="D40" i="4" s="1"/>
  <c r="D50" i="3"/>
  <c r="C53" i="8"/>
  <c r="F169" i="8"/>
  <c r="D171" i="8"/>
  <c r="D136" i="8"/>
  <c r="C14" i="9"/>
  <c r="C15" i="9" s="1"/>
  <c r="B11" i="9"/>
  <c r="G68" i="9"/>
  <c r="F132" i="11"/>
  <c r="F110" i="11"/>
  <c r="F56" i="8"/>
  <c r="C56" i="8" s="1"/>
  <c r="F43" i="11"/>
  <c r="F36" i="11" s="1"/>
  <c r="F60" i="11" s="1"/>
  <c r="F87" i="11" s="1"/>
  <c r="G149" i="8"/>
  <c r="G108" i="8"/>
  <c r="C108" i="8" s="1"/>
  <c r="G109" i="8"/>
  <c r="G111" i="8"/>
  <c r="C31" i="4"/>
  <c r="L50" i="3"/>
  <c r="H50" i="3"/>
  <c r="C39" i="4" s="1"/>
  <c r="B56" i="4"/>
  <c r="B54" i="4"/>
  <c r="B59" i="4" s="1"/>
  <c r="E129" i="11"/>
  <c r="E117" i="11"/>
  <c r="E128" i="11" s="1"/>
  <c r="C61" i="9"/>
  <c r="C63" i="9" s="1"/>
  <c r="D16" i="9"/>
  <c r="D98" i="11" l="1"/>
  <c r="E97" i="11" s="1"/>
  <c r="E131" i="11"/>
  <c r="E133" i="11" s="1"/>
  <c r="E94" i="11"/>
  <c r="E96" i="11" s="1"/>
  <c r="E98" i="11" s="1"/>
  <c r="F97" i="11" s="1"/>
  <c r="E88" i="11"/>
  <c r="E136" i="8"/>
  <c r="G169" i="8"/>
  <c r="C169" i="8" s="1"/>
  <c r="C111" i="8"/>
  <c r="D195" i="8"/>
  <c r="F170" i="8"/>
  <c r="F57" i="8"/>
  <c r="G167" i="8"/>
  <c r="F13" i="9" s="1"/>
  <c r="F14" i="9" s="1"/>
  <c r="G112" i="8"/>
  <c r="G170" i="8" s="1"/>
  <c r="C109" i="8"/>
  <c r="E13" i="9"/>
  <c r="B61" i="9"/>
  <c r="B63" i="9" s="1"/>
  <c r="C16" i="9"/>
  <c r="D138" i="8"/>
  <c r="E137" i="8" s="1"/>
  <c r="H68" i="9"/>
  <c r="D56" i="4"/>
  <c r="D54" i="4"/>
  <c r="D59" i="4" s="1"/>
  <c r="G166" i="8"/>
  <c r="C166" i="8" s="1"/>
  <c r="F8" i="9"/>
  <c r="C149" i="8"/>
  <c r="F113" i="8"/>
  <c r="F94" i="11"/>
  <c r="F96" i="11" s="1"/>
  <c r="F88" i="11"/>
  <c r="F129" i="11"/>
  <c r="F131" i="11" s="1"/>
  <c r="F133" i="11" s="1"/>
  <c r="F117" i="11"/>
  <c r="F128" i="11" s="1"/>
  <c r="M50" i="3"/>
  <c r="I50" i="3"/>
  <c r="D39" i="4" s="1"/>
  <c r="D31" i="4"/>
  <c r="G113" i="8" l="1"/>
  <c r="C113" i="8" s="1"/>
  <c r="C170" i="8"/>
  <c r="F98" i="11"/>
  <c r="E138" i="8"/>
  <c r="F137" i="8" s="1"/>
  <c r="C112" i="8"/>
  <c r="C167" i="8"/>
  <c r="I68" i="9"/>
  <c r="F171" i="8"/>
  <c r="F136" i="8"/>
  <c r="F10" i="9"/>
  <c r="B8" i="9"/>
  <c r="C57" i="8"/>
  <c r="F59" i="8"/>
  <c r="G58" i="8" s="1"/>
  <c r="G59" i="8" s="1"/>
  <c r="E14" i="9"/>
  <c r="B13" i="9"/>
  <c r="G171" i="8" l="1"/>
  <c r="G195" i="8" s="1"/>
  <c r="G136" i="8"/>
  <c r="F15" i="9"/>
  <c r="B10" i="9"/>
  <c r="F138" i="8"/>
  <c r="G137" i="8" s="1"/>
  <c r="G138" i="8" s="1"/>
  <c r="C136" i="8"/>
  <c r="F195" i="8"/>
  <c r="E15" i="9"/>
  <c r="B14" i="9"/>
  <c r="J68" i="9"/>
  <c r="C195" i="8" l="1"/>
  <c r="C171" i="8"/>
  <c r="K68" i="9"/>
  <c r="D61" i="9"/>
  <c r="D63" i="9" s="1"/>
  <c r="E16" i="9"/>
  <c r="C19" i="9"/>
  <c r="B19" i="9"/>
  <c r="B15" i="9"/>
  <c r="E61" i="9"/>
  <c r="F16" i="9"/>
  <c r="B18" i="9" l="1"/>
  <c r="B16" i="9"/>
  <c r="B72" i="9"/>
  <c r="K69" i="9"/>
  <c r="B69" i="9"/>
  <c r="C69" i="9"/>
  <c r="D69" i="9"/>
  <c r="E69" i="9"/>
  <c r="F69" i="9"/>
  <c r="G69" i="9"/>
  <c r="H69" i="9"/>
  <c r="I69" i="9"/>
  <c r="J69" i="9"/>
  <c r="B73" i="9" l="1"/>
  <c r="C72" i="9"/>
  <c r="C73" i="9" l="1"/>
  <c r="D72" i="9"/>
  <c r="E72" i="9" l="1"/>
  <c r="D73" i="9"/>
  <c r="E73" i="9" l="1"/>
  <c r="F72" i="9"/>
  <c r="F73" i="9" l="1"/>
  <c r="G72" i="9"/>
  <c r="G73" i="9" l="1"/>
  <c r="H72" i="9"/>
  <c r="H73" i="9" l="1"/>
  <c r="I72" i="9"/>
  <c r="I73" i="9" l="1"/>
  <c r="J72" i="9"/>
  <c r="J73" i="9" l="1"/>
  <c r="K72" i="9"/>
  <c r="K73" i="9" l="1"/>
  <c r="B76" i="9"/>
  <c r="B77" i="9" l="1"/>
  <c r="C76" i="9"/>
  <c r="C77" i="9" l="1"/>
  <c r="D76" i="9"/>
  <c r="D77" i="9" l="1"/>
  <c r="E76" i="9"/>
  <c r="E77" i="9" l="1"/>
  <c r="F76" i="9"/>
  <c r="F77" i="9" l="1"/>
  <c r="G76" i="9"/>
  <c r="G77" i="9" l="1"/>
  <c r="H76" i="9"/>
  <c r="I76" i="9" l="1"/>
  <c r="H77" i="9"/>
  <c r="I77" i="9" l="1"/>
  <c r="J76" i="9"/>
  <c r="J77" i="9" l="1"/>
  <c r="K76" i="9"/>
  <c r="B80" i="9" l="1"/>
  <c r="K77" i="9"/>
  <c r="B81" i="9" l="1"/>
  <c r="C80" i="9"/>
  <c r="C81" i="9" l="1"/>
  <c r="D80" i="9"/>
  <c r="E80" i="9" l="1"/>
  <c r="D81" i="9"/>
  <c r="E81" i="9" l="1"/>
  <c r="F80" i="9"/>
  <c r="F81" i="9" l="1"/>
  <c r="G80" i="9"/>
  <c r="G81" i="9" l="1"/>
  <c r="H80" i="9"/>
  <c r="H81" i="9" l="1"/>
  <c r="I80" i="9"/>
  <c r="I81" i="9" l="1"/>
  <c r="J80" i="9"/>
  <c r="J81" i="9" l="1"/>
  <c r="K80" i="9"/>
  <c r="K81" i="9" l="1"/>
  <c r="B84" i="9"/>
  <c r="B85" i="9" l="1"/>
  <c r="C84" i="9"/>
  <c r="C85" i="9" l="1"/>
  <c r="D84" i="9"/>
  <c r="E84" i="9" l="1"/>
  <c r="D85" i="9"/>
  <c r="F84" i="9" l="1"/>
  <c r="E85" i="9"/>
  <c r="G84" i="9" l="1"/>
  <c r="G85" i="9" s="1"/>
  <c r="F85" i="9"/>
  <c r="E62" i="9" l="1"/>
  <c r="E63" i="9" s="1"/>
</calcChain>
</file>

<file path=xl/sharedStrings.xml><?xml version="1.0" encoding="utf-8"?>
<sst xmlns="http://schemas.openxmlformats.org/spreadsheetml/2006/main" count="947" uniqueCount="599">
  <si>
    <t>1A - Bilanțul</t>
  </si>
  <si>
    <t>Completați cu informatii din Bilanțul aferent ultimelor trei exercitii financiare incheiate (ultimii 3 ani fiscali). N reprezintă anul fiscal anterior depunerii cererii de finanțare. Solicitanții care au mai puțin de 3 exerciții financiare încheiate vor completa doar coloanele aferente anului (N), respectiv (N-1).</t>
  </si>
  <si>
    <t>AN</t>
  </si>
  <si>
    <t>A.Active imobilizate</t>
  </si>
  <si>
    <t>I.Imobilizari necorporale</t>
  </si>
  <si>
    <t>II.Imobilizari corporale</t>
  </si>
  <si>
    <t>1. Terenuri si constructii</t>
  </si>
  <si>
    <t>2. Instalatii tehnice si masini</t>
  </si>
  <si>
    <t>3. Alte instalatii, utilaje si mobilier</t>
  </si>
  <si>
    <t>4. Investiții imobiliare</t>
  </si>
  <si>
    <t>5. Imobilizări corporale în curs de execuție</t>
  </si>
  <si>
    <t>6. Investiții imobiliare în curs de execuție</t>
  </si>
  <si>
    <t>7. Avansuri acordate pentru imobilizări corporale</t>
  </si>
  <si>
    <t>Imobilizari corporale - total</t>
  </si>
  <si>
    <t>III.Imobilizari financiare</t>
  </si>
  <si>
    <t>Active imobilizate - total</t>
  </si>
  <si>
    <t>B.Active circulante</t>
  </si>
  <si>
    <t>I.Stocuri:</t>
  </si>
  <si>
    <t>1. Materii prime si materiale consumabile</t>
  </si>
  <si>
    <t>2. Productia in curs de executie</t>
  </si>
  <si>
    <t>3. Produse finite si marfuri</t>
  </si>
  <si>
    <t>4. Avansuri pentru cumparari stocuri</t>
  </si>
  <si>
    <t>Stocuri - total</t>
  </si>
  <si>
    <t>II.Creante</t>
  </si>
  <si>
    <t>III.Investitii financiare pe termen scurt</t>
  </si>
  <si>
    <t>IV.Casa si conturi la banci</t>
  </si>
  <si>
    <t>Active circulante - total</t>
  </si>
  <si>
    <t>C.Cheltuieli in avans</t>
  </si>
  <si>
    <t>1. Sume de reluat într-o perioadă de până la un an</t>
  </si>
  <si>
    <t>2. Sume de reluat într-o perioadă mai mare de un an</t>
  </si>
  <si>
    <t>D.Datorii: sumele care trebuie platite intr-o perioada de pana la un an</t>
  </si>
  <si>
    <t>1.  Împrumuturi din emisiunea de obligatiuni, prezentându-se separat împrumuturile din emisiunea de obligatiuni convertibile</t>
  </si>
  <si>
    <t>2. Sume datorate institutiilor de credit</t>
  </si>
  <si>
    <t>3. Avansuri încasate în contul comenzilor</t>
  </si>
  <si>
    <t>4. Datorii comerciale - furnizori</t>
  </si>
  <si>
    <t>5. Efecte de comert de platit</t>
  </si>
  <si>
    <t>6. Sume datorate entitatilor afiliate</t>
  </si>
  <si>
    <t>7. Sume datorate entitatilor de care compania este legata în virtutea intereselor de participare</t>
  </si>
  <si>
    <t>8. Alte datorii, inclusiv datoriile fiscale si datoriile privind asigurarile sociale</t>
  </si>
  <si>
    <t>Datorii: sumele care trebuie platite intr-o perioada de pana la un an</t>
  </si>
  <si>
    <t>E.Active circulante nete/datorii curente nete</t>
  </si>
  <si>
    <t>F.Total active minus datorii curente</t>
  </si>
  <si>
    <t>G.Datorii: sumele care trebuie platite intr-o perioada mai mare de un an</t>
  </si>
  <si>
    <t>1. Împrumuturi din emisiunea de obligatiuni, prezentându-se separat împrumuturile din emisiunea de obligatiuni convertibile</t>
  </si>
  <si>
    <t xml:space="preserve">5. Efecte de comert de platit </t>
  </si>
  <si>
    <t xml:space="preserve">6. Sume datorate entitatilor afiliate </t>
  </si>
  <si>
    <t xml:space="preserve">8. Alte datorii, inclusiv datoriile fiscale si datoriile privind asigurarile sociale </t>
  </si>
  <si>
    <t>Datorii ce trebuie platite intr-o perioada mai mare de un an - total</t>
  </si>
  <si>
    <t>H.Provizioane</t>
  </si>
  <si>
    <t>I.Venituri in avans</t>
  </si>
  <si>
    <t xml:space="preserve">1. Subvenţii pentru investiţii </t>
  </si>
  <si>
    <t>Sume de reluat într-o perioadă de până la un an</t>
  </si>
  <si>
    <t>Sume de reluat într-o perioadă mai mare de un an</t>
  </si>
  <si>
    <t>2. Venituri înregistrate în avans</t>
  </si>
  <si>
    <t>Sume de reluat intr-o perioada de pana la un an</t>
  </si>
  <si>
    <t>Sume de reluat intr-o perioada mai mare de un an</t>
  </si>
  <si>
    <t xml:space="preserve">3. Venituri în avans aferente activelor primite prin transfer de la clienţi </t>
  </si>
  <si>
    <t>Fondul comercial negativ</t>
  </si>
  <si>
    <t>J.Capital si rezerve</t>
  </si>
  <si>
    <t>I.Capital, din care</t>
  </si>
  <si>
    <t xml:space="preserve">    Capital subscris vărsat</t>
  </si>
  <si>
    <t xml:space="preserve">    Capital subscris nevărsat</t>
  </si>
  <si>
    <t xml:space="preserve">    Patrimoniu regiei</t>
  </si>
  <si>
    <t xml:space="preserve">    Patrimoniul institutelor naționale de cercetare-dezvoltare</t>
  </si>
  <si>
    <t xml:space="preserve">    Alte elemente de capitaluri proprii</t>
  </si>
  <si>
    <t>II.Prime de capital</t>
  </si>
  <si>
    <t>III.Rezerve din reevaluare</t>
  </si>
  <si>
    <t>Sold Creditor</t>
  </si>
  <si>
    <t>Sold Debitor</t>
  </si>
  <si>
    <t>IV.Rezerve</t>
  </si>
  <si>
    <t>Acţiuni proprii</t>
  </si>
  <si>
    <t>Câştiguri legate de instrumentele de capitaluri proprii</t>
  </si>
  <si>
    <t>Pierderi legate de instrumentele de capitaluri proprii</t>
  </si>
  <si>
    <t>V.Rezultatul reportat</t>
  </si>
  <si>
    <t>VI.Rezultatul exercitiului financiar</t>
  </si>
  <si>
    <t>Repartizarea profitului</t>
  </si>
  <si>
    <t>Capitaluri proprii - total</t>
  </si>
  <si>
    <t>Patrimoniul public</t>
  </si>
  <si>
    <t>Patrimoniul privat</t>
  </si>
  <si>
    <t>Capitaluri - total</t>
  </si>
  <si>
    <t>TOTAL ACTIV</t>
  </si>
  <si>
    <t>TOTAL CAPITALURI SI DATORII</t>
  </si>
  <si>
    <t>1B - Contul de profit și pierdere</t>
  </si>
  <si>
    <t>Completați cu informatii din Contul de profit și pierdere aferent ultimelor trei exercitii financiare incheiate (ultimii 3 ani fiscali).  N reprezintă anul fiscal anterior depunerii cererii de finanțare. Solicitanții care au mai puțin de 3 exerciții financiare încheiate vor completa doar coloanele aferente anului (N), respectiv (N-1).</t>
  </si>
  <si>
    <t>Cifra de afaceri neta</t>
  </si>
  <si>
    <t>Venituri aferente costului producției în curs de execuție (+ pentru C; - pentru D)</t>
  </si>
  <si>
    <t>Venituri  din productia de imobilizări necorporale și corporale</t>
  </si>
  <si>
    <t>Venituri din reevaluarea imobilizărilor corporale</t>
  </si>
  <si>
    <t>Venituri din producția de investiții imobiliare</t>
  </si>
  <si>
    <t>Venituri din subvenții de exploatare</t>
  </si>
  <si>
    <t>Alte venituri din exploatare</t>
  </si>
  <si>
    <t>Venituri din exploatare - total</t>
  </si>
  <si>
    <t xml:space="preserve">Cheltuieli cu materiile prime şi materialele consumabile </t>
  </si>
  <si>
    <t>Alte cheltuieli materiale</t>
  </si>
  <si>
    <t>Alte cheltuieli externe (cu energie şi apă)</t>
  </si>
  <si>
    <t xml:space="preserve">Cheltuieli privind mărfurile </t>
  </si>
  <si>
    <t>Reduceri comerciale primite</t>
  </si>
  <si>
    <t>Cheltuieli cu personalul</t>
  </si>
  <si>
    <t>Ajustări de valoare privind imobilizările corporale şi necorporale</t>
  </si>
  <si>
    <t xml:space="preserve">Ajustări de valoare privind activele circulante </t>
  </si>
  <si>
    <t xml:space="preserve">Alte cheltuieli de exploatare </t>
  </si>
  <si>
    <t xml:space="preserve">Ajustări privind provizioanele  </t>
  </si>
  <si>
    <t>Cheltuieli din exploatare - total</t>
  </si>
  <si>
    <t>Rezultatul din exploatare</t>
  </si>
  <si>
    <t>Rezultatul din exploatare Profit</t>
  </si>
  <si>
    <t>Rezultatul din exploatare Pierdere</t>
  </si>
  <si>
    <t>Venituri din interese de participare</t>
  </si>
  <si>
    <t>Venituri din dobânzi</t>
  </si>
  <si>
    <t>Venituri din subvenţii de exploatare pentru dobânda datorată</t>
  </si>
  <si>
    <t>Alte venituri financiare</t>
  </si>
  <si>
    <t>Venituri financiare</t>
  </si>
  <si>
    <t>Ajustări de valoare privind imobilizările financiare şi investiţiile financiare deţinute ca active circulante</t>
  </si>
  <si>
    <t xml:space="preserve">Cheltuieli privind dobânzile </t>
  </si>
  <si>
    <t xml:space="preserve">Alte cheltuieli financiare  </t>
  </si>
  <si>
    <t>Cheltuieli financiare</t>
  </si>
  <si>
    <t>Rezultatul financiar</t>
  </si>
  <si>
    <t>Rezultatul financiar Profit</t>
  </si>
  <si>
    <t>Rezultatul financiar Pierdere</t>
  </si>
  <si>
    <t>Rezultatul curent</t>
  </si>
  <si>
    <t>Rezultatul curent Profit</t>
  </si>
  <si>
    <t>Rezultatul curent Pierdere</t>
  </si>
  <si>
    <t>Venituri extraordinare</t>
  </si>
  <si>
    <t>Cheltuieli extraordinare</t>
  </si>
  <si>
    <t>Rezultatul extraordinar</t>
  </si>
  <si>
    <t>Rezultatul extraordinar Profit</t>
  </si>
  <si>
    <t>Rezultatul extraordinar Pierdere</t>
  </si>
  <si>
    <t>Venituri totale</t>
  </si>
  <si>
    <t>Cheltuieli totale</t>
  </si>
  <si>
    <t>Rezultatul brut</t>
  </si>
  <si>
    <t>Rezultatul brut Profit</t>
  </si>
  <si>
    <t>Rezultatul brut Pierdere</t>
  </si>
  <si>
    <t>Impozit pe profit</t>
  </si>
  <si>
    <t>Alte impozite neprezentate la elementele de mai sus</t>
  </si>
  <si>
    <t>Rezultatul net</t>
  </si>
  <si>
    <t>Rezultatul net Profit</t>
  </si>
  <si>
    <t>Rezultatul net Pierdere</t>
  </si>
  <si>
    <t>1C - Analiza financiară extinsă</t>
  </si>
  <si>
    <t>Istoric Bilanț</t>
  </si>
  <si>
    <t>Indicatori structură bilanț (% din total activ)</t>
  </si>
  <si>
    <t>Indicatori modificare relativă</t>
  </si>
  <si>
    <t>Active imobilizate</t>
  </si>
  <si>
    <t>Active curente</t>
  </si>
  <si>
    <t>Stocuri</t>
  </si>
  <si>
    <t>Creante de incasat</t>
  </si>
  <si>
    <t>Cheltuieli inregistrate in avans</t>
  </si>
  <si>
    <t>Cash si echivalente de cash</t>
  </si>
  <si>
    <t>Activ total</t>
  </si>
  <si>
    <t>Datorii curente</t>
  </si>
  <si>
    <t>Datorii financiare pe termen scurt</t>
  </si>
  <si>
    <t>Datorii comerciale - furnizori</t>
  </si>
  <si>
    <t>Alte datorii pe termen scurt</t>
  </si>
  <si>
    <t>Venituri inregistrate in avans</t>
  </si>
  <si>
    <t>Datorii pe termen lung</t>
  </si>
  <si>
    <t>Datorii financiare pe termen lung</t>
  </si>
  <si>
    <t>Alte datorii pe termen lung</t>
  </si>
  <si>
    <t>Provizioane</t>
  </si>
  <si>
    <t>Capital propriu</t>
  </si>
  <si>
    <t>Istoric cont de profit și pierdere</t>
  </si>
  <si>
    <t>Indicatori structură CPP (% in cifra de afaceri)</t>
  </si>
  <si>
    <t>Cheltuieli monetare de exploatare</t>
  </si>
  <si>
    <t>Ajustări de valoare privind imobilizările, activele circulante si provizioanele</t>
  </si>
  <si>
    <t>EBT</t>
  </si>
  <si>
    <t>EBIT</t>
  </si>
  <si>
    <t>EBITDA</t>
  </si>
  <si>
    <t>1D - Analiza financiară - Indicatori</t>
  </si>
  <si>
    <t>Completarea informațiilor se face în mod automat, în baza informațiilor introduse în foile de lucru 1.A-Bilanțul și 1.B-Contul de profit și pierdere, precum și a Analizei financiare extinse (foaia de lucru 1C)</t>
  </si>
  <si>
    <t>Indicatori de echilibru financiar</t>
  </si>
  <si>
    <t>AN (Activ net) = Activ total - Datorii totale</t>
  </si>
  <si>
    <t>FR (Fond de rulment ) = Capital propriu + Datorii termen lung - Imobilizari</t>
  </si>
  <si>
    <t>NFR (necesar de fond de rulment) = Active curente cu exceptia trezoreriei - Datorii curente cu exceptia trezoreriei</t>
  </si>
  <si>
    <t>TN (trezoreria neta) = FR - NFR</t>
  </si>
  <si>
    <t>CF (cash flow) = variatia (D) TN</t>
  </si>
  <si>
    <t>Rata de acoperire a NFR din FR = NFR/FR</t>
  </si>
  <si>
    <t>Solduri intermediare de gestiune</t>
  </si>
  <si>
    <t>CA (Cifra de afaceri neta)</t>
  </si>
  <si>
    <t>Rexpl (Rezultatul din exploatare) = Venituri din exploatare - Cheltuieli de exploatare</t>
  </si>
  <si>
    <t>Rfin (Rezultatul financiar) = Venituri financiare - Cheltuieli financiare</t>
  </si>
  <si>
    <t>Rcrt (Rezultatul curent) = Rexpl + Rfin</t>
  </si>
  <si>
    <t>Rextr (Rezultatul extraordinar) = Venituri extraordinare - Cheltuieli extraordinare</t>
  </si>
  <si>
    <t>R brut (Rezultatul brut) = Rcrt + Rextr</t>
  </si>
  <si>
    <t>RN (Rezultatul net) = R brut - impozit pe profit</t>
  </si>
  <si>
    <t>EBT (Rezultat inainte de impozit) = RN + impozit pe profit</t>
  </si>
  <si>
    <t>EBIT (Rezultat inainte de dobanzi si impozit) = EBT + dobanzi</t>
  </si>
  <si>
    <t>EBITDA (Rezultat inainte de amortizare, dobanzi si impozit) = EBIT + amortizare</t>
  </si>
  <si>
    <t>Rate de marja</t>
  </si>
  <si>
    <t>R_Rexp = Rezultat exploatare / CA</t>
  </si>
  <si>
    <t>R_Rfin = Rezultat financiar / CA</t>
  </si>
  <si>
    <t>R_Rextr = Rezultat extraordinar / CA</t>
  </si>
  <si>
    <t>R_Rbrut = Rezultat brut / CA</t>
  </si>
  <si>
    <t>R_RN (sau R_PN) = Rezultat net (profit net) / CA</t>
  </si>
  <si>
    <t>R_EBITDA = EBITDA / CA</t>
  </si>
  <si>
    <t>R_EBIT = EBIT / CA</t>
  </si>
  <si>
    <t>Rate de rentabilitate</t>
  </si>
  <si>
    <t>Profit net</t>
  </si>
  <si>
    <t>EBIT - impozit</t>
  </si>
  <si>
    <t>ROA (rentabilitatea activelor) = PN/Active</t>
  </si>
  <si>
    <t>descompunere ROA = R_PN · viteza de rotatie a activelor</t>
  </si>
  <si>
    <t>R_PN = PN/CA</t>
  </si>
  <si>
    <t>viteza de rotatie a activelor = CA/Active</t>
  </si>
  <si>
    <t>ROE (rentabilitatea capitalului propriu)  = PN/CPR</t>
  </si>
  <si>
    <t>descompunerea ROE = R_PN · viteza de rotatie a activelor 
· rata de structura aferenta capitalului propriu</t>
  </si>
  <si>
    <t>rata de structura aferenta capitalului propriu = Active/CPR</t>
  </si>
  <si>
    <t>Rec (rentabilitatea capitalului investit)  = (EBIT-impozit)/capital investit, unde CI=CPR+DTL+prov</t>
  </si>
  <si>
    <t>descompunere Rec = Rec = R_(EBIT-impozit) · viteza de rotatie a activelor · rata de structura aferenta capitalului investit</t>
  </si>
  <si>
    <t>R_(EBIT-impozit) = (EBIT-impozit)/CA</t>
  </si>
  <si>
    <t>rata de structura aferenta capitalului investit = Active/cap investit</t>
  </si>
  <si>
    <t>efect de levier = ROE-Rec</t>
  </si>
  <si>
    <t>Durate de rotatie</t>
  </si>
  <si>
    <t>Durata de rotatie a activelor totale = (Active totale / CA) · 360</t>
  </si>
  <si>
    <t>Durata de rotatie a activelor imobilizate = (Active imobilizate / CA) · 360</t>
  </si>
  <si>
    <t>Durata de rotatie a activelor curente = (Active curente / CA) · 360</t>
  </si>
  <si>
    <t>Durata de rotatie a stocurilor = (Stocuri / CA) · 360</t>
  </si>
  <si>
    <t>Durata de rotatie a creantelor = (Creante / CA) · 360</t>
  </si>
  <si>
    <t>Durata de rotatie a furnizorilor = (Furnizori / CA) · 360</t>
  </si>
  <si>
    <t>Viteze de rotatie</t>
  </si>
  <si>
    <t>Viteza de rotatie a activelor totale = CA / Active totale</t>
  </si>
  <si>
    <t>Viteza de rotatie a activelor imobilizate = CA / Active imobilizate</t>
  </si>
  <si>
    <t>Viteza de rotatie a activelor curente = CA / Active curente</t>
  </si>
  <si>
    <t>Viteza de rotatie a stocurilor = CA / Stocuri</t>
  </si>
  <si>
    <t>Viteza de rotatie a creantelor = CA / Creante</t>
  </si>
  <si>
    <t>Viteza de rotatie a furnizorilor = CA / Furnizori</t>
  </si>
  <si>
    <t>Coeficient de proportionalitate fata de cifra de afaceri</t>
  </si>
  <si>
    <t>Coeficient al activelor totale</t>
  </si>
  <si>
    <t>Coeficient al activelor imobilizate</t>
  </si>
  <si>
    <t>Coeficient al activelor curente</t>
  </si>
  <si>
    <t>Coeficient al stocurilor</t>
  </si>
  <si>
    <t>Coeficient al creantelor</t>
  </si>
  <si>
    <t>Coeficient al furnizorilor</t>
  </si>
  <si>
    <t>Coeficient al lichiditatilor</t>
  </si>
  <si>
    <t>Rate de lichiditate</t>
  </si>
  <si>
    <t>lichiditatea curenta  = active curente / datorii curente</t>
  </si>
  <si>
    <t>lichiditatea intermediara  = (active curente - stocuri) / datorii curente</t>
  </si>
  <si>
    <t>lichiditatea la vedere  =  lichiditati / datorii curente</t>
  </si>
  <si>
    <t>Rate de solvabilitate si indatorare</t>
  </si>
  <si>
    <t>Rata solvabilității = Active totale/ Datorii curente</t>
  </si>
  <si>
    <t xml:space="preserve">Rata solvabilitatii generale  = Active totale / Datorii totale </t>
  </si>
  <si>
    <t>Rata solvabilitatii patrimoniale: = Capital propriu/capital propriu+datorii pe termen mediu şi lung, peste 1 an</t>
  </si>
  <si>
    <t>Ponderea capitalului propriu in activ = Capital propriu / Activ</t>
  </si>
  <si>
    <t>Levier = Datorii pe termen lung / Capital propriu</t>
  </si>
  <si>
    <t>Grad de indatorare pe termen lung = Datorii pe termen lung / Activ</t>
  </si>
  <si>
    <t>Grad de indatorare pe termen scurt = Datorii pe termen scurt / Activ</t>
  </si>
  <si>
    <t>Grad total de indatorare = Datorii totale / Activ</t>
  </si>
  <si>
    <t>1E -Verificarea încadrării solicitantului în categoria întreprinderilor în dificultate</t>
  </si>
  <si>
    <t>Pentru a fi eligibil, solicitantul trebuie să nu se încadreze în categoria întreprinderilor în dificultate.</t>
  </si>
  <si>
    <t>Verificarea de la pct. 1) se face în mod automat, în baza informațiilor introduse deja. Verificarea de la pct. 1) nu este aplicabilă întreprinderilor ce au mai puțin de 3 ani de la înființare.
Punctele 2) și 3) de mai jos fac obiectul Declarației de eligibilitate, pe propria răspundere.</t>
  </si>
  <si>
    <t>O întreprindere este considerată a fi în dificultate dacă este îndeplinită cel puțin una dintre următoarele condiții*:</t>
  </si>
  <si>
    <t>1)</t>
  </si>
  <si>
    <t>Când mai mult de jumătate din capitalul social subscris a dispărut din cauza pierderilor acumulate.
(Această situație survine atunci când deducerea pierderilor acumulate din rezerve (și din toate celelalte elemente considerate în general ca făcând parte din fondurile proprii ale societății) conduce la un cuantum cumulat negativ care depășește jumătate din capitalul social subscris)</t>
  </si>
  <si>
    <t>i) Se calculează Rezultatul total acumulat al solicitantului</t>
  </si>
  <si>
    <t>Rezultatul reportat</t>
  </si>
  <si>
    <t>Rezultatul exercitiului financiar</t>
  </si>
  <si>
    <t>Rezultatul total acumulat</t>
  </si>
  <si>
    <t>Dacă Rezultatul total acumulat este pozitiv, atunci solicitantul nu se încadrează în categoria întreprinderilor în dificultate.</t>
  </si>
  <si>
    <t>ii) Dacă Rezultatul total acumulat este negativ (Pierdere acumulata), atunci se calculează Pierderile de capital (Pierderea acumulata + Prime de capital + Rezerve din reevaluare + Rezerve)</t>
  </si>
  <si>
    <t>Capital social subscris si varsat</t>
  </si>
  <si>
    <t>Prime de capital</t>
  </si>
  <si>
    <t>Rezerve din reevaluare</t>
  </si>
  <si>
    <t>Rezerve</t>
  </si>
  <si>
    <t>Pierdere de capital (dacă rezultatul este negativ)</t>
  </si>
  <si>
    <t>iii) Dacă valoarea rezultată este pozitivă (&gt;=0), ori valoarea rezultată negativă reprezintă cel mult 50% din Capital social subscris si vărsat, atunci solicitantul nu se încadrează în categoria întreprinderilor în dificultate.</t>
  </si>
  <si>
    <t>Rezultat:</t>
  </si>
  <si>
    <t>2)</t>
  </si>
  <si>
    <t>Atunci când întreprinderea face obiectul unei proceduri colective de insolvență sau îndeplinește criteriile prevăzute de legislația națională pentru inițierea unei proceduri colective de insolvență la cererea creditorilor săi.</t>
  </si>
  <si>
    <t>3)</t>
  </si>
  <si>
    <t>Atunci când întreprinderea a primit ajutor pentru salvare și nu a rambursat încă împrumutul sau nu a încetat garanția sau a primit ajutoare pentru restructurare și face încă obiectul unui plan de restructurare.</t>
  </si>
  <si>
    <t>*) În conformitate  cu prevederile Regulamentului (UE) nr. 651/2014 al Comisiei din 17 iunie 2014 de declarare a anumitor categorii de ajutoare compatibile cu piața internă în aplicarea articolelor 107 și 108 din tratat</t>
  </si>
  <si>
    <t>2B - Planul investitional</t>
  </si>
  <si>
    <t>Completați proiectia financiara privind costurile investitiei pe anii de implementare (an 1…4), in functie de perioada de implementare a proiectului.
Coloana "Total ani" verifica suma costurilor anuale cu costul total al investitiei, conform bugetului. Mesajul "Eroare!" se va afisa daca suma valorilor aferente anilor 1...4 nu este egala cu valoarea din buget a respectivului cost (coloana "Buget cerere")</t>
  </si>
  <si>
    <t>Capitol</t>
  </si>
  <si>
    <t>Denumire</t>
  </si>
  <si>
    <t>Buget cerere</t>
  </si>
  <si>
    <t>Total ani</t>
  </si>
  <si>
    <t>Implementare</t>
  </si>
  <si>
    <t>an 1</t>
  </si>
  <si>
    <t>4.2.1</t>
  </si>
  <si>
    <t>Echipamente tehnologice, utilaje, instalații de lucru, mobilier, echipamente informatice, birotică</t>
  </si>
  <si>
    <t>4.2.2</t>
  </si>
  <si>
    <t xml:space="preserve">Echipamente specifice în scopul obţinerii unei economii de energie, sisteme care utilizează surse regenerabile/ alternative de energie </t>
  </si>
  <si>
    <t>SURSE DE FINANTARE</t>
  </si>
  <si>
    <t>Valoarea totală a cererii de finantare, din care:</t>
  </si>
  <si>
    <t>Valoare TVA neeligibil</t>
  </si>
  <si>
    <t>Contribuţia proprie totală (la cheltuieli eligibile și neeligibile), asigurată din:</t>
  </si>
  <si>
    <t xml:space="preserve">   - Surse proprii</t>
  </si>
  <si>
    <t xml:space="preserve">   - Imprumuturi bancare / surse imprumutate</t>
  </si>
  <si>
    <t>INFORMATII AFERENTE FINANTARII PROIECTULUI DE INVESTITIE</t>
  </si>
  <si>
    <t>RAMBURSARE CREDIT
se va completa cu informatii obtinute de la banca finantatoare</t>
  </si>
  <si>
    <t>Total</t>
  </si>
  <si>
    <t>an 2</t>
  </si>
  <si>
    <t>an 3</t>
  </si>
  <si>
    <t>an 4</t>
  </si>
  <si>
    <t>Imprumuturi bancare</t>
  </si>
  <si>
    <t>Rambursare imprumut bancar</t>
  </si>
  <si>
    <t xml:space="preserve">Dobanzi </t>
  </si>
  <si>
    <t>Rambursare imprumut (incl.dobanzi)</t>
  </si>
  <si>
    <t>INFORMATII AFERENTE INTREGII ENTITATI</t>
  </si>
  <si>
    <t>Sume datorate institutiilor de credit (surse imprumutate) generate de proiectul de investitii</t>
  </si>
  <si>
    <t>Sume datorate institutiilor de credit excluzandu-le pe cele generate de proiectul de investitii</t>
  </si>
  <si>
    <t>Alte datorii (pe termen lung si scurt)</t>
  </si>
  <si>
    <t>Grad indatorare</t>
  </si>
  <si>
    <t xml:space="preserve"> 2A - BUGETUL CERERII DE FINANTARE</t>
  </si>
  <si>
    <t>Nr. crt</t>
  </si>
  <si>
    <t>Denumirea capitolelor şi subcapitolelor</t>
  </si>
  <si>
    <t>Cheltuieli eligibile</t>
  </si>
  <si>
    <t>Total eligibil</t>
  </si>
  <si>
    <t>Cheltuieli neeligibile</t>
  </si>
  <si>
    <t>Total neeligibil</t>
  </si>
  <si>
    <t>TOTAL</t>
  </si>
  <si>
    <t>Cheltuieli eligibile, fără TVA</t>
  </si>
  <si>
    <t>TVA nerecuperabilă, aferentă cheltuielilor eligibile</t>
  </si>
  <si>
    <t>Cheltuieli neeligibile, fără TVA</t>
  </si>
  <si>
    <t xml:space="preserve"> TVA recuperabilă aferentă cheltuielilor eligibile</t>
  </si>
  <si>
    <t>1.1</t>
  </si>
  <si>
    <t>Cheltuieli cu realizarea/achizitia constructiilor</t>
  </si>
  <si>
    <t>1.2</t>
  </si>
  <si>
    <t>Echipamente, inclusiv IT&amp;C, tehnologii software, utilaje, instalatii, tehnologii, dotari independente</t>
  </si>
  <si>
    <t>1.3</t>
  </si>
  <si>
    <t>Mobilier de birou si mobilier specific</t>
  </si>
  <si>
    <t>1.4</t>
  </si>
  <si>
    <t>Terenuri in limita a 10% din valoarea eligibila a proiectului</t>
  </si>
  <si>
    <t>1.5</t>
  </si>
  <si>
    <t>Cheltuieli de sistemizare si amenajare teritoriale a terenurilor, cheltuieli de mediu, cheltuieli cu racordarea la utilitati, cheltuieli privind accesibilitatea</t>
  </si>
  <si>
    <t>1.6</t>
  </si>
  <si>
    <t>Cheltuieli cu consultanta si proiectarea, managementul de proiect, asistenta tehnica, dirigentia de santier</t>
  </si>
  <si>
    <t>1.7</t>
  </si>
  <si>
    <t>Cheltuieli de promovare, participare la targuri, evenimente, conferinte, cheltuieli privind studiile</t>
  </si>
  <si>
    <t>1.8</t>
  </si>
  <si>
    <t>Cheltuieli privind drepturile de proprietate intelectuala</t>
  </si>
  <si>
    <t>1.9</t>
  </si>
  <si>
    <t>Active necorporale referitoare la brevete de inventie, marci de produse, software necesar activitatii</t>
  </si>
  <si>
    <t>2.1</t>
  </si>
  <si>
    <t>Cheltuieli pentru realizare de depozite de echipamente medicale, medicamente, materiale sanitare, destinate interventiei pentru situatii de urgenta</t>
  </si>
  <si>
    <t>3.1</t>
  </si>
  <si>
    <t>Cheltuilei cu reabilitarea/modernizarea/extinderea si/sau realizarea unor depouri pentru mijloacelor de transport din dotare sau pentru cele care urmeaza a se achizitiona</t>
  </si>
  <si>
    <t>3.2</t>
  </si>
  <si>
    <t>Cheltuieli cu achizitia de mijloace de transport persoane si marfuri necesare pentru desfasurarea activitatiilor de transport cu exceptia mijloacelor de transport in regim de taxi sau a celor care sunt destinate activitatiilor administrative ale operatorului  economic ori activitatiilor de transport in interes propriu al acestora</t>
  </si>
  <si>
    <t>3.3</t>
  </si>
  <si>
    <t>Cheltuieli privind dotarea mijloacelor de transport existente cu echipamente si tehnologii care conduc la imbunatatirea confortului/calitatii serviciilor de transport persoane si marfuri prestate</t>
  </si>
  <si>
    <t>TOTAL GENERAL</t>
  </si>
  <si>
    <t>din care C+M</t>
  </si>
  <si>
    <t>Nr crt</t>
  </si>
  <si>
    <t>SURSE DE FINANŢARE</t>
  </si>
  <si>
    <t>Valoare (lei)</t>
  </si>
  <si>
    <t>I</t>
  </si>
  <si>
    <t>Valoarea totală a cererii de finantare, din care :</t>
  </si>
  <si>
    <t>I.a.</t>
  </si>
  <si>
    <t>Valoarea totala neeligibilă, inclusiv TVA aferenta</t>
  </si>
  <si>
    <t>I.b.</t>
  </si>
  <si>
    <t xml:space="preserve">Valoarea totala eligibilă </t>
  </si>
  <si>
    <t>II</t>
  </si>
  <si>
    <t>Contribuţia proprie, din care :</t>
  </si>
  <si>
    <t>II.a.</t>
  </si>
  <si>
    <t xml:space="preserve">Contribuţia solicitantului la cheltuieli eligibile </t>
  </si>
  <si>
    <t>II.b.</t>
  </si>
  <si>
    <t>Contribuţia solicitantului la cheltuieli neeligibile, inclusiv TVA aferenta</t>
  </si>
  <si>
    <t>III</t>
  </si>
  <si>
    <t>ASISTENŢĂ FINANCIARĂ NERAMBURSABILĂ SOLICITATĂ</t>
  </si>
  <si>
    <t xml:space="preserve"> 3A - Proiecții financiare aferente proiectului de investiție în perioada de implementare și operare</t>
  </si>
  <si>
    <t>Completați următoarele tabele cu proiecțiile de venituri și cheltuieli aferente doar activității ce face obiectul proiectului de investiții
Tabel 1 - Proiecții financiare fără adoptarea proiectului de investiție: 
Completați cu veniturile si cheltuielile rezultate din activitatea corespunzătoare proiectului de investiții, în condițiile în care activitatea s-ar desfășura fără investiție. Dacă nu desfășurați deja această activitate (proiectul dezvoltă o activitate nouă) nu mai completați acest tabel.
Tabel 2 - Proiecții financiare cu adoptarea proiectului de investiție
Completați cu veniturile si cheltuielile rezultate din activitatea corespunzătoare proiectului de investiții, în condițiile în care activitatea s-ar desfășura cu investiția realizată. 
Perioada de implementare a investiției poate fi de maximum 4 ani. 
Pe perioada de implementare a investiției se poate presupune că veniturile și costurile sunt egale cu varianta FĂRĂ PROIECT (daca proiectul nu generează venituri si cheltuieli suplimentare in aceasta perioada). 
Dupa perioada de implementare se vor introduce valorile previzionate in planul de afaceri.
Tabel 3 - Proiecții financiare marginale (incrementale)
= Proiecții financiare cu adoptarea proiectului de investiție - Proiecții financiare fără adoptarea proiectului de investiție</t>
  </si>
  <si>
    <t>Tabel 1: PROIECTII FINANCIARE - FARA ADOPTAREA PROIECTULUI DE INVESTITIE</t>
  </si>
  <si>
    <t>Nr</t>
  </si>
  <si>
    <t>Implementare si operare</t>
  </si>
  <si>
    <t>AN Implementare</t>
  </si>
  <si>
    <t>AN 1</t>
  </si>
  <si>
    <t>AN 2</t>
  </si>
  <si>
    <t>AN 3</t>
  </si>
  <si>
    <t>INCASARI DIN ACTIVITATEA DE EXPLOATARE (fara investitie)</t>
  </si>
  <si>
    <t xml:space="preserve">Venituri din exploatare, incl TVA </t>
  </si>
  <si>
    <t>Venituri din vanzari produse</t>
  </si>
  <si>
    <t xml:space="preserve">    cantitate  produse</t>
  </si>
  <si>
    <t xml:space="preserve">    pret unitar (produs)</t>
  </si>
  <si>
    <t>Venituri din prestari servicii</t>
  </si>
  <si>
    <t xml:space="preserve">    cantitatea  de servicii </t>
  </si>
  <si>
    <t xml:space="preserve">    tariful / unitatea de măsură specifică</t>
  </si>
  <si>
    <t>Venituri din vanzari marfuri</t>
  </si>
  <si>
    <t xml:space="preserve">    cantitate marfuri</t>
  </si>
  <si>
    <t xml:space="preserve">    pret unitar (marfa)</t>
  </si>
  <si>
    <t>Total incasari (intrari de lichiditati) din activitatea de exploatare (FARA proiect)</t>
  </si>
  <si>
    <t>PLATI DIN ACTIVITATEA DE EXPLOATARE (fara investitie)</t>
  </si>
  <si>
    <t xml:space="preserve">Cheltuieli de exploatare, incl TVA </t>
  </si>
  <si>
    <t>Cheltuieli cu materiile prime si cu materialele consumabile</t>
  </si>
  <si>
    <t xml:space="preserve">    consum de materii prime </t>
  </si>
  <si>
    <t xml:space="preserve">    pret unitar materii prime</t>
  </si>
  <si>
    <t xml:space="preserve">    consum de materiale consumabile</t>
  </si>
  <si>
    <t xml:space="preserve">    pret unitar materiale consumabile</t>
  </si>
  <si>
    <t xml:space="preserve">Cheltuieli privind marfurile </t>
  </si>
  <si>
    <t xml:space="preserve">    pret unitar marfuri</t>
  </si>
  <si>
    <t>Alte cheltuieli materiale (inclusiv cheltuieli cu prestatii externe)</t>
  </si>
  <si>
    <t xml:space="preserve">Cheltuieli cu energia </t>
  </si>
  <si>
    <t xml:space="preserve">    cantitatea consumatã (unitãți de mãsurã specifice)</t>
  </si>
  <si>
    <t xml:space="preserve">    tariful de furnizare unitar</t>
  </si>
  <si>
    <t>Cheltuieli cu apa</t>
  </si>
  <si>
    <t>Alte cheltuieli din afara (cu utilitati)</t>
  </si>
  <si>
    <t>Total cheltuieli materiale</t>
  </si>
  <si>
    <t>Cheltuieli cu personalul angajat</t>
  </si>
  <si>
    <t xml:space="preserve">    număr de angajați</t>
  </si>
  <si>
    <t xml:space="preserve">    salariul de bază prognozat/luna</t>
  </si>
  <si>
    <t xml:space="preserve">    numar de luni / an </t>
  </si>
  <si>
    <t xml:space="preserve">Cheltuieli cu asigurarile si protectia sociala </t>
  </si>
  <si>
    <t>Cheltuieli de personal</t>
  </si>
  <si>
    <t>Alte cheltuieli de exploatare (prestatii externe, alte impozite, taxe si varsaminte asimilate, alte cheltuieli), din care:</t>
  </si>
  <si>
    <t xml:space="preserve">    Cheltuieli de intretinere si reparatii capitale</t>
  </si>
  <si>
    <t xml:space="preserve">    cantitatea necesară de servicii mentenanța</t>
  </si>
  <si>
    <t>Cheltuieli financiare (Cheltuieli privind dobanzile la imprumuturile contractate pentru activitatea aferenta investitiei)</t>
  </si>
  <si>
    <t>Total plati (iesiri de lichiditati) din activitatea de exploatare  (FARA proiect)</t>
  </si>
  <si>
    <t>Flux de lichiditati brut din activitatea de  exploatare  (FARA proiect)</t>
  </si>
  <si>
    <t>Plati TVA</t>
  </si>
  <si>
    <t>Rambursari TVA</t>
  </si>
  <si>
    <t>Impozit pe profit/venit</t>
  </si>
  <si>
    <t>Plati/incasari pentru impozite si taxe   (FARA proiect)</t>
  </si>
  <si>
    <t>Flux de lichiditati net din activitatea de  exploatare (FARA proiect)</t>
  </si>
  <si>
    <t xml:space="preserve">Disponibil de numerar la inceputul perioadei </t>
  </si>
  <si>
    <t xml:space="preserve">Disponibil de numerar la sfarsitul perioadei </t>
  </si>
  <si>
    <t>Tabel 2: PROIECTII FINANCIARE - CU ADOPTAREA PROIECTULUI DE INVESTITIE</t>
  </si>
  <si>
    <t>INCASARI DIN ACTIVITATEA DE EXPLOATARE  (cu adoptarea investitiei)</t>
  </si>
  <si>
    <t>Total incasari (intrari de lichiditati) din activitatea de exploatare (CU proiect)</t>
  </si>
  <si>
    <t>PLATI DIN ACTIVITATEA DE EXPLOATARE  (cu adoptarea investitiei)</t>
  </si>
  <si>
    <t xml:space="preserve">        - Cheltuieli de intretinere si reparatii capitale</t>
  </si>
  <si>
    <t>Total plati (iesiri de lichiditati) din activitatea de exploatare  (CU proiect)</t>
  </si>
  <si>
    <t>Flux de lichiditati brut din activitatea de  exploatare  (CU proiect)</t>
  </si>
  <si>
    <t>Plati/incasari pentru impozite si taxe   (CU proiect)</t>
  </si>
  <si>
    <t>Flux de lichiditati net din activitatea de  exploatare (CU proiect)</t>
  </si>
  <si>
    <t>ACTIVITATEA DE FINANTARE</t>
  </si>
  <si>
    <t>INCASARI DIN ACTIVITATEA DE FINANTARE</t>
  </si>
  <si>
    <t>Aport la capitalul societatii  (imprumuturi de la actionari/asociati)</t>
  </si>
  <si>
    <t>Credite pentru realizarea investiției</t>
  </si>
  <si>
    <t>Ajutor nerambursabil</t>
  </si>
  <si>
    <t>Total incasari (intrari de lichiditati) din activitatea de finantare</t>
  </si>
  <si>
    <t>PLATI DIN ACTIVITATEA DE FINANTARE</t>
  </si>
  <si>
    <t xml:space="preserve">Rambursari de Credite, din care:  </t>
  </si>
  <si>
    <t>Rate la imprumut - cofinantare la proiect</t>
  </si>
  <si>
    <t>Total plati (iesiri de lichiditati) din activitatea finantare</t>
  </si>
  <si>
    <t>Flux de lichiditati din activitatea de  finantare</t>
  </si>
  <si>
    <t>ACTIVITATEA DE INVESTITII (inclusiv  reinvestirile din perioada post implementare)</t>
  </si>
  <si>
    <t xml:space="preserve">Achizitii de active fixe corporale, incl TVA </t>
  </si>
  <si>
    <t>Achizitii de active fixe necorporale, incl TVA</t>
  </si>
  <si>
    <t>Cresterea investitiilor in curs</t>
  </si>
  <si>
    <t>Total plati din investitii</t>
  </si>
  <si>
    <t>Flux de lichiditati din investitii</t>
  </si>
  <si>
    <t>Flux de lichiditati din investitii si finantare</t>
  </si>
  <si>
    <t>FLUX DE LICHIDITATI TOTAL 
(activitatile de exploatare, finantare, investitii)</t>
  </si>
  <si>
    <t>Tabel 3: PROIECTII FINANCIARE INCREMENTALE (marginale)</t>
  </si>
  <si>
    <t>ACTIVITATEA DE EXPLOATARE</t>
  </si>
  <si>
    <t>INCASARI DIN ACTIVITATEA DE EXPLOATARE  (marginale)</t>
  </si>
  <si>
    <t xml:space="preserve">Venituri din exploatare (marginale), incl TVA </t>
  </si>
  <si>
    <t>Total incasari din activitatea de exploatare (marginale)</t>
  </si>
  <si>
    <t>PLATI DIN ACTIVITATEA DE EXPLOATARE</t>
  </si>
  <si>
    <t xml:space="preserve">Cheltuieli de exploatare (marginale), incl TVA </t>
  </si>
  <si>
    <t>Cheltuieli financiare (Cheltuieli privind dobanzile la imprumuturile contractate pentru proiectul de investitiei)</t>
  </si>
  <si>
    <t>Total iesiri de lichiditati din activitatea de exploatare  (marginale)</t>
  </si>
  <si>
    <t>Flux de lichiditati brut din activitatea de  exploatare (marginale)</t>
  </si>
  <si>
    <t>Plati/incasari pentru impozite si taxe (marginale)</t>
  </si>
  <si>
    <t>Flux de lichiditati net din activitatea de  exploatare (marginale)</t>
  </si>
  <si>
    <t xml:space="preserve"> Ajutor nerambursabil (inclusiv avans)</t>
  </si>
  <si>
    <t>Total incasari din finantare</t>
  </si>
  <si>
    <t>Total plati din finantare</t>
  </si>
  <si>
    <t>Flux de lichiditati din finantare</t>
  </si>
  <si>
    <t>AN 4</t>
  </si>
  <si>
    <t>FLUX DE LICHIDITATI TOTAL 
(exploatare, finantare, investitii)</t>
  </si>
  <si>
    <t>3B - Rentabilitatea investiției</t>
  </si>
  <si>
    <t>In acest tabel sunt inregistrate incasarile si platile aferente activitatilor de exploatare si de investitii generate exclusiv de proiectul de investitie</t>
  </si>
  <si>
    <t>TVA eligibil (nedeductibil) ?
(selecteaza)</t>
  </si>
  <si>
    <t>NU</t>
  </si>
  <si>
    <t>Rata de actualizare financiară</t>
  </si>
  <si>
    <t>Implementare si operare (ani)</t>
  </si>
  <si>
    <t>Total incasari din exploatare</t>
  </si>
  <si>
    <t>Valoare reziduala*</t>
  </si>
  <si>
    <t>Incasari totale</t>
  </si>
  <si>
    <t>Total plati din exploatare</t>
  </si>
  <si>
    <t>Investitie</t>
  </si>
  <si>
    <t>Regularizare TVA</t>
  </si>
  <si>
    <t>Plati totale</t>
  </si>
  <si>
    <t>Flux de numerar net</t>
  </si>
  <si>
    <t>Flux de numerar net actualizat</t>
  </si>
  <si>
    <t>Investitie actualizata</t>
  </si>
  <si>
    <t>VANF (valoarea actualizata neta financiara)</t>
  </si>
  <si>
    <t>RIRF (rata interna de rentabilitate financiara)</t>
  </si>
  <si>
    <t>*) Modalitatea de calcul a valorii reziduale
Valoarea reziduala se va completa in ultimul an de previziune cu marimea fundamentata.
Dacă activele unei operațiuni au o durată de viață care depășește perioada de referință a proiectului, valoarea reziduală a acestora se determină prin calcularea valorii actuale nete a fluxurilor de numerar pentru durata de viață rămasă a operațiunii. Valoarea reziduală a investiției este inclusă în calculul venitului net actualizat al operațiunii numai dacă veniturile depășesc costurile de operare (Sursa: Regulamentul CE 480/2014 - art. 18).</t>
  </si>
  <si>
    <t>Activ</t>
  </si>
  <si>
    <t>Valoare de inventar (lei)</t>
  </si>
  <si>
    <t>Pondere (%)</t>
  </si>
  <si>
    <t>Durata de viata (ani)</t>
  </si>
  <si>
    <t>Durata de viata medie (ani)</t>
  </si>
  <si>
    <t>[completați cu denumirea activului]</t>
  </si>
  <si>
    <t>Fluxuri de numerar</t>
  </si>
  <si>
    <t>Valoare reziduala</t>
  </si>
  <si>
    <t>Total flux de numerar</t>
  </si>
  <si>
    <t>(durata de viață post operare rămasă, în ani)</t>
  </si>
  <si>
    <t>Post operare (ani)</t>
  </si>
  <si>
    <t>An</t>
  </si>
  <si>
    <t>Post operare (continuare)</t>
  </si>
  <si>
    <t>TVA eligibil</t>
  </si>
  <si>
    <t>DA</t>
  </si>
  <si>
    <t>4 - Proiecții financiare la nivelul întreprinderii</t>
  </si>
  <si>
    <t>Tabel 1 - Proiectia fluxului de numerar la nivelul intregii activitati a intreprinderii, cu ajutor nerambursabil, pe perioada de implementare si operare a investitiei</t>
  </si>
  <si>
    <t>Nr. Crt.</t>
  </si>
  <si>
    <t>CATEGORIA</t>
  </si>
  <si>
    <t>Credite pe termen lung, din care</t>
  </si>
  <si>
    <t>2.1.</t>
  </si>
  <si>
    <t>Imprumut pentru realizarea investitiei</t>
  </si>
  <si>
    <t>2.2.</t>
  </si>
  <si>
    <t>Alte Credite pe termen mediu si lung, leasinguri, alte datorii financiare</t>
  </si>
  <si>
    <t>Credite pe termen scurt</t>
  </si>
  <si>
    <t>Total intrari de lichiditati din activitatea de finantare</t>
  </si>
  <si>
    <t xml:space="preserve">Rambursari de Credite pe termen mediu si lung, din care:  </t>
  </si>
  <si>
    <t xml:space="preserve">      Rate la imprumut - cofinantare la proiect</t>
  </si>
  <si>
    <t xml:space="preserve">      Rate la alte credite pe termen mediu si lung, leasinguri, alte datorii financ.</t>
  </si>
  <si>
    <t>Rambursari de credite pe termen scurt</t>
  </si>
  <si>
    <t>Dividende (inclusiv impozitele aferentăe)</t>
  </si>
  <si>
    <t>Total iesiri de lichiditati din activitatea finantare</t>
  </si>
  <si>
    <t>Flux de lichiditati din activitatea de finantare</t>
  </si>
  <si>
    <t>ACTIVITATEA DE INVESTITII</t>
  </si>
  <si>
    <t>INCASARI DIN ACTIVITATEA DE INVESTITII</t>
  </si>
  <si>
    <t>Vanzari de active, incl TVA</t>
  </si>
  <si>
    <t>Total intrari de lichididati din activitatea de investitii</t>
  </si>
  <si>
    <t>PLATI DIN ACTIVITATEA DE INVESTITII (inlcusiv reinvestirile din cadrul proiectului de investitii)</t>
  </si>
  <si>
    <t>Cresterea investitiilor in curs (esalonat cf. Grafic realizare)</t>
  </si>
  <si>
    <t>Total iesiri de lichididati din activitatea de investitii</t>
  </si>
  <si>
    <t>Flux de lichiditati din activitatea de  investitii</t>
  </si>
  <si>
    <t>Flux de lichiditati din activitatea de investitii si finantare</t>
  </si>
  <si>
    <t>INCASARI DIN ACTIVITATEA DE EXPLOATARE</t>
  </si>
  <si>
    <t>Venituri din exploatare, incl TVA</t>
  </si>
  <si>
    <t>Venituri din  vanzari produse (fără TVA)</t>
  </si>
  <si>
    <t>TVA aferentă veniturilor din vanzari produse</t>
  </si>
  <si>
    <t>11.2.</t>
  </si>
  <si>
    <t>Venituri din prestari servicii (fără TVA)</t>
  </si>
  <si>
    <t>TVA aferentă veniturilor din  prestari servicii</t>
  </si>
  <si>
    <t>11.3.</t>
  </si>
  <si>
    <t>Venituri din vanzari marfuri (fără TVA)</t>
  </si>
  <si>
    <t>TVA aferentă veniturilor din vanzari marfuri</t>
  </si>
  <si>
    <t>11.4.</t>
  </si>
  <si>
    <t>Venituri din subventii de exploatare aferente cifrei de afaceri nete</t>
  </si>
  <si>
    <t>Venituri din subventii de exploatare aferentă cifrei de afaceri nete (fără TVA)</t>
  </si>
  <si>
    <t>TVA aferentă din subventii de exploatare aferentăe cifrei de afaceri nete</t>
  </si>
  <si>
    <t>11.6.</t>
  </si>
  <si>
    <t>Venituri din alte activitati</t>
  </si>
  <si>
    <t>Venituri din alte activități (fără TVA)</t>
  </si>
  <si>
    <t>TVA aferentă veniturilor din alte activități</t>
  </si>
  <si>
    <t>11.9.</t>
  </si>
  <si>
    <t>Alte venituri din exploatare (fără TVA)</t>
  </si>
  <si>
    <t>TVA aferentă altor venituri din exploatare</t>
  </si>
  <si>
    <t>12.</t>
  </si>
  <si>
    <t>12.1.</t>
  </si>
  <si>
    <t>12.2.</t>
  </si>
  <si>
    <t>Venituri din investitii si imprumuturi care fac parte din activele imobilizate</t>
  </si>
  <si>
    <t>12.3.</t>
  </si>
  <si>
    <t>Venituri din dobanzi</t>
  </si>
  <si>
    <t>12.4.</t>
  </si>
  <si>
    <t>Alte venituri financiare (din diferente de curs valutar, din sconturi obtinute, din investitii financiare pe termen scurt, din investitii financiare cedate, alte venituri financiare)</t>
  </si>
  <si>
    <t>Total intrari de lichiditati din activitatea de exploatare</t>
  </si>
  <si>
    <t>Cheltuieli din exploatare, incl TVA</t>
  </si>
  <si>
    <t>Cheltuieli cu materiile prime si cu materialele consumabile (fără TVA)</t>
  </si>
  <si>
    <t>TVA aferentă cheltuielilor cu materiile prime si cu materialele consumabile (fără TVA)</t>
  </si>
  <si>
    <t>Alte cheltuieli materiale  (fără TVA)</t>
  </si>
  <si>
    <t>TVA aferentă altor cheltuieli materiale</t>
  </si>
  <si>
    <t>Alte cheltuieli externe (cu energia si apa)</t>
  </si>
  <si>
    <t>Alte cheltuieli externe (cu energia si apa) fără TVA</t>
  </si>
  <si>
    <t>TVA aferentă altor cheltuieli externe (cu energia si apa)</t>
  </si>
  <si>
    <t>Cheltuieli privind marfurile (fără TVA)</t>
  </si>
  <si>
    <t xml:space="preserve">TVA aferentă cheltuielilor privind marfurile </t>
  </si>
  <si>
    <t>Salarii si indemnizatii</t>
  </si>
  <si>
    <t>Alte cheltuieli de exploatare (prestatii externe, alte impozite, taxe si varsaminte asimilate, alte cheltuieli)</t>
  </si>
  <si>
    <t>Ate cheltuieli din exploatare (fără TVA)</t>
  </si>
  <si>
    <t>TVA aferentă altor cheltuieli din exploatare</t>
  </si>
  <si>
    <t>Cheltuielile privind dobanzile</t>
  </si>
  <si>
    <t xml:space="preserve">     La imprumut - cofinantare la proiect</t>
  </si>
  <si>
    <t xml:space="preserve">     La alte credite pe termen mediu si lung, leasinguri, alte datorii financiare</t>
  </si>
  <si>
    <t xml:space="preserve">     La credite pe termen scurt</t>
  </si>
  <si>
    <t>Alte cheltuieli financiare (pierderi din creante legate de participatii, din diferente de curs valutar, din sconturi obtinute, privind investitiile financiare cedate, alte cheltuieli financiare)</t>
  </si>
  <si>
    <t>Total iesiri de lichiditati din activitatea de exploatare</t>
  </si>
  <si>
    <t>Flux de lichiditati brut din activitatea de  exploatare</t>
  </si>
  <si>
    <t>Flux de lichiditati total brut inainte de plati pentru impozit pe profit /cifra de afaceri si ajustare TVA</t>
  </si>
  <si>
    <t>Impozit pe profit/cifra de afaceri</t>
  </si>
  <si>
    <t xml:space="preserve">Plati/incasari pentru impozite si taxe  </t>
  </si>
  <si>
    <t xml:space="preserve">Flux de lichiditati net din activitatea de exploatare </t>
  </si>
  <si>
    <t>FLUX DE LICHIDITATI (CASH FLOW)</t>
  </si>
  <si>
    <t xml:space="preserve">Flux de lichiditati net al perioadei </t>
  </si>
  <si>
    <t>Tabel 2 - Proiectia Contului de profit si pierdere la nivelul intregii activitati a intreprinderii, pe perioada de implementare a proiectului</t>
  </si>
  <si>
    <t>VENITURI DIN EXPLOATARE</t>
  </si>
  <si>
    <t xml:space="preserve">Cifra de afaceri </t>
  </si>
  <si>
    <t>Venituri  din productia realizata pentru scopuri proprii si capitalizata</t>
  </si>
  <si>
    <t>Alte venituri din exploatare (inclusiv veniturile din subventii pentru investitii)</t>
  </si>
  <si>
    <t>Total venituri din exploatare</t>
  </si>
  <si>
    <t>CHELTUIELI DE EXPLOATARE</t>
  </si>
  <si>
    <t xml:space="preserve">Cheltuieli materiale, materii prime, mărfuri – total </t>
  </si>
  <si>
    <t>Cheltuieli cu personalul – total</t>
  </si>
  <si>
    <t>Ajustari de valoare si provizioane, amortizare - total</t>
  </si>
  <si>
    <t>Total cheltuieli de exploatare</t>
  </si>
  <si>
    <t>TOTAL VENITURI FINANCIARE</t>
  </si>
  <si>
    <t>Total venituri financiare</t>
  </si>
  <si>
    <t>CHELTUIELI FINANCIARE DIN CARE</t>
  </si>
  <si>
    <t>Alte cheltuieli financiare</t>
  </si>
  <si>
    <t xml:space="preserve">Total cheltuieli financiare </t>
  </si>
  <si>
    <t>Rezultat curent</t>
  </si>
  <si>
    <t>VENITURI TOTALE</t>
  </si>
  <si>
    <t>CHELTUIELI TOTALE</t>
  </si>
  <si>
    <t>REZULTATUL BRUT AL EXERCIŢIULUI FINANCIAR</t>
  </si>
  <si>
    <t>Impozit *</t>
  </si>
  <si>
    <t>REZULTATUL NET AL EXERCIŢIULUI FINANCIAR</t>
  </si>
  <si>
    <t>* in cazul microintreprinderilor, se va calcula impozitul pe profit sau impozitul pe cifra de afaceri, dupa cum este cazul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</si>
</sst>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0"/>
      <name val="Calibri"/>
      <family val="2"/>
      <charset val="238"/>
    </font>
    <font>
      <sz val="11"/>
      <color theme="1"/>
      <name val="Calibri"/>
      <family val="2"/>
      <charset val="238"/>
      <scheme val="minor"/>
    </font>
    <font>
      <sz val="11"/>
      <color theme="1"/>
      <name val="Calibri"/>
      <family val="2"/>
      <scheme val="minor"/>
    </font>
    <font>
      <sz val="12"/>
      <name val="Times New Roman"/>
      <family val="1"/>
    </font>
    <font>
      <b/>
      <sz val="12"/>
      <name val="Times New Roman"/>
      <family val="1"/>
    </font>
    <font>
      <b/>
      <sz val="10"/>
      <name val="Arial"/>
      <family val="2"/>
    </font>
    <font>
      <sz val="10"/>
      <name val="Times New Roman"/>
      <family val="1"/>
    </font>
    <font>
      <sz val="12"/>
      <name val="Arial"/>
      <family val="2"/>
    </font>
    <font>
      <b/>
      <sz val="12"/>
      <name val="Arial"/>
      <family val="2"/>
    </font>
    <font>
      <b/>
      <sz val="10"/>
      <color theme="1"/>
      <name val="Times New Roman"/>
      <family val="1"/>
    </font>
    <font>
      <sz val="10"/>
      <color theme="1"/>
      <name val="Trebuchet MS"/>
      <family val="2"/>
    </font>
    <font>
      <b/>
      <sz val="10"/>
      <color theme="1"/>
      <name val="Trebuchet MS"/>
      <family val="2"/>
    </font>
    <font>
      <sz val="10"/>
      <color theme="1"/>
      <name val="Times New Roman"/>
      <family val="1"/>
    </font>
    <font>
      <b/>
      <sz val="12"/>
      <color theme="1"/>
      <name val="Times New Roman"/>
      <family val="1"/>
    </font>
    <font>
      <sz val="10"/>
      <name val="Trebuchet MS"/>
      <family val="2"/>
    </font>
    <font>
      <sz val="10"/>
      <color theme="0" tint="-0.249977111117893"/>
      <name val="Times New Roman"/>
      <family val="1"/>
    </font>
    <font>
      <sz val="11"/>
      <color theme="1"/>
      <name val="Calibri"/>
      <family val="2"/>
      <charset val="238"/>
      <scheme val="minor"/>
    </font>
    <font>
      <sz val="11"/>
      <color indexed="8"/>
      <name val="Calibri"/>
      <family val="2"/>
    </font>
    <font>
      <sz val="10"/>
      <color theme="1"/>
      <name val="Arial"/>
      <family val="2"/>
    </font>
    <font>
      <sz val="14"/>
      <name val="Arial"/>
      <family val="2"/>
    </font>
    <font>
      <b/>
      <sz val="11"/>
      <color theme="1"/>
      <name val="Calibri"/>
      <family val="2"/>
      <charset val="238"/>
      <scheme val="minor"/>
    </font>
    <font>
      <sz val="11"/>
      <color theme="1"/>
      <name val="Times New Roman"/>
      <family val="1"/>
    </font>
    <font>
      <b/>
      <sz val="10"/>
      <name val="Trebuchet MS"/>
      <family val="2"/>
    </font>
    <font>
      <b/>
      <sz val="11"/>
      <color theme="1"/>
      <name val="Trebuchet MS"/>
      <family val="2"/>
    </font>
    <font>
      <sz val="9"/>
      <color theme="1"/>
      <name val="Calibri"/>
      <family val="2"/>
      <charset val="238"/>
      <scheme val="minor"/>
    </font>
    <font>
      <b/>
      <sz val="10"/>
      <name val="Calibri"/>
      <family val="2"/>
      <charset val="238"/>
    </font>
    <font>
      <sz val="10"/>
      <name val="Calibri"/>
      <family val="2"/>
      <charset val="238"/>
    </font>
    <font>
      <sz val="10"/>
      <color theme="1"/>
      <name val="Calibri"/>
      <family val="2"/>
      <charset val="238"/>
      <scheme val="minor"/>
    </font>
    <font>
      <sz val="9"/>
      <name val="Times New Roman"/>
      <family val="1"/>
      <charset val="238"/>
    </font>
    <font>
      <sz val="10"/>
      <name val="Calibri"/>
      <family val="2"/>
      <charset val="238"/>
      <scheme val="minor"/>
    </font>
    <font>
      <b/>
      <sz val="10"/>
      <name val="Calibri"/>
      <family val="2"/>
      <charset val="238"/>
      <scheme val="minor"/>
    </font>
    <font>
      <sz val="10"/>
      <color theme="0" tint="-0.249977111117893"/>
      <name val="Calibri"/>
      <family val="2"/>
      <charset val="238"/>
      <scheme val="minor"/>
    </font>
    <font>
      <b/>
      <u/>
      <sz val="10"/>
      <color theme="1"/>
      <name val="Calibri"/>
      <family val="2"/>
      <charset val="238"/>
      <scheme val="minor"/>
    </font>
    <font>
      <u/>
      <sz val="10"/>
      <color theme="1"/>
      <name val="Calibri"/>
      <family val="2"/>
      <charset val="238"/>
      <scheme val="minor"/>
    </font>
    <font>
      <b/>
      <u/>
      <sz val="11"/>
      <color theme="1"/>
      <name val="Calibri"/>
      <family val="2"/>
      <charset val="238"/>
      <scheme val="minor"/>
    </font>
    <font>
      <sz val="10"/>
      <color rgb="FF000000"/>
      <name val="Calibri"/>
      <family val="2"/>
      <charset val="238"/>
      <scheme val="minor"/>
    </font>
    <font>
      <b/>
      <sz val="10"/>
      <color theme="1"/>
      <name val="Calibri"/>
      <family val="2"/>
      <charset val="238"/>
      <scheme val="minor"/>
    </font>
    <font>
      <b/>
      <sz val="11"/>
      <name val="Calibri"/>
      <family val="2"/>
      <charset val="238"/>
      <scheme val="minor"/>
    </font>
    <font>
      <b/>
      <sz val="9"/>
      <color theme="1"/>
      <name val="Calibri"/>
      <family val="2"/>
      <charset val="238"/>
      <scheme val="minor"/>
    </font>
    <font>
      <sz val="9"/>
      <name val="Calibri"/>
      <family val="2"/>
      <charset val="238"/>
      <scheme val="minor"/>
    </font>
    <font>
      <b/>
      <sz val="9"/>
      <name val="Calibri"/>
      <family val="2"/>
      <charset val="238"/>
      <scheme val="minor"/>
    </font>
    <font>
      <b/>
      <sz val="9"/>
      <color rgb="FFFF0000"/>
      <name val="Calibri"/>
      <family val="2"/>
      <charset val="238"/>
      <scheme val="minor"/>
    </font>
    <font>
      <sz val="9"/>
      <color theme="0" tint="-0.249977111117893"/>
      <name val="Calibri"/>
      <family val="2"/>
      <charset val="238"/>
      <scheme val="minor"/>
    </font>
    <font>
      <i/>
      <sz val="10"/>
      <color theme="1"/>
      <name val="Calibri"/>
      <family val="2"/>
      <charset val="238"/>
      <scheme val="minor"/>
    </font>
    <font>
      <i/>
      <sz val="10"/>
      <name val="Calibri"/>
      <family val="2"/>
      <charset val="238"/>
      <scheme val="minor"/>
    </font>
    <font>
      <sz val="10"/>
      <color rgb="FF000000"/>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s>
  <borders count="1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s>
  <cellStyleXfs count="6">
    <xf numFmtId="0" fontId="0" fillId="0" borderId="0"/>
    <xf numFmtId="0" fontId="16" fillId="0" borderId="0"/>
    <xf numFmtId="0" fontId="2" fillId="0" borderId="0"/>
    <xf numFmtId="9" fontId="17" fillId="0" borderId="0"/>
    <xf numFmtId="0" fontId="2" fillId="0" borderId="0"/>
    <xf numFmtId="9" fontId="26" fillId="0" borderId="0"/>
  </cellStyleXfs>
  <cellXfs count="407">
    <xf numFmtId="0" fontId="0" fillId="0" borderId="0" xfId="0"/>
    <xf numFmtId="0" fontId="25" fillId="0" borderId="0" xfId="0" applyFont="1" applyAlignment="1">
      <alignment horizontal="left" vertical="top" wrapText="1"/>
    </xf>
    <xf numFmtId="0" fontId="25" fillId="0" borderId="13" xfId="0" applyFont="1" applyBorder="1" applyAlignment="1">
      <alignment vertical="top"/>
    </xf>
    <xf numFmtId="0" fontId="25" fillId="0" borderId="4" xfId="0" applyFont="1" applyBorder="1" applyAlignment="1">
      <alignment vertical="top"/>
    </xf>
    <xf numFmtId="0" fontId="39" fillId="0" borderId="3" xfId="4" applyFont="1" applyBorder="1" applyAlignment="1">
      <alignment horizontal="right" vertical="top" wrapText="1"/>
    </xf>
    <xf numFmtId="0" fontId="39" fillId="0" borderId="3" xfId="0" applyFont="1" applyBorder="1" applyAlignment="1">
      <alignment horizontal="right" vertical="top" wrapText="1"/>
    </xf>
    <xf numFmtId="4" fontId="39" fillId="0" borderId="3" xfId="4" applyNumberFormat="1" applyFont="1" applyBorder="1" applyAlignment="1">
      <alignment horizontal="left" vertical="top" wrapText="1"/>
    </xf>
    <xf numFmtId="0" fontId="24" fillId="0" borderId="3" xfId="0" applyFont="1" applyBorder="1" applyAlignment="1">
      <alignment horizontal="right" vertical="top"/>
    </xf>
    <xf numFmtId="4" fontId="39" fillId="0" borderId="3" xfId="0" applyNumberFormat="1" applyFont="1" applyBorder="1" applyAlignment="1">
      <alignment vertical="top" wrapText="1"/>
    </xf>
    <xf numFmtId="0" fontId="39" fillId="0" borderId="3" xfId="0" applyFont="1" applyBorder="1" applyAlignment="1">
      <alignment vertical="top"/>
    </xf>
    <xf numFmtId="0" fontId="40" fillId="0" borderId="0" xfId="4" applyFont="1" applyAlignment="1">
      <alignment horizontal="right" vertical="top" wrapText="1"/>
    </xf>
    <xf numFmtId="0" fontId="39" fillId="0" borderId="3" xfId="0" applyFont="1" applyBorder="1" applyAlignment="1">
      <alignment horizontal="right" vertical="top"/>
    </xf>
    <xf numFmtId="0" fontId="40" fillId="0" borderId="3" xfId="0" applyFont="1" applyBorder="1" applyAlignment="1">
      <alignment horizontal="right" vertical="top"/>
    </xf>
    <xf numFmtId="3" fontId="39" fillId="0" borderId="0" xfId="0" applyNumberFormat="1" applyFont="1" applyAlignment="1">
      <alignment horizontal="center" vertical="top"/>
    </xf>
    <xf numFmtId="4" fontId="40" fillId="0" borderId="3" xfId="0" applyNumberFormat="1" applyFont="1" applyBorder="1" applyAlignment="1">
      <alignment vertical="top" wrapText="1"/>
    </xf>
    <xf numFmtId="3" fontId="40" fillId="0" borderId="3" xfId="4" applyNumberFormat="1" applyFont="1" applyBorder="1" applyAlignment="1">
      <alignment horizontal="center" vertical="center" wrapText="1"/>
    </xf>
    <xf numFmtId="0" fontId="14" fillId="0" borderId="0" xfId="0" applyFont="1" applyAlignment="1">
      <alignment vertical="top"/>
    </xf>
    <xf numFmtId="3" fontId="40" fillId="0" borderId="3" xfId="4" applyNumberFormat="1" applyFont="1" applyBorder="1" applyAlignment="1">
      <alignment horizontal="center" vertical="top" wrapText="1"/>
    </xf>
    <xf numFmtId="0" fontId="39" fillId="0" borderId="3" xfId="0" quotePrefix="1" applyFont="1" applyBorder="1" applyAlignment="1">
      <alignment horizontal="right" vertical="top" wrapText="1"/>
    </xf>
    <xf numFmtId="0" fontId="22" fillId="0" borderId="0" xfId="0" applyFont="1" applyAlignment="1">
      <alignment vertical="top"/>
    </xf>
    <xf numFmtId="0" fontId="40" fillId="0" borderId="3" xfId="0" applyFont="1" applyBorder="1" applyAlignment="1">
      <alignment horizontal="right" vertical="top" wrapText="1"/>
    </xf>
    <xf numFmtId="4" fontId="40" fillId="0" borderId="3" xfId="4" applyNumberFormat="1" applyFont="1" applyBorder="1" applyAlignment="1">
      <alignment horizontal="left" vertical="top" wrapText="1"/>
    </xf>
    <xf numFmtId="0" fontId="39" fillId="4" borderId="3" xfId="0" applyFont="1" applyFill="1" applyBorder="1" applyAlignment="1">
      <alignment horizontal="right" vertical="top" wrapText="1"/>
    </xf>
    <xf numFmtId="4" fontId="40" fillId="4" borderId="3" xfId="0" applyNumberFormat="1" applyFont="1" applyFill="1" applyBorder="1" applyAlignment="1">
      <alignment vertical="top" wrapText="1"/>
    </xf>
    <xf numFmtId="3" fontId="39" fillId="0" borderId="3" xfId="4" applyNumberFormat="1" applyFont="1" applyBorder="1" applyAlignment="1">
      <alignment vertical="top" wrapText="1"/>
    </xf>
    <xf numFmtId="0" fontId="40" fillId="0" borderId="3" xfId="4" applyFont="1" applyBorder="1" applyAlignment="1">
      <alignment horizontal="right" vertical="top" wrapText="1"/>
    </xf>
    <xf numFmtId="3" fontId="40" fillId="0" borderId="3" xfId="4" applyNumberFormat="1" applyFont="1" applyBorder="1" applyAlignment="1">
      <alignment horizontal="left" vertical="top" wrapText="1"/>
    </xf>
    <xf numFmtId="3" fontId="40" fillId="0" borderId="4" xfId="4" applyNumberFormat="1" applyFont="1" applyBorder="1" applyAlignment="1">
      <alignment vertical="top" wrapText="1"/>
    </xf>
    <xf numFmtId="0" fontId="39" fillId="0" borderId="0" xfId="0" applyFont="1" applyAlignment="1">
      <alignment horizontal="right" vertical="top"/>
    </xf>
    <xf numFmtId="4" fontId="27" fillId="0" borderId="0" xfId="0" applyNumberFormat="1" applyFont="1" applyAlignment="1">
      <alignment horizontal="right" vertical="top"/>
    </xf>
    <xf numFmtId="4" fontId="27" fillId="0" borderId="0" xfId="0" applyNumberFormat="1" applyFont="1" applyAlignment="1">
      <alignment vertical="top"/>
    </xf>
    <xf numFmtId="0" fontId="27" fillId="0" borderId="0" xfId="0" applyFont="1" applyAlignment="1">
      <alignment vertical="top"/>
    </xf>
    <xf numFmtId="0" fontId="33" fillId="0" borderId="0" xfId="0" applyFont="1" applyAlignment="1">
      <alignment horizontal="left" vertical="top" wrapText="1"/>
    </xf>
    <xf numFmtId="3" fontId="29" fillId="0" borderId="3" xfId="0" applyNumberFormat="1" applyFont="1" applyBorder="1" applyAlignment="1">
      <alignment vertical="top" wrapText="1"/>
    </xf>
    <xf numFmtId="4" fontId="29" fillId="2" borderId="3" xfId="0" applyNumberFormat="1" applyFont="1" applyFill="1" applyBorder="1" applyAlignment="1" applyProtection="1">
      <alignment horizontal="right" vertical="top"/>
      <protection locked="0"/>
    </xf>
    <xf numFmtId="3" fontId="30" fillId="0" borderId="3" xfId="0" applyNumberFormat="1" applyFont="1" applyBorder="1" applyAlignment="1">
      <alignment vertical="top" wrapText="1"/>
    </xf>
    <xf numFmtId="4" fontId="30" fillId="0" borderId="0" xfId="0" applyNumberFormat="1" applyFont="1" applyAlignment="1">
      <alignment vertical="top"/>
    </xf>
    <xf numFmtId="4" fontId="29" fillId="0" borderId="0" xfId="0" applyNumberFormat="1" applyFont="1" applyAlignment="1">
      <alignment vertical="top"/>
    </xf>
    <xf numFmtId="4" fontId="30" fillId="0" borderId="3" xfId="0" applyNumberFormat="1" applyFont="1" applyBorder="1" applyAlignment="1">
      <alignment vertical="top"/>
    </xf>
    <xf numFmtId="4" fontId="29" fillId="0" borderId="3" xfId="0" applyNumberFormat="1" applyFont="1" applyBorder="1" applyAlignment="1">
      <alignment horizontal="right" vertical="top"/>
    </xf>
    <xf numFmtId="3" fontId="27" fillId="0" borderId="3" xfId="0" applyNumberFormat="1" applyFont="1" applyBorder="1" applyAlignment="1">
      <alignment vertical="top" wrapText="1"/>
    </xf>
    <xf numFmtId="4" fontId="30" fillId="2" borderId="3" xfId="0" applyNumberFormat="1" applyFont="1" applyFill="1" applyBorder="1" applyAlignment="1" applyProtection="1">
      <alignment horizontal="right" vertical="top"/>
      <protection locked="0"/>
    </xf>
    <xf numFmtId="4" fontId="30" fillId="0" borderId="3" xfId="0" applyNumberFormat="1" applyFont="1" applyBorder="1" applyAlignment="1">
      <alignment horizontal="center" vertical="top"/>
    </xf>
    <xf numFmtId="0" fontId="18" fillId="0" borderId="0" xfId="0" applyFont="1" applyAlignment="1">
      <alignment vertical="top"/>
    </xf>
    <xf numFmtId="4" fontId="29" fillId="2" borderId="3" xfId="0" applyNumberFormat="1" applyFont="1" applyFill="1" applyBorder="1" applyAlignment="1" applyProtection="1">
      <alignment vertical="top"/>
      <protection locked="0"/>
    </xf>
    <xf numFmtId="4" fontId="29" fillId="0" borderId="3" xfId="0" applyNumberFormat="1" applyFont="1" applyBorder="1" applyAlignment="1">
      <alignment vertical="top"/>
    </xf>
    <xf numFmtId="4" fontId="30" fillId="2" borderId="3" xfId="0" applyNumberFormat="1" applyFont="1" applyFill="1" applyBorder="1" applyAlignment="1" applyProtection="1">
      <alignment vertical="top"/>
      <protection locked="0"/>
    </xf>
    <xf numFmtId="3" fontId="40" fillId="0" borderId="3" xfId="0" applyNumberFormat="1" applyFont="1" applyBorder="1" applyAlignment="1">
      <alignment vertical="top" wrapText="1"/>
    </xf>
    <xf numFmtId="10" fontId="39" fillId="0" borderId="3" xfId="0" applyNumberFormat="1" applyFont="1" applyBorder="1" applyAlignment="1">
      <alignment vertical="top" wrapText="1"/>
    </xf>
    <xf numFmtId="10" fontId="40" fillId="0" borderId="3" xfId="0" applyNumberFormat="1" applyFont="1" applyBorder="1" applyAlignment="1">
      <alignment vertical="top" wrapText="1"/>
    </xf>
    <xf numFmtId="0" fontId="40" fillId="0" borderId="0" xfId="0" applyFont="1" applyAlignment="1">
      <alignment vertical="top"/>
    </xf>
    <xf numFmtId="0" fontId="30" fillId="0" borderId="0" xfId="0" applyFont="1" applyAlignment="1">
      <alignment vertical="top"/>
    </xf>
    <xf numFmtId="0" fontId="4" fillId="0" borderId="0" xfId="0" applyFont="1" applyAlignment="1">
      <alignment vertical="top"/>
    </xf>
    <xf numFmtId="0" fontId="39" fillId="0" borderId="3" xfId="0" applyFont="1" applyBorder="1" applyAlignment="1">
      <alignment vertical="top" wrapText="1"/>
    </xf>
    <xf numFmtId="3" fontId="39" fillId="0" borderId="3" xfId="0" applyNumberFormat="1" applyFont="1" applyBorder="1" applyAlignment="1">
      <alignment vertical="top" wrapText="1"/>
    </xf>
    <xf numFmtId="3" fontId="40" fillId="0" borderId="0" xfId="0" applyNumberFormat="1" applyFont="1" applyAlignment="1">
      <alignment vertical="top" wrapText="1"/>
    </xf>
    <xf numFmtId="10" fontId="40" fillId="0" borderId="0" xfId="0" applyNumberFormat="1" applyFont="1" applyAlignment="1">
      <alignment vertical="top" wrapText="1"/>
    </xf>
    <xf numFmtId="0" fontId="39" fillId="0" borderId="3" xfId="0" applyFont="1" applyBorder="1" applyAlignment="1">
      <alignment horizontal="left" vertical="top"/>
    </xf>
    <xf numFmtId="0" fontId="42" fillId="0" borderId="0" xfId="0" applyFont="1" applyAlignment="1">
      <alignment vertical="top" wrapText="1"/>
    </xf>
    <xf numFmtId="0" fontId="42" fillId="0" borderId="0" xfId="0" applyFont="1" applyAlignment="1">
      <alignment vertical="top"/>
    </xf>
    <xf numFmtId="0" fontId="31" fillId="0" borderId="0" xfId="0" applyFont="1" applyAlignment="1">
      <alignment vertical="top"/>
    </xf>
    <xf numFmtId="0" fontId="15" fillId="0" borderId="0" xfId="0" applyFont="1" applyAlignment="1">
      <alignment vertical="top"/>
    </xf>
    <xf numFmtId="10" fontId="39" fillId="0" borderId="0" xfId="0" applyNumberFormat="1" applyFont="1" applyAlignment="1">
      <alignment vertical="top" wrapText="1"/>
    </xf>
    <xf numFmtId="0" fontId="7" fillId="0" borderId="0" xfId="0" applyFont="1" applyAlignment="1">
      <alignment vertical="top"/>
    </xf>
    <xf numFmtId="0" fontId="19" fillId="0" borderId="0" xfId="0" applyFont="1" applyAlignment="1">
      <alignment vertical="top"/>
    </xf>
    <xf numFmtId="10" fontId="29" fillId="0" borderId="3" xfId="0" applyNumberFormat="1" applyFont="1" applyBorder="1" applyAlignment="1">
      <alignment vertical="top"/>
    </xf>
    <xf numFmtId="3" fontId="29" fillId="0" borderId="0" xfId="0" applyNumberFormat="1" applyFont="1" applyAlignment="1">
      <alignment horizontal="right" vertical="top"/>
    </xf>
    <xf numFmtId="3" fontId="29" fillId="0" borderId="3" xfId="0" applyNumberFormat="1" applyFont="1" applyBorder="1" applyAlignment="1">
      <alignment vertical="top"/>
    </xf>
    <xf numFmtId="0" fontId="5" fillId="0" borderId="0" xfId="0" applyFont="1" applyAlignment="1">
      <alignment vertical="top"/>
    </xf>
    <xf numFmtId="0" fontId="29" fillId="3" borderId="3" xfId="0" applyFont="1" applyFill="1" applyBorder="1" applyAlignment="1">
      <alignment vertical="top" wrapText="1"/>
    </xf>
    <xf numFmtId="3" fontId="29" fillId="3" borderId="3" xfId="0" applyNumberFormat="1" applyFont="1" applyFill="1" applyBorder="1" applyAlignment="1">
      <alignment vertical="top"/>
    </xf>
    <xf numFmtId="0" fontId="29" fillId="0" borderId="3" xfId="0" applyFont="1" applyBorder="1" applyAlignment="1">
      <alignment vertical="top" wrapText="1"/>
    </xf>
    <xf numFmtId="0" fontId="29" fillId="0" borderId="3" xfId="0" applyFont="1" applyBorder="1" applyAlignment="1">
      <alignment vertical="top"/>
    </xf>
    <xf numFmtId="9" fontId="29" fillId="0" borderId="3" xfId="0" applyNumberFormat="1" applyFont="1" applyBorder="1" applyAlignment="1">
      <alignment vertical="top"/>
    </xf>
    <xf numFmtId="9" fontId="30" fillId="0" borderId="3" xfId="0" applyNumberFormat="1" applyFont="1" applyBorder="1" applyAlignment="1">
      <alignment vertical="top"/>
    </xf>
    <xf numFmtId="1" fontId="29" fillId="0" borderId="3" xfId="0" applyNumberFormat="1" applyFont="1" applyBorder="1" applyAlignment="1">
      <alignment vertical="top"/>
    </xf>
    <xf numFmtId="0" fontId="8" fillId="0" borderId="0" xfId="0" applyFont="1" applyAlignment="1">
      <alignment vertical="top"/>
    </xf>
    <xf numFmtId="0" fontId="30" fillId="0" borderId="0" xfId="0" applyFont="1" applyAlignment="1">
      <alignment vertical="top" wrapText="1"/>
    </xf>
    <xf numFmtId="0" fontId="29" fillId="0" borderId="1" xfId="0" applyFont="1" applyBorder="1" applyAlignment="1">
      <alignment vertical="top" wrapText="1"/>
    </xf>
    <xf numFmtId="9" fontId="29" fillId="0" borderId="1" xfId="0" applyNumberFormat="1" applyFont="1" applyBorder="1" applyAlignment="1">
      <alignment vertical="top"/>
    </xf>
    <xf numFmtId="2" fontId="29" fillId="0" borderId="3" xfId="0" applyNumberFormat="1" applyFont="1" applyBorder="1" applyAlignment="1">
      <alignment vertical="top"/>
    </xf>
    <xf numFmtId="0" fontId="0" fillId="0" borderId="0" xfId="0" applyAlignment="1">
      <alignment horizontal="left" vertical="top"/>
    </xf>
    <xf numFmtId="0" fontId="0" fillId="0" borderId="6" xfId="0" applyBorder="1" applyAlignment="1">
      <alignment vertical="top"/>
    </xf>
    <xf numFmtId="0" fontId="0" fillId="0" borderId="1" xfId="0" applyBorder="1" applyAlignment="1">
      <alignment vertical="top"/>
    </xf>
    <xf numFmtId="0" fontId="0" fillId="0" borderId="9" xfId="0" applyBorder="1" applyAlignment="1">
      <alignment vertical="top"/>
    </xf>
    <xf numFmtId="0" fontId="27" fillId="0" borderId="3" xfId="1" applyFont="1" applyBorder="1" applyAlignment="1">
      <alignment vertical="top" wrapText="1"/>
    </xf>
    <xf numFmtId="0" fontId="24" fillId="0" borderId="0" xfId="1" applyFont="1" applyAlignment="1">
      <alignment vertical="top"/>
    </xf>
    <xf numFmtId="0" fontId="21" fillId="0" borderId="0" xfId="1" applyFont="1" applyAlignment="1">
      <alignment vertical="top"/>
    </xf>
    <xf numFmtId="0" fontId="36" fillId="0" borderId="3" xfId="1" applyFont="1" applyBorder="1" applyAlignment="1">
      <alignment horizontal="center" vertical="top" wrapText="1"/>
    </xf>
    <xf numFmtId="0" fontId="36" fillId="0" borderId="3" xfId="1" applyFont="1" applyBorder="1" applyAlignment="1">
      <alignment vertical="top" wrapText="1"/>
    </xf>
    <xf numFmtId="4" fontId="10" fillId="0" borderId="0" xfId="0" applyNumberFormat="1" applyFont="1" applyAlignment="1">
      <alignment horizontal="center" vertical="top"/>
    </xf>
    <xf numFmtId="4" fontId="14" fillId="0" borderId="0" xfId="0" applyNumberFormat="1" applyFont="1" applyAlignment="1">
      <alignment vertical="top"/>
    </xf>
    <xf numFmtId="4" fontId="11" fillId="0" borderId="0" xfId="0" applyNumberFormat="1" applyFont="1" applyAlignment="1">
      <alignment horizontal="center" vertical="top"/>
    </xf>
    <xf numFmtId="4" fontId="0" fillId="0" borderId="0" xfId="0" applyNumberFormat="1" applyAlignment="1">
      <alignment vertical="top"/>
    </xf>
    <xf numFmtId="0" fontId="28" fillId="0" borderId="0" xfId="0" applyFont="1" applyAlignment="1">
      <alignment vertical="top"/>
    </xf>
    <xf numFmtId="0" fontId="24" fillId="0" borderId="0" xfId="0" applyFont="1" applyAlignment="1">
      <alignment vertical="top" wrapText="1"/>
    </xf>
    <xf numFmtId="3" fontId="24" fillId="0" borderId="0" xfId="0" applyNumberFormat="1" applyFont="1" applyAlignment="1">
      <alignment vertical="top" wrapText="1"/>
    </xf>
    <xf numFmtId="3" fontId="39" fillId="0" borderId="0" xfId="0" applyNumberFormat="1" applyFont="1" applyAlignment="1">
      <alignment vertical="top" wrapText="1"/>
    </xf>
    <xf numFmtId="3" fontId="24" fillId="0" borderId="0" xfId="0" applyNumberFormat="1" applyFont="1" applyAlignment="1">
      <alignment horizontal="left" vertical="top" wrapText="1"/>
    </xf>
    <xf numFmtId="3" fontId="27" fillId="0" borderId="0" xfId="0" applyNumberFormat="1" applyFont="1" applyAlignment="1">
      <alignment vertical="top"/>
    </xf>
    <xf numFmtId="3" fontId="38" fillId="0" borderId="0" xfId="0" applyNumberFormat="1" applyFont="1" applyAlignment="1">
      <alignment vertical="top"/>
    </xf>
    <xf numFmtId="3" fontId="36" fillId="0" borderId="0" xfId="0" applyNumberFormat="1" applyFont="1" applyAlignment="1">
      <alignment vertical="top"/>
    </xf>
    <xf numFmtId="0" fontId="40" fillId="0" borderId="0" xfId="0" applyFont="1" applyAlignment="1">
      <alignment vertical="top" wrapText="1"/>
    </xf>
    <xf numFmtId="0" fontId="1" fillId="0" borderId="0" xfId="1" applyFont="1" applyAlignment="1">
      <alignment vertical="top"/>
    </xf>
    <xf numFmtId="3" fontId="30" fillId="0" borderId="3" xfId="0" applyNumberFormat="1" applyFont="1" applyBorder="1" applyAlignment="1">
      <alignment vertical="top"/>
    </xf>
    <xf numFmtId="0" fontId="35" fillId="0" borderId="3" xfId="0" applyFont="1" applyBorder="1" applyAlignment="1">
      <alignment vertical="top" wrapText="1"/>
    </xf>
    <xf numFmtId="4" fontId="29" fillId="0" borderId="0" xfId="0" applyNumberFormat="1" applyFont="1" applyAlignment="1">
      <alignment vertical="top" wrapText="1"/>
    </xf>
    <xf numFmtId="0" fontId="29" fillId="0" borderId="0" xfId="0" applyFont="1" applyAlignment="1">
      <alignment vertical="top" wrapText="1"/>
    </xf>
    <xf numFmtId="9" fontId="29" fillId="0" borderId="0" xfId="0" applyNumberFormat="1" applyFont="1" applyAlignment="1">
      <alignment vertical="top"/>
    </xf>
    <xf numFmtId="0" fontId="30" fillId="0" borderId="3" xfId="0" applyFont="1" applyBorder="1" applyAlignment="1">
      <alignment vertical="top"/>
    </xf>
    <xf numFmtId="3" fontId="29" fillId="0" borderId="3" xfId="0" applyNumberFormat="1" applyFont="1" applyBorder="1" applyAlignment="1">
      <alignment horizontal="right" vertical="top"/>
    </xf>
    <xf numFmtId="0" fontId="29" fillId="0" borderId="3" xfId="1" applyFont="1" applyBorder="1" applyAlignment="1">
      <alignment vertical="top" wrapText="1"/>
    </xf>
    <xf numFmtId="0" fontId="29" fillId="4" borderId="3" xfId="0" applyFont="1" applyFill="1" applyBorder="1" applyAlignment="1">
      <alignment vertical="top" wrapText="1"/>
    </xf>
    <xf numFmtId="0" fontId="20" fillId="0" borderId="0" xfId="1" applyFont="1" applyAlignment="1">
      <alignment horizontal="left" vertical="top" wrapText="1"/>
    </xf>
    <xf numFmtId="0" fontId="27" fillId="0" borderId="0" xfId="1" applyFont="1" applyAlignment="1">
      <alignment vertical="top" wrapText="1"/>
    </xf>
    <xf numFmtId="0" fontId="36" fillId="0" borderId="0" xfId="1" applyFont="1" applyAlignment="1">
      <alignment vertical="top" wrapText="1"/>
    </xf>
    <xf numFmtId="0" fontId="21" fillId="0" borderId="0" xfId="1" applyFont="1" applyAlignment="1">
      <alignment vertical="top" wrapText="1"/>
    </xf>
    <xf numFmtId="0" fontId="20" fillId="0" borderId="0" xfId="1" applyFont="1" applyAlignment="1">
      <alignment vertical="top"/>
    </xf>
    <xf numFmtId="49" fontId="29" fillId="0" borderId="3" xfId="1" applyNumberFormat="1" applyFont="1" applyBorder="1" applyAlignment="1">
      <alignment vertical="top"/>
    </xf>
    <xf numFmtId="49" fontId="29" fillId="0" borderId="7" xfId="1" applyNumberFormat="1" applyFont="1" applyBorder="1" applyAlignment="1">
      <alignment vertical="top"/>
    </xf>
    <xf numFmtId="49" fontId="27" fillId="0" borderId="0" xfId="1" applyNumberFormat="1" applyFont="1" applyAlignment="1">
      <alignment vertical="top"/>
    </xf>
    <xf numFmtId="49" fontId="21" fillId="0" borderId="0" xfId="1" applyNumberFormat="1" applyFont="1" applyAlignment="1">
      <alignment vertical="top"/>
    </xf>
    <xf numFmtId="49" fontId="27" fillId="0" borderId="3" xfId="1" applyNumberFormat="1" applyFont="1" applyBorder="1" applyAlignment="1">
      <alignment horizontal="left" vertical="top"/>
    </xf>
    <xf numFmtId="0" fontId="30" fillId="0" borderId="3" xfId="1" applyFont="1" applyBorder="1" applyAlignment="1">
      <alignment horizontal="right" vertical="top" wrapText="1"/>
    </xf>
    <xf numFmtId="0" fontId="29" fillId="0" borderId="7" xfId="1" applyFont="1" applyBorder="1" applyAlignment="1">
      <alignment horizontal="right" vertical="top" wrapText="1"/>
    </xf>
    <xf numFmtId="0" fontId="36" fillId="0" borderId="0" xfId="1" applyFont="1" applyAlignment="1">
      <alignment horizontal="right" vertical="top"/>
    </xf>
    <xf numFmtId="3" fontId="39" fillId="2" borderId="3" xfId="0" applyNumberFormat="1" applyFont="1" applyFill="1" applyBorder="1" applyAlignment="1" applyProtection="1">
      <alignment horizontal="right" vertical="top"/>
      <protection locked="0"/>
    </xf>
    <xf numFmtId="3" fontId="39" fillId="0" borderId="3" xfId="0" applyNumberFormat="1" applyFont="1" applyBorder="1" applyAlignment="1">
      <alignment horizontal="right" vertical="top"/>
    </xf>
    <xf numFmtId="3" fontId="40" fillId="0" borderId="3" xfId="0" applyNumberFormat="1" applyFont="1" applyBorder="1" applyAlignment="1">
      <alignment horizontal="right" vertical="top"/>
    </xf>
    <xf numFmtId="3" fontId="40" fillId="0" borderId="0" xfId="0" applyNumberFormat="1" applyFont="1" applyAlignment="1">
      <alignment horizontal="right" vertical="top"/>
    </xf>
    <xf numFmtId="0" fontId="20" fillId="0" borderId="0" xfId="1" applyFont="1" applyAlignment="1">
      <alignment horizontal="right" vertical="top"/>
    </xf>
    <xf numFmtId="4" fontId="29" fillId="2" borderId="3" xfId="1" applyNumberFormat="1" applyFont="1" applyFill="1" applyBorder="1" applyAlignment="1" applyProtection="1">
      <alignment horizontal="right" vertical="top"/>
      <protection locked="0"/>
    </xf>
    <xf numFmtId="4" fontId="29" fillId="0" borderId="3" xfId="1" applyNumberFormat="1" applyFont="1" applyBorder="1" applyAlignment="1">
      <alignment horizontal="right" vertical="top"/>
    </xf>
    <xf numFmtId="4" fontId="30" fillId="0" borderId="3" xfId="1" applyNumberFormat="1" applyFont="1" applyBorder="1" applyAlignment="1">
      <alignment horizontal="right" vertical="top"/>
    </xf>
    <xf numFmtId="4" fontId="29" fillId="2" borderId="7" xfId="1" applyNumberFormat="1" applyFont="1" applyFill="1" applyBorder="1" applyAlignment="1" applyProtection="1">
      <alignment horizontal="right" vertical="top"/>
      <protection locked="0"/>
    </xf>
    <xf numFmtId="4" fontId="29" fillId="0" borderId="7" xfId="1" applyNumberFormat="1" applyFont="1" applyBorder="1" applyAlignment="1">
      <alignment horizontal="right" vertical="top"/>
    </xf>
    <xf numFmtId="4" fontId="30" fillId="0" borderId="7" xfId="1" applyNumberFormat="1" applyFont="1" applyBorder="1" applyAlignment="1">
      <alignment horizontal="right" vertical="top"/>
    </xf>
    <xf numFmtId="4" fontId="27" fillId="0" borderId="0" xfId="1" applyNumberFormat="1" applyFont="1" applyAlignment="1">
      <alignment horizontal="right" vertical="top"/>
    </xf>
    <xf numFmtId="4" fontId="27" fillId="6" borderId="3" xfId="1" applyNumberFormat="1" applyFont="1" applyFill="1" applyBorder="1" applyAlignment="1" applyProtection="1">
      <alignment horizontal="right" vertical="top"/>
      <protection locked="0"/>
    </xf>
    <xf numFmtId="4" fontId="21" fillId="0" borderId="0" xfId="1" applyNumberFormat="1" applyFont="1" applyAlignment="1">
      <alignment horizontal="right" vertical="top"/>
    </xf>
    <xf numFmtId="4" fontId="12" fillId="0" borderId="0" xfId="1" applyNumberFormat="1" applyFont="1" applyAlignment="1">
      <alignment horizontal="right" vertical="top"/>
    </xf>
    <xf numFmtId="0" fontId="36" fillId="0" borderId="0" xfId="1" applyFont="1" applyAlignment="1">
      <alignment horizontal="left" vertical="top" wrapText="1"/>
    </xf>
    <xf numFmtId="4" fontId="40" fillId="0" borderId="0" xfId="0" applyNumberFormat="1" applyFont="1" applyAlignment="1">
      <alignment horizontal="left" vertical="top" wrapText="1"/>
    </xf>
    <xf numFmtId="4" fontId="39" fillId="0" borderId="0" xfId="0" applyNumberFormat="1" applyFont="1" applyAlignment="1">
      <alignment vertical="top" wrapText="1"/>
    </xf>
    <xf numFmtId="0" fontId="40" fillId="0" borderId="10" xfId="0" applyFont="1" applyBorder="1" applyAlignment="1">
      <alignment horizontal="right" vertical="top"/>
    </xf>
    <xf numFmtId="4" fontId="40" fillId="0" borderId="10" xfId="0" applyNumberFormat="1" applyFont="1" applyBorder="1" applyAlignment="1">
      <alignment vertical="top" wrapText="1"/>
    </xf>
    <xf numFmtId="3" fontId="40" fillId="0" borderId="10" xfId="0" applyNumberFormat="1" applyFont="1" applyBorder="1" applyAlignment="1">
      <alignment horizontal="right" vertical="top"/>
    </xf>
    <xf numFmtId="0" fontId="38" fillId="0" borderId="3" xfId="0" applyFont="1" applyBorder="1" applyAlignment="1">
      <alignment horizontal="right" vertical="top"/>
    </xf>
    <xf numFmtId="4" fontId="40" fillId="0" borderId="0" xfId="0" applyNumberFormat="1" applyFont="1" applyAlignment="1">
      <alignment vertical="top"/>
    </xf>
    <xf numFmtId="4" fontId="5" fillId="0" borderId="0" xfId="0" applyNumberFormat="1" applyFont="1" applyAlignment="1">
      <alignment vertical="top"/>
    </xf>
    <xf numFmtId="4" fontId="40" fillId="0" borderId="3" xfId="0" applyNumberFormat="1" applyFont="1" applyBorder="1" applyAlignment="1">
      <alignment vertical="top"/>
    </xf>
    <xf numFmtId="3" fontId="24" fillId="2" borderId="3" xfId="0" applyNumberFormat="1" applyFont="1" applyFill="1" applyBorder="1" applyAlignment="1" applyProtection="1">
      <alignment vertical="top" wrapText="1"/>
      <protection locked="0"/>
    </xf>
    <xf numFmtId="9" fontId="24" fillId="0" borderId="3" xfId="5" applyFont="1" applyBorder="1" applyAlignment="1">
      <alignment vertical="top" wrapText="1"/>
    </xf>
    <xf numFmtId="3" fontId="24" fillId="0" borderId="3" xfId="0" applyNumberFormat="1" applyFont="1" applyBorder="1" applyAlignment="1">
      <alignment vertical="top" wrapText="1"/>
    </xf>
    <xf numFmtId="0" fontId="38" fillId="0" borderId="3" xfId="0" applyFont="1" applyBorder="1" applyAlignment="1">
      <alignment vertical="top" wrapText="1"/>
    </xf>
    <xf numFmtId="3" fontId="38" fillId="0" borderId="3" xfId="0" applyNumberFormat="1" applyFont="1" applyBorder="1" applyAlignment="1">
      <alignment vertical="top"/>
    </xf>
    <xf numFmtId="9" fontId="38" fillId="0" borderId="3" xfId="5" applyFont="1" applyBorder="1" applyAlignment="1">
      <alignment vertical="top" wrapText="1"/>
    </xf>
    <xf numFmtId="0" fontId="24" fillId="2" borderId="3" xfId="0" applyFont="1" applyFill="1" applyBorder="1" applyAlignment="1" applyProtection="1">
      <alignment vertical="top" wrapText="1"/>
      <protection locked="0"/>
    </xf>
    <xf numFmtId="3" fontId="40" fillId="5" borderId="10" xfId="0" applyNumberFormat="1" applyFont="1" applyFill="1" applyBorder="1" applyAlignment="1">
      <alignment horizontal="center" vertical="top"/>
    </xf>
    <xf numFmtId="3" fontId="24" fillId="0" borderId="3" xfId="0" applyNumberFormat="1" applyFont="1" applyBorder="1" applyAlignment="1">
      <alignment vertical="top"/>
    </xf>
    <xf numFmtId="0" fontId="24" fillId="0" borderId="3" xfId="0" applyFont="1" applyBorder="1" applyAlignment="1">
      <alignment horizontal="right" vertical="top" wrapText="1"/>
    </xf>
    <xf numFmtId="0" fontId="24" fillId="0" borderId="3" xfId="0" applyFont="1" applyBorder="1" applyAlignment="1">
      <alignment vertical="top" wrapText="1"/>
    </xf>
    <xf numFmtId="3" fontId="40" fillId="0" borderId="3" xfId="4" applyNumberFormat="1" applyFont="1" applyBorder="1" applyAlignment="1">
      <alignment horizontal="right" vertical="top"/>
    </xf>
    <xf numFmtId="3" fontId="39" fillId="0" borderId="3" xfId="0" applyNumberFormat="1" applyFont="1" applyBorder="1" applyAlignment="1">
      <alignment horizontal="right" vertical="top" wrapText="1"/>
    </xf>
    <xf numFmtId="3" fontId="40" fillId="0" borderId="3" xfId="0" applyNumberFormat="1" applyFont="1" applyBorder="1" applyAlignment="1">
      <alignment horizontal="right" vertical="top" wrapText="1"/>
    </xf>
    <xf numFmtId="3" fontId="40" fillId="4" borderId="3" xfId="0" applyNumberFormat="1" applyFont="1" applyFill="1" applyBorder="1" applyAlignment="1">
      <alignment horizontal="right" vertical="top"/>
    </xf>
    <xf numFmtId="3" fontId="39" fillId="0" borderId="3" xfId="4" applyNumberFormat="1" applyFont="1" applyBorder="1" applyAlignment="1">
      <alignment horizontal="right" vertical="top"/>
    </xf>
    <xf numFmtId="3" fontId="39" fillId="0" borderId="3" xfId="4" applyNumberFormat="1" applyFont="1" applyBorder="1" applyAlignment="1">
      <alignment horizontal="right" vertical="top" wrapText="1"/>
    </xf>
    <xf numFmtId="3" fontId="39" fillId="4" borderId="3" xfId="4" applyNumberFormat="1" applyFont="1" applyFill="1" applyBorder="1" applyAlignment="1">
      <alignment horizontal="right" vertical="top" wrapText="1"/>
    </xf>
    <xf numFmtId="3" fontId="40" fillId="4" borderId="3" xfId="4" applyNumberFormat="1" applyFont="1" applyFill="1" applyBorder="1" applyAlignment="1">
      <alignment horizontal="right" vertical="top" wrapText="1"/>
    </xf>
    <xf numFmtId="3" fontId="39" fillId="2" borderId="3" xfId="4" applyNumberFormat="1" applyFont="1" applyFill="1" applyBorder="1" applyAlignment="1" applyProtection="1">
      <alignment horizontal="right" vertical="top" wrapText="1"/>
      <protection locked="0"/>
    </xf>
    <xf numFmtId="3" fontId="14" fillId="0" borderId="0" xfId="0" applyNumberFormat="1" applyFont="1" applyAlignment="1">
      <alignment vertical="top"/>
    </xf>
    <xf numFmtId="3" fontId="24" fillId="2" borderId="3" xfId="0" applyNumberFormat="1" applyFont="1" applyFill="1" applyBorder="1" applyAlignment="1" applyProtection="1">
      <alignment horizontal="right" vertical="top"/>
      <protection locked="0"/>
    </xf>
    <xf numFmtId="4" fontId="40" fillId="0" borderId="3" xfId="0" applyNumberFormat="1" applyFont="1" applyBorder="1" applyAlignment="1">
      <alignment horizontal="center" vertical="center"/>
    </xf>
    <xf numFmtId="3" fontId="38" fillId="0" borderId="3" xfId="0" applyNumberFormat="1" applyFont="1" applyBorder="1" applyAlignment="1">
      <alignment horizontal="center" vertical="center" wrapText="1"/>
    </xf>
    <xf numFmtId="4" fontId="30" fillId="4" borderId="3" xfId="0" applyNumberFormat="1" applyFont="1" applyFill="1" applyBorder="1" applyAlignment="1">
      <alignment horizontal="right" vertical="top"/>
    </xf>
    <xf numFmtId="4" fontId="29" fillId="4" borderId="3" xfId="0" applyNumberFormat="1" applyFont="1" applyFill="1" applyBorder="1" applyAlignment="1">
      <alignment horizontal="right" vertical="top"/>
    </xf>
    <xf numFmtId="4" fontId="29" fillId="4" borderId="3" xfId="0" applyNumberFormat="1" applyFont="1" applyFill="1" applyBorder="1" applyAlignment="1">
      <alignment vertical="top"/>
    </xf>
    <xf numFmtId="0" fontId="36" fillId="0" borderId="3" xfId="1" applyFont="1" applyBorder="1" applyAlignment="1" applyProtection="1">
      <alignment horizontal="right" vertical="top" wrapText="1"/>
      <protection locked="0"/>
    </xf>
    <xf numFmtId="0" fontId="27" fillId="0" borderId="0" xfId="0" applyFont="1" applyAlignment="1">
      <alignment horizontal="center" vertical="top"/>
    </xf>
    <xf numFmtId="3" fontId="29" fillId="0" borderId="3" xfId="0" applyNumberFormat="1" applyFont="1" applyBorder="1" applyAlignment="1">
      <alignment horizontal="left" vertical="top"/>
    </xf>
    <xf numFmtId="3" fontId="29" fillId="0" borderId="3" xfId="0" applyNumberFormat="1" applyFont="1" applyBorder="1" applyAlignment="1">
      <alignment horizontal="left" vertical="top" wrapText="1"/>
    </xf>
    <xf numFmtId="4" fontId="30" fillId="0" borderId="3" xfId="0" applyNumberFormat="1" applyFont="1" applyBorder="1" applyAlignment="1">
      <alignment horizontal="right" vertical="top"/>
    </xf>
    <xf numFmtId="49" fontId="36" fillId="0" borderId="3" xfId="0" applyNumberFormat="1" applyFont="1" applyBorder="1" applyAlignment="1">
      <alignment horizontal="left" vertical="top"/>
    </xf>
    <xf numFmtId="0" fontId="36" fillId="0" borderId="3" xfId="0" applyFont="1" applyBorder="1" applyAlignment="1">
      <alignment horizontal="right" vertical="top" wrapText="1"/>
    </xf>
    <xf numFmtId="3" fontId="23" fillId="0" borderId="0" xfId="0" applyNumberFormat="1" applyFont="1" applyAlignment="1">
      <alignment horizontal="center" vertical="top"/>
    </xf>
    <xf numFmtId="0" fontId="27" fillId="0" borderId="0" xfId="0" applyFont="1" applyAlignment="1">
      <alignment vertical="top" wrapText="1"/>
    </xf>
    <xf numFmtId="3" fontId="12" fillId="0" borderId="0" xfId="0" applyNumberFormat="1" applyFont="1" applyAlignment="1">
      <alignment horizontal="center" vertical="top"/>
    </xf>
    <xf numFmtId="0" fontId="36" fillId="0" borderId="0" xfId="0" applyFont="1" applyAlignment="1">
      <alignment vertical="top" wrapText="1"/>
    </xf>
    <xf numFmtId="4" fontId="30" fillId="0" borderId="3" xfId="0" applyNumberFormat="1" applyFont="1" applyBorder="1" applyAlignment="1">
      <alignment horizontal="center" vertical="center"/>
    </xf>
    <xf numFmtId="0" fontId="12" fillId="0" borderId="0" xfId="0" applyFont="1" applyAlignment="1">
      <alignment horizontal="center" vertical="top"/>
    </xf>
    <xf numFmtId="4" fontId="36" fillId="0" borderId="3" xfId="0" applyNumberFormat="1" applyFont="1" applyBorder="1" applyAlignment="1">
      <alignment horizontal="right" vertical="top"/>
    </xf>
    <xf numFmtId="0" fontId="36" fillId="0" borderId="0" xfId="0" applyFont="1" applyAlignment="1">
      <alignment horizontal="center" vertical="top"/>
    </xf>
    <xf numFmtId="0" fontId="9" fillId="0" borderId="0" xfId="0" applyFont="1" applyAlignment="1">
      <alignment horizontal="center" vertical="top"/>
    </xf>
    <xf numFmtId="0" fontId="36" fillId="0" borderId="0" xfId="0" applyFont="1" applyAlignment="1">
      <alignment horizontal="left" vertical="top"/>
    </xf>
    <xf numFmtId="0" fontId="36" fillId="0" borderId="0" xfId="0" applyFont="1" applyAlignment="1">
      <alignment horizontal="right" vertical="top" wrapText="1"/>
    </xf>
    <xf numFmtId="0" fontId="30" fillId="0" borderId="0" xfId="0" applyFont="1" applyAlignment="1">
      <alignment horizontal="left" vertical="top" wrapText="1"/>
    </xf>
    <xf numFmtId="4" fontId="36" fillId="0" borderId="3" xfId="0" applyNumberFormat="1" applyFont="1" applyBorder="1" applyAlignment="1">
      <alignment horizontal="center" vertical="top"/>
    </xf>
    <xf numFmtId="0" fontId="10" fillId="0" borderId="0" xfId="0" applyFont="1" applyAlignment="1">
      <alignment horizontal="center" vertical="top"/>
    </xf>
    <xf numFmtId="0" fontId="11" fillId="0" borderId="0" xfId="0" applyFont="1" applyAlignment="1">
      <alignment horizontal="center" vertical="top"/>
    </xf>
    <xf numFmtId="0" fontId="29" fillId="0" borderId="0" xfId="0" applyFont="1" applyAlignment="1">
      <alignment horizontal="left" vertical="top"/>
    </xf>
    <xf numFmtId="4" fontId="30" fillId="0" borderId="0" xfId="0" applyNumberFormat="1" applyFont="1" applyAlignment="1">
      <alignment horizontal="right" vertical="top"/>
    </xf>
    <xf numFmtId="4" fontId="30" fillId="0" borderId="0" xfId="0" applyNumberFormat="1" applyFont="1" applyAlignment="1">
      <alignment horizontal="center" vertical="top"/>
    </xf>
    <xf numFmtId="4" fontId="29" fillId="0" borderId="0" xfId="0" applyNumberFormat="1" applyFont="1" applyAlignment="1">
      <alignment horizontal="right" vertical="top"/>
    </xf>
    <xf numFmtId="3" fontId="24" fillId="0" borderId="0" xfId="0" applyNumberFormat="1" applyFont="1" applyAlignment="1">
      <alignment vertical="top"/>
    </xf>
    <xf numFmtId="3" fontId="39" fillId="0" borderId="0" xfId="0" applyNumberFormat="1" applyFont="1" applyAlignment="1">
      <alignment vertical="top"/>
    </xf>
    <xf numFmtId="0" fontId="40" fillId="0" borderId="13" xfId="0" applyFont="1" applyBorder="1" applyAlignment="1">
      <alignment horizontal="right" vertical="top" wrapText="1"/>
    </xf>
    <xf numFmtId="9" fontId="40" fillId="0" borderId="12" xfId="0" applyNumberFormat="1" applyFont="1" applyBorder="1" applyAlignment="1">
      <alignment horizontal="center" vertical="top"/>
    </xf>
    <xf numFmtId="3" fontId="39" fillId="0" borderId="3" xfId="0" applyNumberFormat="1" applyFont="1" applyBorder="1" applyAlignment="1">
      <alignment horizontal="left" vertical="top" wrapText="1"/>
    </xf>
    <xf numFmtId="3" fontId="27" fillId="0" borderId="0" xfId="0" applyNumberFormat="1" applyFont="1" applyAlignment="1">
      <alignment horizontal="center" vertical="top"/>
    </xf>
    <xf numFmtId="3" fontId="10" fillId="0" borderId="0" xfId="0" applyNumberFormat="1" applyFont="1" applyAlignment="1">
      <alignment horizontal="center" vertical="top"/>
    </xf>
    <xf numFmtId="3" fontId="24" fillId="0" borderId="3" xfId="0" applyNumberFormat="1" applyFont="1" applyBorder="1" applyAlignment="1">
      <alignment horizontal="right" vertical="top"/>
    </xf>
    <xf numFmtId="3" fontId="40" fillId="0" borderId="3" xfId="0" applyNumberFormat="1" applyFont="1" applyBorder="1" applyAlignment="1">
      <alignment horizontal="left" vertical="top" wrapText="1"/>
    </xf>
    <xf numFmtId="3" fontId="38" fillId="0" borderId="3" xfId="0" applyNumberFormat="1" applyFont="1" applyBorder="1" applyAlignment="1">
      <alignment horizontal="right" vertical="top"/>
    </xf>
    <xf numFmtId="3" fontId="36" fillId="0" borderId="0" xfId="0" applyNumberFormat="1" applyFont="1" applyAlignment="1">
      <alignment horizontal="center" vertical="top"/>
    </xf>
    <xf numFmtId="3" fontId="11" fillId="0" borderId="0" xfId="0" applyNumberFormat="1" applyFont="1" applyAlignment="1">
      <alignment horizontal="center" vertical="top"/>
    </xf>
    <xf numFmtId="3" fontId="30" fillId="0" borderId="0" xfId="0" applyNumberFormat="1" applyFont="1" applyAlignment="1">
      <alignment horizontal="center" vertical="top"/>
    </xf>
    <xf numFmtId="3" fontId="22" fillId="0" borderId="0" xfId="0" applyNumberFormat="1" applyFont="1" applyAlignment="1">
      <alignment horizontal="center" vertical="top"/>
    </xf>
    <xf numFmtId="3" fontId="38" fillId="0" borderId="3" xfId="0" applyNumberFormat="1" applyFont="1" applyBorder="1" applyAlignment="1">
      <alignment horizontal="left" vertical="top" wrapText="1"/>
    </xf>
    <xf numFmtId="3" fontId="40" fillId="0" borderId="11" xfId="0" applyNumberFormat="1" applyFont="1" applyBorder="1" applyAlignment="1">
      <alignment horizontal="right" vertical="top"/>
    </xf>
    <xf numFmtId="3" fontId="38" fillId="0" borderId="0" xfId="0" applyNumberFormat="1" applyFont="1" applyAlignment="1">
      <alignment horizontal="right" vertical="top"/>
    </xf>
    <xf numFmtId="3" fontId="13" fillId="0" borderId="0" xfId="0" applyNumberFormat="1" applyFont="1" applyAlignment="1">
      <alignment horizontal="center" vertical="top"/>
    </xf>
    <xf numFmtId="10" fontId="40" fillId="0" borderId="3" xfId="0" applyNumberFormat="1" applyFont="1" applyBorder="1" applyAlignment="1">
      <alignment horizontal="right" vertical="top" wrapText="1"/>
    </xf>
    <xf numFmtId="3" fontId="41" fillId="0" borderId="0" xfId="0" applyNumberFormat="1" applyFont="1" applyAlignment="1">
      <alignment horizontal="left" vertical="top" wrapText="1"/>
    </xf>
    <xf numFmtId="3" fontId="40" fillId="0" borderId="0" xfId="0" applyNumberFormat="1" applyFont="1" applyAlignment="1">
      <alignment horizontal="center" vertical="top"/>
    </xf>
    <xf numFmtId="0" fontId="6" fillId="0" borderId="0" xfId="0" applyFont="1" applyAlignment="1">
      <alignment vertical="top"/>
    </xf>
    <xf numFmtId="0" fontId="39" fillId="0" borderId="0" xfId="0" applyFont="1" applyAlignment="1">
      <alignment horizontal="right" vertical="top" wrapText="1"/>
    </xf>
    <xf numFmtId="3" fontId="39" fillId="4" borderId="3" xfId="0" applyNumberFormat="1" applyFont="1" applyFill="1" applyBorder="1" applyAlignment="1">
      <alignment horizontal="right" vertical="top"/>
    </xf>
    <xf numFmtId="4" fontId="39" fillId="4" borderId="3" xfId="0" applyNumberFormat="1" applyFont="1" applyFill="1" applyBorder="1" applyAlignment="1">
      <alignment vertical="top" wrapText="1"/>
    </xf>
    <xf numFmtId="2" fontId="29" fillId="0" borderId="0" xfId="0" applyNumberFormat="1" applyFont="1" applyAlignment="1">
      <alignment vertical="top"/>
    </xf>
    <xf numFmtId="4" fontId="29" fillId="0" borderId="0" xfId="0" applyNumberFormat="1" applyFont="1" applyAlignment="1">
      <alignment horizontal="center" vertical="top"/>
    </xf>
    <xf numFmtId="10" fontId="0" fillId="0" borderId="0" xfId="0" applyNumberFormat="1" applyAlignment="1">
      <alignment vertical="top"/>
    </xf>
    <xf numFmtId="0" fontId="29" fillId="7" borderId="3" xfId="0" applyFont="1" applyFill="1" applyBorder="1" applyAlignment="1">
      <alignment vertical="top" wrapText="1"/>
    </xf>
    <xf numFmtId="2" fontId="29" fillId="7" borderId="3" xfId="0" applyNumberFormat="1" applyFont="1" applyFill="1" applyBorder="1" applyAlignment="1">
      <alignment vertical="top"/>
    </xf>
    <xf numFmtId="0" fontId="30" fillId="7" borderId="3" xfId="0" applyFont="1" applyFill="1" applyBorder="1" applyAlignment="1">
      <alignment vertical="top" wrapText="1"/>
    </xf>
    <xf numFmtId="9" fontId="29" fillId="7" borderId="3" xfId="0" applyNumberFormat="1" applyFont="1" applyFill="1" applyBorder="1" applyAlignment="1">
      <alignment vertical="top"/>
    </xf>
    <xf numFmtId="10" fontId="14" fillId="0" borderId="0" xfId="0" applyNumberFormat="1" applyFont="1" applyAlignment="1">
      <alignment vertical="top"/>
    </xf>
    <xf numFmtId="4" fontId="39" fillId="0" borderId="0" xfId="0" applyNumberFormat="1" applyFont="1" applyAlignment="1">
      <alignment horizontal="left" vertical="top" wrapText="1"/>
    </xf>
    <xf numFmtId="3" fontId="39" fillId="0" borderId="0" xfId="0" applyNumberFormat="1" applyFont="1" applyAlignment="1">
      <alignment horizontal="right" vertical="top"/>
    </xf>
    <xf numFmtId="3" fontId="4" fillId="0" borderId="0" xfId="0" applyNumberFormat="1" applyFont="1" applyAlignment="1">
      <alignment horizontal="center"/>
    </xf>
    <xf numFmtId="0" fontId="30" fillId="2" borderId="3" xfId="0" applyFont="1" applyFill="1" applyBorder="1" applyAlignment="1" applyProtection="1">
      <alignment horizontal="center" vertical="top"/>
      <protection locked="0"/>
    </xf>
    <xf numFmtId="0" fontId="30" fillId="0" borderId="3" xfId="0" applyFont="1" applyBorder="1" applyAlignment="1">
      <alignment horizontal="center" vertical="top"/>
    </xf>
    <xf numFmtId="0" fontId="40" fillId="0" borderId="3" xfId="0" applyFont="1" applyBorder="1" applyAlignment="1">
      <alignment vertical="top" wrapText="1"/>
    </xf>
    <xf numFmtId="0" fontId="30" fillId="0" borderId="3" xfId="0" applyFont="1" applyBorder="1" applyAlignment="1">
      <alignment horizontal="center" vertical="top" wrapText="1"/>
    </xf>
    <xf numFmtId="0" fontId="39" fillId="0" borderId="0" xfId="0" applyFont="1" applyAlignment="1">
      <alignment vertical="top" wrapText="1"/>
    </xf>
    <xf numFmtId="0" fontId="39" fillId="0" borderId="0" xfId="0" applyFont="1" applyAlignment="1">
      <alignment vertical="top"/>
    </xf>
    <xf numFmtId="0" fontId="29" fillId="0" borderId="0" xfId="0" applyFont="1" applyAlignment="1">
      <alignment vertical="top"/>
    </xf>
    <xf numFmtId="0" fontId="3" fillId="0" borderId="0" xfId="0" applyFont="1" applyAlignment="1">
      <alignment vertical="top"/>
    </xf>
    <xf numFmtId="0" fontId="30" fillId="0" borderId="3" xfId="0" applyFont="1" applyBorder="1" applyAlignment="1">
      <alignment vertical="top" wrapText="1"/>
    </xf>
    <xf numFmtId="4" fontId="36" fillId="0" borderId="3" xfId="1" applyNumberFormat="1" applyFont="1" applyBorder="1" applyAlignment="1">
      <alignment horizontal="right" vertical="top"/>
    </xf>
    <xf numFmtId="4" fontId="27" fillId="0" borderId="3" xfId="1" applyNumberFormat="1" applyFont="1" applyBorder="1" applyAlignment="1">
      <alignment horizontal="right" vertical="top"/>
    </xf>
    <xf numFmtId="4" fontId="43" fillId="0" borderId="3" xfId="0" applyNumberFormat="1" applyFont="1" applyBorder="1" applyAlignment="1">
      <alignment horizontal="right" vertical="top"/>
    </xf>
    <xf numFmtId="49" fontId="39" fillId="0" borderId="0" xfId="0" applyNumberFormat="1" applyFont="1" applyAlignment="1">
      <alignment horizontal="center" vertical="top"/>
    </xf>
    <xf numFmtId="0" fontId="39" fillId="4" borderId="5" xfId="0" applyFont="1" applyFill="1" applyBorder="1" applyAlignment="1">
      <alignment vertical="top"/>
    </xf>
    <xf numFmtId="0" fontId="0" fillId="4" borderId="0" xfId="0" applyFill="1"/>
    <xf numFmtId="4" fontId="0" fillId="0" borderId="8" xfId="0" applyNumberFormat="1" applyBorder="1" applyAlignment="1">
      <alignment horizontal="right" vertical="top"/>
    </xf>
    <xf numFmtId="4" fontId="25" fillId="0" borderId="8" xfId="0" applyNumberFormat="1" applyFont="1" applyBorder="1" applyAlignment="1">
      <alignment horizontal="right" vertical="top"/>
    </xf>
    <xf numFmtId="0" fontId="40" fillId="9" borderId="3" xfId="0" applyFont="1" applyFill="1" applyBorder="1" applyAlignment="1">
      <alignment vertical="top" wrapText="1"/>
    </xf>
    <xf numFmtId="0" fontId="40" fillId="2" borderId="3" xfId="0" applyFont="1" applyFill="1" applyBorder="1" applyAlignment="1" applyProtection="1">
      <alignment horizontal="center" vertical="center"/>
      <protection locked="0"/>
    </xf>
    <xf numFmtId="4" fontId="44" fillId="6" borderId="3" xfId="0" applyNumberFormat="1" applyFont="1" applyFill="1" applyBorder="1" applyAlignment="1" applyProtection="1">
      <alignment horizontal="right" vertical="top"/>
      <protection locked="0"/>
    </xf>
    <xf numFmtId="3" fontId="39" fillId="2" borderId="3" xfId="4" applyNumberFormat="1" applyFont="1" applyFill="1" applyBorder="1" applyAlignment="1" applyProtection="1">
      <alignment horizontal="right" vertical="top"/>
      <protection locked="0"/>
    </xf>
    <xf numFmtId="10" fontId="40" fillId="0" borderId="0" xfId="0" applyNumberFormat="1" applyFont="1" applyAlignment="1">
      <alignment horizontal="right" vertical="top"/>
    </xf>
    <xf numFmtId="0" fontId="38" fillId="0" borderId="3" xfId="0" applyFont="1" applyBorder="1" applyAlignment="1">
      <alignment horizontal="center" vertical="top"/>
    </xf>
    <xf numFmtId="4" fontId="30" fillId="4" borderId="3" xfId="0" applyNumberFormat="1" applyFont="1" applyFill="1" applyBorder="1" applyAlignment="1">
      <alignment horizontal="center" vertical="center"/>
    </xf>
    <xf numFmtId="4" fontId="30" fillId="0" borderId="3" xfId="0" applyNumberFormat="1" applyFont="1" applyBorder="1" applyAlignment="1">
      <alignment vertical="center" wrapText="1"/>
    </xf>
    <xf numFmtId="4" fontId="30" fillId="0" borderId="4" xfId="0" applyNumberFormat="1" applyFont="1" applyBorder="1" applyAlignment="1">
      <alignment vertical="center"/>
    </xf>
    <xf numFmtId="3" fontId="40" fillId="0" borderId="3" xfId="0" applyNumberFormat="1" applyFont="1" applyBorder="1" applyAlignment="1">
      <alignment horizontal="center" vertical="center" wrapText="1"/>
    </xf>
    <xf numFmtId="4" fontId="40" fillId="0" borderId="7" xfId="0" applyNumberFormat="1" applyFont="1" applyBorder="1" applyAlignment="1">
      <alignment vertical="top"/>
    </xf>
    <xf numFmtId="0" fontId="38" fillId="0" borderId="3" xfId="0" applyFont="1" applyBorder="1" applyAlignment="1">
      <alignment vertical="top"/>
    </xf>
    <xf numFmtId="3" fontId="40" fillId="0" borderId="7" xfId="4" applyNumberFormat="1" applyFont="1" applyBorder="1" applyAlignment="1">
      <alignment horizontal="center" vertical="center" wrapText="1"/>
    </xf>
    <xf numFmtId="0" fontId="0" fillId="0" borderId="0" xfId="0" applyAlignment="1">
      <alignment vertical="top"/>
    </xf>
    <xf numFmtId="1" fontId="30" fillId="0" borderId="3" xfId="0" applyNumberFormat="1" applyFont="1" applyBorder="1" applyAlignment="1">
      <alignment horizontal="center" vertical="top"/>
    </xf>
    <xf numFmtId="0" fontId="34" fillId="0" borderId="0" xfId="0" applyFont="1" applyAlignment="1">
      <alignment horizontal="left" vertical="top" wrapText="1"/>
    </xf>
    <xf numFmtId="0" fontId="37" fillId="0" borderId="0" xfId="0" applyFont="1" applyAlignment="1">
      <alignment horizontal="left" vertical="top"/>
    </xf>
    <xf numFmtId="0" fontId="29" fillId="0" borderId="0" xfId="0" applyFont="1" applyAlignment="1">
      <alignment horizontal="left" vertical="top" wrapText="1"/>
    </xf>
    <xf numFmtId="0" fontId="25" fillId="0" borderId="0" xfId="0" applyFont="1" applyAlignment="1">
      <alignment horizontal="left" vertical="top"/>
    </xf>
    <xf numFmtId="0" fontId="0" fillId="0" borderId="0" xfId="0" applyAlignment="1">
      <alignment horizontal="left" vertical="top" wrapText="1"/>
    </xf>
    <xf numFmtId="0" fontId="36" fillId="0" borderId="0" xfId="1" applyFont="1" applyAlignment="1">
      <alignment horizontal="left" vertical="top"/>
    </xf>
    <xf numFmtId="0" fontId="27" fillId="0" borderId="0" xfId="0" applyFont="1" applyAlignment="1">
      <alignment horizontal="left" vertical="top"/>
    </xf>
    <xf numFmtId="4" fontId="30" fillId="0" borderId="3" xfId="1" applyNumberFormat="1" applyFont="1" applyBorder="1" applyAlignment="1">
      <alignment horizontal="center" vertical="center" wrapText="1"/>
    </xf>
    <xf numFmtId="4" fontId="39" fillId="0" borderId="3" xfId="0" applyNumberFormat="1" applyFont="1" applyBorder="1" applyAlignment="1">
      <alignment horizontal="left" vertical="top" wrapText="1"/>
    </xf>
    <xf numFmtId="3" fontId="40" fillId="0" borderId="3" xfId="0" applyNumberFormat="1" applyFont="1" applyBorder="1" applyAlignment="1">
      <alignment horizontal="center" vertical="center"/>
    </xf>
    <xf numFmtId="0" fontId="38" fillId="0" borderId="3" xfId="0" applyFont="1" applyBorder="1" applyAlignment="1">
      <alignment horizontal="center" vertical="center" wrapText="1"/>
    </xf>
    <xf numFmtId="0" fontId="39" fillId="0" borderId="0" xfId="0" applyFont="1" applyAlignment="1">
      <alignment horizontal="left" vertical="top" wrapText="1"/>
    </xf>
    <xf numFmtId="0" fontId="24" fillId="0" borderId="0" xfId="0" applyFont="1" applyAlignment="1">
      <alignment horizontal="left" vertical="top" wrapText="1"/>
    </xf>
    <xf numFmtId="3" fontId="38" fillId="0" borderId="3" xfId="0" applyNumberFormat="1" applyFont="1" applyBorder="1" applyAlignment="1">
      <alignment horizontal="center" vertical="top"/>
    </xf>
    <xf numFmtId="3" fontId="40" fillId="0" borderId="3" xfId="4" applyNumberFormat="1" applyFont="1" applyBorder="1" applyAlignment="1">
      <alignment horizontal="right" vertical="top" wrapText="1"/>
    </xf>
    <xf numFmtId="4" fontId="40" fillId="0" borderId="3" xfId="0" applyNumberFormat="1" applyFont="1" applyBorder="1" applyAlignment="1">
      <alignment horizontal="left" vertical="top" wrapText="1"/>
    </xf>
    <xf numFmtId="3" fontId="29" fillId="0" borderId="4" xfId="0" applyNumberFormat="1" applyFont="1" applyBorder="1" applyAlignment="1">
      <alignment vertical="top" wrapText="1"/>
    </xf>
    <xf numFmtId="4" fontId="29" fillId="2" borderId="5" xfId="0" applyNumberFormat="1" applyFont="1" applyFill="1" applyBorder="1" applyAlignment="1" applyProtection="1">
      <alignment horizontal="right" vertical="top"/>
      <protection locked="0"/>
    </xf>
    <xf numFmtId="0" fontId="30" fillId="0" borderId="10" xfId="0" applyFont="1" applyBorder="1" applyAlignment="1">
      <alignment vertical="top"/>
    </xf>
    <xf numFmtId="3" fontId="29" fillId="0" borderId="7" xfId="0" applyNumberFormat="1" applyFont="1" applyBorder="1" applyAlignment="1">
      <alignment vertical="top"/>
    </xf>
    <xf numFmtId="0" fontId="45" fillId="2" borderId="3" xfId="0" applyFont="1" applyFill="1" applyBorder="1" applyAlignment="1">
      <alignment horizontal="right" vertical="center" wrapText="1"/>
    </xf>
    <xf numFmtId="0" fontId="45" fillId="2" borderId="3" xfId="0" applyFont="1" applyFill="1" applyBorder="1"/>
    <xf numFmtId="4" fontId="29" fillId="2" borderId="10" xfId="0" applyNumberFormat="1" applyFont="1" applyFill="1" applyBorder="1" applyAlignment="1" applyProtection="1">
      <alignment horizontal="right" vertical="top"/>
      <protection locked="0"/>
    </xf>
    <xf numFmtId="4" fontId="29" fillId="2" borderId="7" xfId="0" applyNumberFormat="1" applyFont="1" applyFill="1" applyBorder="1" applyAlignment="1" applyProtection="1">
      <alignment horizontal="right" vertical="top"/>
      <protection locked="0"/>
    </xf>
    <xf numFmtId="0" fontId="45" fillId="2" borderId="4" xfId="0" applyFont="1" applyFill="1" applyBorder="1"/>
    <xf numFmtId="4" fontId="30" fillId="0" borderId="7" xfId="0" applyNumberFormat="1" applyFont="1" applyBorder="1" applyAlignment="1">
      <alignment horizontal="right" vertical="top"/>
    </xf>
    <xf numFmtId="3" fontId="29" fillId="0" borderId="10" xfId="0" applyNumberFormat="1" applyFont="1" applyBorder="1" applyAlignment="1">
      <alignment vertical="top"/>
    </xf>
    <xf numFmtId="4" fontId="29" fillId="2" borderId="15" xfId="0" applyNumberFormat="1" applyFont="1" applyFill="1" applyBorder="1" applyAlignment="1" applyProtection="1">
      <alignment horizontal="right" vertical="top"/>
      <protection locked="0"/>
    </xf>
    <xf numFmtId="0" fontId="45" fillId="2" borderId="10" xfId="0" applyFont="1" applyFill="1" applyBorder="1" applyAlignment="1">
      <alignment horizontal="right" vertical="center" wrapText="1"/>
    </xf>
    <xf numFmtId="4" fontId="29" fillId="0" borderId="15" xfId="0" applyNumberFormat="1" applyFont="1" applyBorder="1" applyAlignment="1">
      <alignment horizontal="right" vertical="top"/>
    </xf>
    <xf numFmtId="3" fontId="27" fillId="0" borderId="4" xfId="0" applyNumberFormat="1" applyFont="1" applyBorder="1" applyAlignment="1">
      <alignment vertical="top" wrapText="1"/>
    </xf>
    <xf numFmtId="4" fontId="29" fillId="0" borderId="10" xfId="0" applyNumberFormat="1" applyFont="1" applyBorder="1" applyAlignment="1">
      <alignment horizontal="right" vertical="top"/>
    </xf>
    <xf numFmtId="0" fontId="29" fillId="2" borderId="3" xfId="0" applyFont="1" applyFill="1" applyBorder="1" applyAlignment="1">
      <alignment vertical="top"/>
    </xf>
    <xf numFmtId="0" fontId="29" fillId="0" borderId="4" xfId="0" applyFont="1" applyBorder="1" applyAlignment="1">
      <alignment vertical="top" wrapText="1"/>
    </xf>
    <xf numFmtId="4" fontId="29" fillId="2" borderId="5" xfId="0" applyNumberFormat="1" applyFont="1" applyFill="1" applyBorder="1" applyAlignment="1" applyProtection="1">
      <alignment vertical="top"/>
      <protection locked="0"/>
    </xf>
    <xf numFmtId="0" fontId="30" fillId="0" borderId="10" xfId="0" applyFont="1" applyBorder="1" applyAlignment="1">
      <alignment horizontal="center" vertical="top"/>
    </xf>
    <xf numFmtId="4" fontId="29" fillId="2" borderId="7" xfId="0" applyNumberFormat="1" applyFont="1" applyFill="1" applyBorder="1" applyAlignment="1" applyProtection="1">
      <alignment vertical="top"/>
      <protection locked="0"/>
    </xf>
    <xf numFmtId="4" fontId="29" fillId="2" borderId="10" xfId="0" applyNumberFormat="1" applyFont="1" applyFill="1" applyBorder="1" applyAlignment="1" applyProtection="1">
      <alignment vertical="top"/>
      <protection locked="0"/>
    </xf>
    <xf numFmtId="4" fontId="30" fillId="0" borderId="7" xfId="0" applyNumberFormat="1" applyFont="1" applyBorder="1" applyAlignment="1">
      <alignment vertical="top"/>
    </xf>
    <xf numFmtId="0" fontId="35" fillId="0" borderId="4" xfId="0" applyFont="1" applyBorder="1" applyAlignment="1">
      <alignment vertical="top" wrapText="1"/>
    </xf>
    <xf numFmtId="4" fontId="30" fillId="0" borderId="15" xfId="0" applyNumberFormat="1" applyFont="1" applyBorder="1" applyAlignment="1">
      <alignment vertical="top"/>
    </xf>
    <xf numFmtId="4" fontId="29" fillId="2" borderId="15" xfId="0" applyNumberFormat="1" applyFont="1" applyFill="1" applyBorder="1" applyAlignment="1" applyProtection="1">
      <alignment vertical="top"/>
      <protection locked="0"/>
    </xf>
    <xf numFmtId="4" fontId="29" fillId="4" borderId="7" xfId="0" applyNumberFormat="1" applyFont="1" applyFill="1" applyBorder="1" applyAlignment="1">
      <alignment vertical="top"/>
    </xf>
    <xf numFmtId="4" fontId="29" fillId="0" borderId="10" xfId="0" applyNumberFormat="1" applyFont="1" applyBorder="1" applyAlignment="1">
      <alignment vertical="top"/>
    </xf>
    <xf numFmtId="3" fontId="27" fillId="2" borderId="0" xfId="0" applyNumberFormat="1" applyFont="1" applyFill="1" applyAlignment="1">
      <alignment horizontal="center" vertical="top"/>
    </xf>
    <xf numFmtId="4" fontId="36" fillId="2" borderId="3" xfId="0" applyNumberFormat="1" applyFont="1" applyFill="1" applyBorder="1" applyAlignment="1">
      <alignment horizontal="right" vertical="top"/>
    </xf>
    <xf numFmtId="0" fontId="27" fillId="0" borderId="0" xfId="0" applyFont="1" applyAlignment="1">
      <alignment horizontal="left" vertical="top" wrapText="1"/>
    </xf>
    <xf numFmtId="0" fontId="27" fillId="0" borderId="0" xfId="0" applyFont="1" applyAlignment="1">
      <alignment vertical="top"/>
    </xf>
    <xf numFmtId="0" fontId="18" fillId="0" borderId="0" xfId="0" applyFont="1" applyAlignment="1">
      <alignment vertical="top"/>
    </xf>
    <xf numFmtId="0" fontId="34" fillId="0" borderId="0" xfId="0" applyFont="1" applyAlignment="1">
      <alignment horizontal="left" vertical="top" wrapText="1"/>
    </xf>
    <xf numFmtId="0" fontId="0" fillId="0" borderId="0" xfId="0" applyAlignment="1">
      <alignment vertical="top"/>
    </xf>
    <xf numFmtId="0" fontId="37" fillId="0" borderId="0" xfId="0" applyFont="1" applyAlignment="1">
      <alignment horizontal="left" vertical="top"/>
    </xf>
    <xf numFmtId="0" fontId="19" fillId="0" borderId="0" xfId="0" applyFont="1" applyAlignment="1">
      <alignment vertical="top"/>
    </xf>
    <xf numFmtId="0" fontId="29" fillId="0" borderId="0" xfId="0" applyFont="1" applyAlignment="1">
      <alignment horizontal="left" vertical="top" wrapText="1"/>
    </xf>
    <xf numFmtId="0" fontId="30" fillId="0" borderId="0" xfId="0" applyFont="1" applyAlignment="1">
      <alignment horizontal="left" vertical="top"/>
    </xf>
    <xf numFmtId="0" fontId="0" fillId="0" borderId="0" xfId="0" applyAlignment="1">
      <alignment horizontal="left" vertical="top" wrapText="1"/>
    </xf>
    <xf numFmtId="0" fontId="25" fillId="0" borderId="5" xfId="0" applyFont="1" applyBorder="1" applyAlignment="1">
      <alignment horizontal="left" vertical="top" wrapText="1"/>
    </xf>
    <xf numFmtId="0" fontId="0" fillId="0" borderId="2" xfId="0" applyBorder="1"/>
    <xf numFmtId="0" fontId="0" fillId="0" borderId="5" xfId="0" applyBorder="1"/>
    <xf numFmtId="0" fontId="25" fillId="0" borderId="0" xfId="0" applyFont="1" applyAlignment="1">
      <alignment horizontal="left" vertical="top"/>
    </xf>
    <xf numFmtId="0" fontId="0" fillId="0" borderId="8" xfId="0" applyBorder="1" applyAlignment="1">
      <alignment horizontal="left" vertical="top" wrapText="1"/>
    </xf>
    <xf numFmtId="0" fontId="0" fillId="0" borderId="8" xfId="0" applyBorder="1"/>
    <xf numFmtId="4" fontId="25" fillId="0" borderId="0" xfId="0" applyNumberFormat="1" applyFont="1" applyAlignment="1">
      <alignment horizontal="left" vertical="top"/>
    </xf>
    <xf numFmtId="4" fontId="0" fillId="0" borderId="0" xfId="0" applyNumberFormat="1" applyAlignment="1">
      <alignment horizontal="left" vertical="top" wrapText="1"/>
    </xf>
    <xf numFmtId="4" fontId="0" fillId="0" borderId="0" xfId="0" applyNumberFormat="1" applyAlignment="1">
      <alignment horizontal="left" vertical="top"/>
    </xf>
    <xf numFmtId="4" fontId="25" fillId="0" borderId="0" xfId="0" applyNumberFormat="1" applyFont="1" applyAlignment="1">
      <alignment horizontal="left" vertical="top" wrapText="1"/>
    </xf>
    <xf numFmtId="4" fontId="0" fillId="0" borderId="12" xfId="0" applyNumberFormat="1" applyBorder="1" applyAlignment="1">
      <alignment horizontal="left" vertical="top" wrapText="1"/>
    </xf>
    <xf numFmtId="0" fontId="0" fillId="0" borderId="11" xfId="0" applyBorder="1"/>
    <xf numFmtId="0" fontId="0" fillId="0" borderId="12" xfId="0" applyBorder="1"/>
    <xf numFmtId="4" fontId="25" fillId="0" borderId="8" xfId="0" applyNumberFormat="1" applyFont="1" applyBorder="1" applyAlignment="1">
      <alignment horizontal="left" vertical="top" wrapText="1"/>
    </xf>
    <xf numFmtId="0" fontId="25" fillId="2" borderId="8" xfId="0" applyFont="1" applyFill="1" applyBorder="1" applyAlignment="1">
      <alignment horizontal="left" vertical="top" wrapText="1"/>
    </xf>
    <xf numFmtId="0" fontId="25" fillId="0" borderId="2" xfId="0" applyFont="1" applyBorder="1" applyAlignment="1">
      <alignment horizontal="left" vertical="top" wrapText="1"/>
    </xf>
    <xf numFmtId="0" fontId="0" fillId="0" borderId="12" xfId="0" applyBorder="1" applyAlignment="1">
      <alignment horizontal="left" vertical="top" wrapText="1"/>
    </xf>
    <xf numFmtId="0" fontId="36" fillId="0" borderId="3" xfId="0" applyFont="1" applyBorder="1" applyAlignment="1">
      <alignment horizontal="left" vertical="top" wrapText="1"/>
    </xf>
    <xf numFmtId="0" fontId="27" fillId="0" borderId="3" xfId="0" applyFont="1" applyBorder="1" applyAlignment="1">
      <alignment horizontal="left" vertical="top" wrapText="1"/>
    </xf>
    <xf numFmtId="0" fontId="43" fillId="0" borderId="3" xfId="0" applyFont="1" applyBorder="1" applyAlignment="1">
      <alignment horizontal="left" vertical="top" wrapText="1"/>
    </xf>
    <xf numFmtId="0" fontId="36" fillId="0" borderId="0" xfId="1" applyFont="1" applyAlignment="1">
      <alignment horizontal="left" vertical="top"/>
    </xf>
    <xf numFmtId="4" fontId="30" fillId="0" borderId="3" xfId="0" applyNumberFormat="1" applyFont="1" applyBorder="1" applyAlignment="1">
      <alignment horizontal="left" vertical="center" wrapText="1"/>
    </xf>
    <xf numFmtId="0" fontId="0" fillId="0" borderId="7" xfId="0" applyBorder="1"/>
    <xf numFmtId="4" fontId="30" fillId="0" borderId="3" xfId="0" applyNumberFormat="1" applyFont="1" applyBorder="1" applyAlignment="1">
      <alignment horizontal="right" vertical="center" wrapText="1"/>
    </xf>
    <xf numFmtId="4" fontId="30" fillId="0" borderId="3" xfId="0" applyNumberFormat="1" applyFont="1" applyBorder="1" applyAlignment="1">
      <alignment horizontal="center" vertical="center" wrapText="1"/>
    </xf>
    <xf numFmtId="0" fontId="36" fillId="0" borderId="3" xfId="0" applyFont="1" applyBorder="1" applyAlignment="1">
      <alignment horizontal="left" vertical="center" wrapText="1"/>
    </xf>
    <xf numFmtId="0" fontId="0" fillId="0" borderId="14" xfId="0" applyBorder="1"/>
    <xf numFmtId="0" fontId="0" fillId="0" borderId="9" xfId="0" applyBorder="1"/>
    <xf numFmtId="0" fontId="30" fillId="0" borderId="0" xfId="0" applyFont="1" applyAlignment="1">
      <alignment horizontal="right" vertical="top" wrapText="1"/>
    </xf>
    <xf numFmtId="0" fontId="10" fillId="0" borderId="0" xfId="0" applyFont="1" applyAlignment="1">
      <alignment horizontal="center" vertical="top"/>
    </xf>
    <xf numFmtId="0" fontId="30" fillId="0" borderId="3" xfId="0" applyFont="1" applyBorder="1" applyAlignment="1">
      <alignment horizontal="right" vertical="top" wrapText="1"/>
    </xf>
    <xf numFmtId="0" fontId="29" fillId="0" borderId="3" xfId="0" applyFont="1" applyBorder="1" applyAlignment="1">
      <alignment horizontal="right" vertical="top" wrapText="1"/>
    </xf>
    <xf numFmtId="0" fontId="32" fillId="0" borderId="3" xfId="0" applyFont="1" applyBorder="1" applyAlignment="1">
      <alignment horizontal="right" vertical="top" wrapText="1"/>
    </xf>
    <xf numFmtId="0" fontId="30" fillId="0" borderId="8" xfId="0" applyFont="1" applyBorder="1" applyAlignment="1">
      <alignment horizontal="right" vertical="top" wrapText="1"/>
    </xf>
    <xf numFmtId="9" fontId="36" fillId="0" borderId="6" xfId="5" applyFont="1" applyBorder="1" applyAlignment="1">
      <alignment horizontal="center" vertical="top"/>
    </xf>
    <xf numFmtId="4" fontId="12" fillId="0" borderId="0" xfId="1" applyNumberFormat="1" applyFont="1" applyAlignment="1">
      <alignment horizontal="right" vertical="top"/>
    </xf>
    <xf numFmtId="4" fontId="21" fillId="0" borderId="0" xfId="1" applyNumberFormat="1" applyFont="1" applyAlignment="1">
      <alignment horizontal="right" vertical="top"/>
    </xf>
    <xf numFmtId="0" fontId="20" fillId="0" borderId="0" xfId="1" applyFont="1" applyAlignment="1">
      <alignment horizontal="left" vertical="top"/>
    </xf>
    <xf numFmtId="0" fontId="21" fillId="0" borderId="0" xfId="1" applyFont="1" applyAlignment="1">
      <alignment vertical="top" wrapText="1"/>
    </xf>
    <xf numFmtId="4" fontId="30" fillId="0" borderId="3" xfId="1" applyNumberFormat="1" applyFont="1" applyBorder="1" applyAlignment="1">
      <alignment horizontal="center" vertical="center" wrapText="1"/>
    </xf>
    <xf numFmtId="0" fontId="30" fillId="0" borderId="3" xfId="1" applyFont="1" applyBorder="1" applyAlignment="1">
      <alignment horizontal="center" vertical="center" wrapText="1"/>
    </xf>
    <xf numFmtId="49" fontId="30" fillId="0" borderId="3" xfId="1" applyNumberFormat="1" applyFont="1" applyBorder="1" applyAlignment="1">
      <alignment vertical="center"/>
    </xf>
    <xf numFmtId="4" fontId="40" fillId="0" borderId="3" xfId="0" applyNumberFormat="1" applyFont="1" applyBorder="1" applyAlignment="1">
      <alignment horizontal="left" vertical="top"/>
    </xf>
    <xf numFmtId="4" fontId="40" fillId="0" borderId="3" xfId="0" applyNumberFormat="1" applyFont="1" applyBorder="1" applyAlignment="1">
      <alignment horizontal="left" vertical="top" wrapText="1"/>
    </xf>
    <xf numFmtId="4" fontId="40" fillId="8" borderId="1" xfId="0" applyNumberFormat="1" applyFont="1" applyFill="1" applyBorder="1" applyAlignment="1">
      <alignment horizontal="left" vertical="top" wrapText="1"/>
    </xf>
    <xf numFmtId="0" fontId="0" fillId="0" borderId="1" xfId="0" applyBorder="1"/>
    <xf numFmtId="3" fontId="38" fillId="0" borderId="3" xfId="0" applyNumberFormat="1" applyFont="1" applyBorder="1" applyAlignment="1">
      <alignment horizontal="center" vertical="center" wrapText="1"/>
    </xf>
    <xf numFmtId="4" fontId="40" fillId="0" borderId="0" xfId="0" applyNumberFormat="1" applyFont="1" applyAlignment="1">
      <alignment horizontal="left" vertical="top"/>
    </xf>
    <xf numFmtId="4" fontId="5" fillId="0" borderId="0" xfId="0" applyNumberFormat="1" applyFont="1" applyAlignment="1">
      <alignment vertical="top"/>
    </xf>
    <xf numFmtId="0" fontId="24" fillId="0" borderId="3" xfId="4" applyFont="1" applyBorder="1" applyAlignment="1">
      <alignment horizontal="center" vertical="center" wrapText="1"/>
    </xf>
    <xf numFmtId="4" fontId="24" fillId="0" borderId="3" xfId="0" applyNumberFormat="1" applyFont="1" applyBorder="1" applyAlignment="1">
      <alignment horizontal="center" vertical="center" wrapText="1"/>
    </xf>
    <xf numFmtId="3" fontId="40" fillId="0" borderId="3" xfId="0" applyNumberFormat="1" applyFont="1" applyBorder="1" applyAlignment="1">
      <alignment horizontal="center" vertical="center"/>
    </xf>
    <xf numFmtId="4" fontId="38" fillId="0" borderId="3" xfId="0" applyNumberFormat="1" applyFont="1" applyBorder="1" applyAlignment="1">
      <alignment horizontal="left" vertical="top"/>
    </xf>
    <xf numFmtId="4" fontId="40" fillId="8" borderId="2" xfId="0" applyNumberFormat="1" applyFont="1" applyFill="1" applyBorder="1" applyAlignment="1">
      <alignment horizontal="left" vertical="top"/>
    </xf>
    <xf numFmtId="4" fontId="39" fillId="0" borderId="0" xfId="0" applyNumberFormat="1" applyFont="1" applyAlignment="1">
      <alignment vertical="top" wrapText="1"/>
    </xf>
    <xf numFmtId="3" fontId="40" fillId="0" borderId="0" xfId="0" applyNumberFormat="1" applyFont="1" applyAlignment="1">
      <alignment horizontal="right" vertical="top"/>
    </xf>
    <xf numFmtId="3" fontId="39" fillId="0" borderId="0" xfId="0" applyNumberFormat="1" applyFont="1" applyAlignment="1">
      <alignment horizontal="right" vertical="top"/>
    </xf>
    <xf numFmtId="4" fontId="39" fillId="0" borderId="3" xfId="0" applyNumberFormat="1" applyFont="1" applyBorder="1" applyAlignment="1">
      <alignment horizontal="left" vertical="top" wrapText="1"/>
    </xf>
    <xf numFmtId="4" fontId="40" fillId="0" borderId="3" xfId="0" applyNumberFormat="1" applyFont="1" applyBorder="1" applyAlignment="1">
      <alignment horizontal="left" vertical="center" wrapText="1"/>
    </xf>
    <xf numFmtId="4" fontId="24" fillId="0" borderId="0" xfId="0" applyNumberFormat="1" applyFont="1" applyAlignment="1">
      <alignment horizontal="left" vertical="top" wrapText="1"/>
    </xf>
    <xf numFmtId="4" fontId="40" fillId="8" borderId="1" xfId="0" applyNumberFormat="1" applyFont="1" applyFill="1" applyBorder="1" applyAlignment="1">
      <alignment horizontal="left" vertical="top"/>
    </xf>
    <xf numFmtId="0" fontId="38" fillId="0" borderId="3" xfId="0" applyFont="1" applyBorder="1" applyAlignment="1">
      <alignment horizontal="center" vertical="top"/>
    </xf>
    <xf numFmtId="0" fontId="38" fillId="0" borderId="3" xfId="0" applyFont="1" applyBorder="1" applyAlignment="1">
      <alignment horizontal="center" vertical="center" wrapText="1"/>
    </xf>
    <xf numFmtId="0" fontId="39" fillId="0" borderId="0" xfId="0" applyFont="1" applyAlignment="1">
      <alignment horizontal="left" vertical="top" wrapText="1"/>
    </xf>
    <xf numFmtId="3" fontId="40" fillId="0" borderId="10" xfId="0" applyNumberFormat="1" applyFont="1" applyBorder="1" applyAlignment="1">
      <alignment horizontal="left" vertical="top"/>
    </xf>
    <xf numFmtId="0" fontId="24" fillId="0" borderId="0" xfId="0" applyFont="1" applyAlignment="1">
      <alignment horizontal="left" vertical="top" wrapText="1"/>
    </xf>
    <xf numFmtId="0" fontId="28" fillId="0" borderId="0" xfId="0" applyFont="1" applyAlignment="1">
      <alignment vertical="top"/>
    </xf>
    <xf numFmtId="3" fontId="38" fillId="0" borderId="3" xfId="0" applyNumberFormat="1" applyFont="1" applyBorder="1" applyAlignment="1">
      <alignment horizontal="center" vertical="top"/>
    </xf>
    <xf numFmtId="0" fontId="39" fillId="4" borderId="4" xfId="0" applyFont="1" applyFill="1" applyBorder="1" applyAlignment="1">
      <alignment horizontal="center" vertical="top" wrapText="1"/>
    </xf>
    <xf numFmtId="4" fontId="40" fillId="0" borderId="3" xfId="0" applyNumberFormat="1" applyFont="1" applyBorder="1" applyAlignment="1">
      <alignment horizontal="right" vertical="top" wrapText="1"/>
    </xf>
    <xf numFmtId="3" fontId="40" fillId="0" borderId="3" xfId="4" applyNumberFormat="1" applyFont="1" applyBorder="1" applyAlignment="1">
      <alignment horizontal="center" vertical="center"/>
    </xf>
    <xf numFmtId="0" fontId="40" fillId="0" borderId="0" xfId="0" applyFont="1" applyAlignment="1">
      <alignment horizontal="left" vertical="top"/>
    </xf>
    <xf numFmtId="0" fontId="39" fillId="0" borderId="0" xfId="0" applyFont="1" applyAlignment="1">
      <alignment vertical="top" wrapText="1"/>
    </xf>
    <xf numFmtId="0" fontId="40" fillId="0" borderId="3" xfId="4" applyFont="1" applyBorder="1" applyAlignment="1">
      <alignment horizontal="center" vertical="center" wrapText="1"/>
    </xf>
    <xf numFmtId="0" fontId="40" fillId="0" borderId="1" xfId="0" applyFont="1" applyBorder="1" applyAlignment="1">
      <alignment horizontal="left" vertical="top" wrapText="1"/>
    </xf>
    <xf numFmtId="0" fontId="40" fillId="0" borderId="3" xfId="0" applyFont="1" applyBorder="1" applyAlignment="1">
      <alignment horizontal="left" vertical="top" wrapText="1"/>
    </xf>
    <xf numFmtId="3" fontId="40" fillId="0" borderId="3" xfId="4" applyNumberFormat="1" applyFont="1" applyBorder="1" applyAlignment="1">
      <alignment horizontal="right" vertical="top" wrapText="1"/>
    </xf>
    <xf numFmtId="0" fontId="40" fillId="0" borderId="3" xfId="4" applyFont="1" applyBorder="1" applyAlignment="1">
      <alignment horizontal="left" vertical="top" wrapText="1"/>
    </xf>
    <xf numFmtId="3" fontId="40" fillId="0" borderId="3" xfId="4" applyNumberFormat="1" applyFont="1" applyBorder="1" applyAlignment="1">
      <alignment horizontal="left" vertical="top" wrapText="1"/>
    </xf>
  </cellXfs>
  <cellStyles count="6">
    <cellStyle name="Normal" xfId="0" builtinId="0"/>
    <cellStyle name="Normal 2" xfId="1" xr:uid="{00000000-0005-0000-0000-000001000000}"/>
    <cellStyle name="Normal 3" xfId="2" xr:uid="{00000000-0005-0000-0000-000002000000}"/>
    <cellStyle name="Normal 4" xfId="4" xr:uid="{00000000-0005-0000-0000-000004000000}"/>
    <cellStyle name="Percent" xfId="5" builtinId="5"/>
    <cellStyle name="Percent 2" xfId="3" xr:uid="{00000000-0005-0000-0000-000003000000}"/>
  </cellStyles>
  <dxfs count="9">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G94"/>
  <sheetViews>
    <sheetView topLeftCell="A19" workbookViewId="0">
      <selection activeCell="G19" sqref="G19"/>
    </sheetView>
  </sheetViews>
  <sheetFormatPr defaultColWidth="9.109375" defaultRowHeight="13.8" x14ac:dyDescent="0.3"/>
  <cols>
    <col min="1" max="1" width="59.109375" style="107" customWidth="1"/>
    <col min="2" max="4" width="12.88671875" style="203" customWidth="1"/>
    <col min="5" max="5" width="13.88671875" style="37" customWidth="1"/>
    <col min="6" max="6" width="9.109375" style="246" customWidth="1"/>
    <col min="7" max="7" width="12.33203125" style="246" bestFit="1" customWidth="1"/>
    <col min="8" max="8" width="9.109375" style="246" customWidth="1"/>
    <col min="9" max="16384" width="9.109375" style="246"/>
  </cols>
  <sheetData>
    <row r="1" spans="1:5" s="31" customFormat="1" ht="14.4" customHeight="1" x14ac:dyDescent="0.3">
      <c r="A1" s="272" t="s">
        <v>0</v>
      </c>
      <c r="B1" s="29"/>
      <c r="C1" s="29"/>
      <c r="D1" s="29"/>
      <c r="E1" s="30"/>
    </row>
    <row r="2" spans="1:5" s="31" customFormat="1" x14ac:dyDescent="0.3">
      <c r="A2" s="32"/>
      <c r="B2" s="29"/>
      <c r="C2" s="29"/>
      <c r="D2" s="29"/>
      <c r="E2" s="30"/>
    </row>
    <row r="3" spans="1:5" s="31" customFormat="1" ht="43.5" customHeight="1" x14ac:dyDescent="0.3">
      <c r="A3" s="318" t="s">
        <v>1</v>
      </c>
      <c r="B3" s="319"/>
      <c r="C3" s="319"/>
      <c r="D3" s="319"/>
      <c r="E3" s="30"/>
    </row>
    <row r="4" spans="1:5" s="31" customFormat="1" x14ac:dyDescent="0.3">
      <c r="A4" s="186"/>
      <c r="B4" s="186"/>
      <c r="C4" s="186"/>
      <c r="D4" s="186"/>
      <c r="E4" s="30"/>
    </row>
    <row r="5" spans="1:5" x14ac:dyDescent="0.3">
      <c r="A5" s="248"/>
      <c r="B5" s="240">
        <v>2018</v>
      </c>
      <c r="C5" s="240">
        <v>2019</v>
      </c>
      <c r="D5" s="240" t="s">
        <v>2</v>
      </c>
    </row>
    <row r="6" spans="1:5" s="51" customFormat="1" x14ac:dyDescent="0.3">
      <c r="A6" s="248" t="s">
        <v>3</v>
      </c>
      <c r="B6" s="290"/>
      <c r="C6" s="109"/>
      <c r="D6" s="109"/>
      <c r="E6" s="36"/>
    </row>
    <row r="7" spans="1:5" x14ac:dyDescent="0.3">
      <c r="A7" s="288" t="s">
        <v>4</v>
      </c>
      <c r="B7" s="292">
        <v>13722</v>
      </c>
      <c r="C7" s="293">
        <v>17237</v>
      </c>
      <c r="D7" s="34"/>
    </row>
    <row r="8" spans="1:5" x14ac:dyDescent="0.3">
      <c r="A8" s="67" t="s">
        <v>5</v>
      </c>
      <c r="B8" s="291"/>
      <c r="C8" s="67"/>
      <c r="D8" s="67"/>
    </row>
    <row r="9" spans="1:5" x14ac:dyDescent="0.3">
      <c r="A9" s="33" t="s">
        <v>6</v>
      </c>
      <c r="B9" s="293">
        <f>9376787+3991674-551057</f>
        <v>12817404</v>
      </c>
      <c r="C9" s="293">
        <v>8676793</v>
      </c>
      <c r="D9" s="34">
        <v>0</v>
      </c>
    </row>
    <row r="10" spans="1:5" x14ac:dyDescent="0.3">
      <c r="A10" s="33" t="s">
        <v>7</v>
      </c>
      <c r="B10" s="34">
        <f>2437608-1575415-1</f>
        <v>862192</v>
      </c>
      <c r="C10" s="34">
        <f>3621051-1504903-1</f>
        <v>2116147</v>
      </c>
      <c r="D10" s="34"/>
    </row>
    <row r="11" spans="1:5" x14ac:dyDescent="0.3">
      <c r="A11" s="33" t="s">
        <v>8</v>
      </c>
      <c r="B11" s="34">
        <f>981419-607261+1</f>
        <v>374159</v>
      </c>
      <c r="C11" s="34">
        <f>1451990-794475+1</f>
        <v>657516</v>
      </c>
      <c r="D11" s="34"/>
    </row>
    <row r="12" spans="1:5" x14ac:dyDescent="0.3">
      <c r="A12" s="33" t="s">
        <v>9</v>
      </c>
      <c r="B12" s="34">
        <v>0</v>
      </c>
      <c r="C12" s="34">
        <v>0</v>
      </c>
      <c r="D12" s="34">
        <v>0</v>
      </c>
    </row>
    <row r="13" spans="1:5" x14ac:dyDescent="0.3">
      <c r="A13" s="33" t="s">
        <v>10</v>
      </c>
      <c r="B13" s="294">
        <v>0</v>
      </c>
      <c r="C13" s="34">
        <v>0</v>
      </c>
      <c r="D13" s="34">
        <v>0</v>
      </c>
    </row>
    <row r="14" spans="1:5" x14ac:dyDescent="0.3">
      <c r="A14" s="288" t="s">
        <v>11</v>
      </c>
      <c r="B14" s="292">
        <v>94615</v>
      </c>
      <c r="C14" s="293">
        <v>653188</v>
      </c>
      <c r="D14" s="34">
        <v>0</v>
      </c>
    </row>
    <row r="15" spans="1:5" x14ac:dyDescent="0.3">
      <c r="A15" s="33" t="s">
        <v>12</v>
      </c>
      <c r="B15" s="295">
        <v>0</v>
      </c>
      <c r="C15" s="34">
        <v>0</v>
      </c>
      <c r="D15" s="34">
        <v>0</v>
      </c>
    </row>
    <row r="16" spans="1:5" x14ac:dyDescent="0.3">
      <c r="A16" s="33" t="s">
        <v>13</v>
      </c>
      <c r="B16" s="39">
        <f>SUM(B9:B15)</f>
        <v>14148370</v>
      </c>
      <c r="C16" s="303">
        <f>SUM(C9:C15)</f>
        <v>12103644</v>
      </c>
      <c r="D16" s="39">
        <f>SUM(D9:D15)</f>
        <v>0</v>
      </c>
    </row>
    <row r="17" spans="1:5" x14ac:dyDescent="0.3">
      <c r="A17" s="33" t="s">
        <v>14</v>
      </c>
      <c r="B17" s="296">
        <v>436925</v>
      </c>
      <c r="C17" s="292">
        <v>1226351</v>
      </c>
      <c r="D17" s="289">
        <v>0</v>
      </c>
    </row>
    <row r="18" spans="1:5" x14ac:dyDescent="0.3">
      <c r="A18" s="35" t="s">
        <v>15</v>
      </c>
      <c r="B18" s="182">
        <f>SUM(B7+B16+B17)</f>
        <v>14599017</v>
      </c>
      <c r="C18" s="297">
        <f>SUM(C7+C16+C17)</f>
        <v>13347232</v>
      </c>
      <c r="D18" s="182">
        <f>SUM(D7+D16+D17)</f>
        <v>0</v>
      </c>
    </row>
    <row r="19" spans="1:5" s="51" customFormat="1" x14ac:dyDescent="0.3">
      <c r="A19" s="35" t="s">
        <v>16</v>
      </c>
      <c r="B19" s="104"/>
      <c r="C19" s="104"/>
      <c r="D19" s="104"/>
      <c r="E19" s="36"/>
    </row>
    <row r="20" spans="1:5" x14ac:dyDescent="0.3">
      <c r="A20" s="33" t="s">
        <v>17</v>
      </c>
      <c r="B20" s="298"/>
      <c r="C20" s="298"/>
      <c r="D20" s="67"/>
    </row>
    <row r="21" spans="1:5" x14ac:dyDescent="0.3">
      <c r="A21" s="288" t="s">
        <v>18</v>
      </c>
      <c r="B21" s="292">
        <v>734</v>
      </c>
      <c r="C21" s="292">
        <v>680</v>
      </c>
      <c r="D21" s="289"/>
    </row>
    <row r="22" spans="1:5" x14ac:dyDescent="0.3">
      <c r="A22" s="33" t="s">
        <v>19</v>
      </c>
      <c r="B22" s="299">
        <v>0</v>
      </c>
      <c r="C22" s="299">
        <v>0</v>
      </c>
      <c r="D22" s="34">
        <v>0</v>
      </c>
    </row>
    <row r="23" spans="1:5" x14ac:dyDescent="0.3">
      <c r="A23" s="288" t="s">
        <v>20</v>
      </c>
      <c r="B23" s="300">
        <v>15024030</v>
      </c>
      <c r="C23" s="300">
        <v>19133954</v>
      </c>
      <c r="D23" s="289">
        <v>0</v>
      </c>
    </row>
    <row r="24" spans="1:5" x14ac:dyDescent="0.3">
      <c r="A24" s="288" t="s">
        <v>21</v>
      </c>
      <c r="B24" s="292">
        <v>0</v>
      </c>
      <c r="C24" s="292">
        <v>0</v>
      </c>
      <c r="D24" s="289">
        <v>0</v>
      </c>
    </row>
    <row r="25" spans="1:5" s="51" customFormat="1" x14ac:dyDescent="0.3">
      <c r="A25" s="33" t="s">
        <v>22</v>
      </c>
      <c r="B25" s="301">
        <f>SUM(B21:B24)</f>
        <v>15024764</v>
      </c>
      <c r="C25" s="301">
        <f>SUM(C21:C24)</f>
        <v>19134634</v>
      </c>
      <c r="D25" s="39">
        <f>SUM(D21:D24)</f>
        <v>0</v>
      </c>
      <c r="E25" s="36"/>
    </row>
    <row r="26" spans="1:5" x14ac:dyDescent="0.3">
      <c r="A26" s="288" t="s">
        <v>23</v>
      </c>
      <c r="B26" s="292">
        <v>13739119</v>
      </c>
      <c r="C26" s="292">
        <v>32781106</v>
      </c>
      <c r="D26" s="289"/>
    </row>
    <row r="27" spans="1:5" x14ac:dyDescent="0.3">
      <c r="A27" s="33" t="s">
        <v>24</v>
      </c>
      <c r="B27" s="299">
        <v>0</v>
      </c>
      <c r="C27" s="299">
        <v>0</v>
      </c>
      <c r="D27" s="34">
        <v>0</v>
      </c>
    </row>
    <row r="28" spans="1:5" x14ac:dyDescent="0.3">
      <c r="A28" s="288" t="s">
        <v>25</v>
      </c>
      <c r="B28" s="292">
        <v>11036508</v>
      </c>
      <c r="C28" s="292">
        <v>1964645</v>
      </c>
      <c r="D28" s="289"/>
    </row>
    <row r="29" spans="1:5" s="51" customFormat="1" x14ac:dyDescent="0.3">
      <c r="A29" s="35" t="s">
        <v>26</v>
      </c>
      <c r="B29" s="297">
        <f>SUM(B26:B28)+B25</f>
        <v>39800391</v>
      </c>
      <c r="C29" s="297">
        <f>SUM(C26:C28)+C25</f>
        <v>53880385</v>
      </c>
      <c r="D29" s="182">
        <f>SUM(D26:D28)+D25</f>
        <v>0</v>
      </c>
      <c r="E29" s="36"/>
    </row>
    <row r="30" spans="1:5" s="51" customFormat="1" x14ac:dyDescent="0.3">
      <c r="A30" s="35" t="s">
        <v>27</v>
      </c>
      <c r="B30" s="175">
        <f>B31+B32</f>
        <v>0</v>
      </c>
      <c r="C30" s="175">
        <f>C31+C32</f>
        <v>0</v>
      </c>
      <c r="D30" s="175">
        <f>D31+D32</f>
        <v>0</v>
      </c>
      <c r="E30" s="36"/>
    </row>
    <row r="31" spans="1:5" s="51" customFormat="1" x14ac:dyDescent="0.3">
      <c r="A31" s="33" t="s">
        <v>28</v>
      </c>
      <c r="B31" s="34"/>
      <c r="C31" s="34"/>
      <c r="D31" s="34"/>
      <c r="E31" s="36"/>
    </row>
    <row r="32" spans="1:5" s="51" customFormat="1" x14ac:dyDescent="0.3">
      <c r="A32" s="33" t="s">
        <v>29</v>
      </c>
      <c r="B32" s="34">
        <v>0</v>
      </c>
      <c r="C32" s="34">
        <v>0</v>
      </c>
      <c r="D32" s="34">
        <v>0</v>
      </c>
      <c r="E32" s="36"/>
    </row>
    <row r="33" spans="1:5" s="51" customFormat="1" x14ac:dyDescent="0.3">
      <c r="A33" s="104" t="s">
        <v>30</v>
      </c>
      <c r="B33" s="104"/>
      <c r="C33" s="104"/>
      <c r="D33" s="104"/>
      <c r="E33" s="36"/>
    </row>
    <row r="34" spans="1:5" ht="27.6" customHeight="1" x14ac:dyDescent="0.3">
      <c r="A34" s="33" t="s">
        <v>31</v>
      </c>
      <c r="B34" s="34">
        <v>0</v>
      </c>
      <c r="C34" s="34">
        <v>0</v>
      </c>
      <c r="D34" s="34">
        <v>0</v>
      </c>
    </row>
    <row r="35" spans="1:5" x14ac:dyDescent="0.3">
      <c r="A35" s="33" t="s">
        <v>32</v>
      </c>
      <c r="B35" s="34">
        <v>0</v>
      </c>
      <c r="C35" s="293">
        <v>4779300</v>
      </c>
      <c r="D35" s="34">
        <v>0</v>
      </c>
    </row>
    <row r="36" spans="1:5" x14ac:dyDescent="0.3">
      <c r="A36" s="33" t="s">
        <v>33</v>
      </c>
      <c r="B36" s="294">
        <v>0</v>
      </c>
      <c r="C36" s="294">
        <v>0</v>
      </c>
      <c r="D36" s="34">
        <v>0</v>
      </c>
    </row>
    <row r="37" spans="1:5" x14ac:dyDescent="0.3">
      <c r="A37" s="288" t="s">
        <v>34</v>
      </c>
      <c r="B37" s="292">
        <v>562798</v>
      </c>
      <c r="C37" s="292">
        <v>-1448815</v>
      </c>
      <c r="D37" s="289"/>
    </row>
    <row r="38" spans="1:5" x14ac:dyDescent="0.3">
      <c r="A38" s="33" t="s">
        <v>35</v>
      </c>
      <c r="B38" s="295">
        <v>0</v>
      </c>
      <c r="C38" s="295">
        <v>0</v>
      </c>
      <c r="D38" s="34">
        <v>0</v>
      </c>
    </row>
    <row r="39" spans="1:5" x14ac:dyDescent="0.3">
      <c r="A39" s="33" t="s">
        <v>36</v>
      </c>
      <c r="B39" s="34">
        <v>0</v>
      </c>
      <c r="C39" s="34">
        <v>0</v>
      </c>
      <c r="D39" s="34">
        <v>0</v>
      </c>
    </row>
    <row r="40" spans="1:5" ht="27.6" customHeight="1" x14ac:dyDescent="0.3">
      <c r="A40" s="33" t="s">
        <v>37</v>
      </c>
      <c r="B40" s="294">
        <v>0</v>
      </c>
      <c r="C40" s="294">
        <v>0</v>
      </c>
      <c r="D40" s="34">
        <v>0</v>
      </c>
    </row>
    <row r="41" spans="1:5" ht="27.6" customHeight="1" x14ac:dyDescent="0.3">
      <c r="A41" s="288" t="s">
        <v>38</v>
      </c>
      <c r="B41" s="292">
        <v>1485236</v>
      </c>
      <c r="C41" s="292">
        <v>1379781</v>
      </c>
      <c r="D41" s="289"/>
    </row>
    <row r="42" spans="1:5" x14ac:dyDescent="0.3">
      <c r="A42" s="35" t="s">
        <v>39</v>
      </c>
      <c r="B42" s="297">
        <f>SUM(B34:B41)</f>
        <v>2048034</v>
      </c>
      <c r="C42" s="297">
        <f>SUM(C34:C41)</f>
        <v>4710266</v>
      </c>
      <c r="D42" s="182">
        <f>SUM(D34:D41)</f>
        <v>0</v>
      </c>
    </row>
    <row r="43" spans="1:5" s="51" customFormat="1" x14ac:dyDescent="0.3">
      <c r="A43" s="35" t="s">
        <v>40</v>
      </c>
      <c r="B43" s="182">
        <f>B29+B31-B42-B58-B61-B64</f>
        <v>37752357</v>
      </c>
      <c r="C43" s="182">
        <f>C29+C31-C42-C58-C61-C64</f>
        <v>49170119</v>
      </c>
      <c r="D43" s="182">
        <f>D29+D31-D42-D58-D61-D64</f>
        <v>0</v>
      </c>
      <c r="E43" s="36"/>
    </row>
    <row r="44" spans="1:5" s="51" customFormat="1" x14ac:dyDescent="0.3">
      <c r="A44" s="35" t="s">
        <v>41</v>
      </c>
      <c r="B44" s="38">
        <f>B18+B43+B32</f>
        <v>52351374</v>
      </c>
      <c r="C44" s="38">
        <f>C18+C43+C32</f>
        <v>62517351</v>
      </c>
      <c r="D44" s="38">
        <f>D18+D43+D32</f>
        <v>0</v>
      </c>
    </row>
    <row r="45" spans="1:5" x14ac:dyDescent="0.3">
      <c r="A45" s="104" t="s">
        <v>42</v>
      </c>
      <c r="B45" s="104"/>
      <c r="C45" s="104"/>
      <c r="D45" s="104"/>
    </row>
    <row r="46" spans="1:5" ht="27.6" customHeight="1" x14ac:dyDescent="0.3">
      <c r="A46" s="33" t="s">
        <v>43</v>
      </c>
      <c r="B46" s="34">
        <v>0</v>
      </c>
      <c r="C46" s="34">
        <v>0</v>
      </c>
      <c r="D46" s="34">
        <v>0</v>
      </c>
    </row>
    <row r="47" spans="1:5" x14ac:dyDescent="0.3">
      <c r="A47" s="33" t="s">
        <v>32</v>
      </c>
      <c r="B47" s="34">
        <v>0</v>
      </c>
      <c r="C47" s="34">
        <v>0</v>
      </c>
      <c r="D47" s="34">
        <v>0</v>
      </c>
    </row>
    <row r="48" spans="1:5" x14ac:dyDescent="0.3">
      <c r="A48" s="33" t="s">
        <v>33</v>
      </c>
      <c r="B48" s="34">
        <v>0</v>
      </c>
      <c r="C48" s="34">
        <v>0</v>
      </c>
      <c r="D48" s="34">
        <v>0</v>
      </c>
    </row>
    <row r="49" spans="1:5" x14ac:dyDescent="0.3">
      <c r="A49" s="33" t="s">
        <v>34</v>
      </c>
      <c r="B49" s="34">
        <v>0</v>
      </c>
      <c r="C49" s="34">
        <v>0</v>
      </c>
      <c r="D49" s="34">
        <v>0</v>
      </c>
    </row>
    <row r="50" spans="1:5" x14ac:dyDescent="0.3">
      <c r="A50" s="33" t="s">
        <v>44</v>
      </c>
      <c r="B50" s="34">
        <v>0</v>
      </c>
      <c r="C50" s="34">
        <v>0</v>
      </c>
      <c r="D50" s="34">
        <v>0</v>
      </c>
    </row>
    <row r="51" spans="1:5" x14ac:dyDescent="0.3">
      <c r="A51" s="33" t="s">
        <v>45</v>
      </c>
      <c r="B51" s="34">
        <v>0</v>
      </c>
      <c r="C51" s="34">
        <v>0</v>
      </c>
      <c r="D51" s="34">
        <v>0</v>
      </c>
    </row>
    <row r="52" spans="1:5" ht="27.6" customHeight="1" x14ac:dyDescent="0.3">
      <c r="A52" s="33" t="s">
        <v>37</v>
      </c>
      <c r="B52" s="34">
        <v>0</v>
      </c>
      <c r="C52" s="34">
        <v>0</v>
      </c>
      <c r="D52" s="34">
        <v>0</v>
      </c>
    </row>
    <row r="53" spans="1:5" ht="27.6" customHeight="1" x14ac:dyDescent="0.3">
      <c r="A53" s="33" t="s">
        <v>46</v>
      </c>
      <c r="B53" s="34">
        <v>0</v>
      </c>
      <c r="C53" s="34">
        <v>0</v>
      </c>
      <c r="D53" s="34"/>
    </row>
    <row r="54" spans="1:5" s="51" customFormat="1" x14ac:dyDescent="0.3">
      <c r="A54" s="35" t="s">
        <v>47</v>
      </c>
      <c r="B54" s="182">
        <f>SUM(B46:B53)</f>
        <v>0</v>
      </c>
      <c r="C54" s="182">
        <f>SUM(C46:C53)</f>
        <v>0</v>
      </c>
      <c r="D54" s="182">
        <f>SUM(D46:D53)</f>
        <v>0</v>
      </c>
      <c r="E54" s="36"/>
    </row>
    <row r="55" spans="1:5" s="51" customFormat="1" x14ac:dyDescent="0.3">
      <c r="A55" s="35" t="s">
        <v>48</v>
      </c>
      <c r="B55" s="34">
        <v>0</v>
      </c>
      <c r="C55" s="34">
        <v>0</v>
      </c>
      <c r="D55" s="34">
        <v>0</v>
      </c>
      <c r="E55" s="36"/>
    </row>
    <row r="56" spans="1:5" s="51" customFormat="1" x14ac:dyDescent="0.3">
      <c r="A56" s="35" t="s">
        <v>49</v>
      </c>
      <c r="B56" s="176">
        <f>B57+B60+B63+B66</f>
        <v>0</v>
      </c>
      <c r="C56" s="176">
        <f>C57+C60+C63+C66</f>
        <v>0</v>
      </c>
      <c r="D56" s="176">
        <f>D57+D60+D63+D66</f>
        <v>0</v>
      </c>
      <c r="E56" s="36"/>
    </row>
    <row r="57" spans="1:5" s="51" customFormat="1" x14ac:dyDescent="0.3">
      <c r="A57" s="33" t="s">
        <v>50</v>
      </c>
      <c r="B57" s="176">
        <f>B58+B59</f>
        <v>0</v>
      </c>
      <c r="C57" s="176">
        <f>C58+C59</f>
        <v>0</v>
      </c>
      <c r="D57" s="176">
        <f>D58+D59</f>
        <v>0</v>
      </c>
      <c r="E57" s="36"/>
    </row>
    <row r="58" spans="1:5" s="51" customFormat="1" x14ac:dyDescent="0.3">
      <c r="A58" s="33" t="s">
        <v>51</v>
      </c>
      <c r="B58" s="34">
        <v>0</v>
      </c>
      <c r="C58" s="34">
        <v>0</v>
      </c>
      <c r="D58" s="34">
        <v>0</v>
      </c>
      <c r="E58" s="36"/>
    </row>
    <row r="59" spans="1:5" s="51" customFormat="1" x14ac:dyDescent="0.3">
      <c r="A59" s="33" t="s">
        <v>52</v>
      </c>
      <c r="B59" s="34">
        <v>0</v>
      </c>
      <c r="C59" s="34">
        <v>0</v>
      </c>
      <c r="D59" s="34">
        <v>0</v>
      </c>
      <c r="E59" s="36"/>
    </row>
    <row r="60" spans="1:5" s="51" customFormat="1" x14ac:dyDescent="0.3">
      <c r="A60" s="33" t="s">
        <v>53</v>
      </c>
      <c r="B60" s="176">
        <f>B61+B62</f>
        <v>0</v>
      </c>
      <c r="C60" s="176">
        <f>C61+C62</f>
        <v>0</v>
      </c>
      <c r="D60" s="176">
        <f>D61+D62</f>
        <v>0</v>
      </c>
      <c r="E60" s="36"/>
    </row>
    <row r="61" spans="1:5" s="51" customFormat="1" x14ac:dyDescent="0.3">
      <c r="A61" s="33" t="s">
        <v>54</v>
      </c>
      <c r="B61" s="34">
        <v>0</v>
      </c>
      <c r="C61" s="34">
        <v>0</v>
      </c>
      <c r="D61" s="34">
        <v>0</v>
      </c>
      <c r="E61" s="36"/>
    </row>
    <row r="62" spans="1:5" s="51" customFormat="1" x14ac:dyDescent="0.3">
      <c r="A62" s="33" t="s">
        <v>55</v>
      </c>
      <c r="B62" s="34">
        <v>0</v>
      </c>
      <c r="C62" s="34">
        <v>0</v>
      </c>
      <c r="D62" s="34">
        <v>0</v>
      </c>
      <c r="E62" s="36"/>
    </row>
    <row r="63" spans="1:5" s="51" customFormat="1" x14ac:dyDescent="0.3">
      <c r="A63" s="35" t="s">
        <v>56</v>
      </c>
      <c r="B63" s="176">
        <f>B64+B65</f>
        <v>0</v>
      </c>
      <c r="C63" s="176">
        <f>C64+C65</f>
        <v>0</v>
      </c>
      <c r="D63" s="176">
        <f>D64+D65</f>
        <v>0</v>
      </c>
      <c r="E63" s="36"/>
    </row>
    <row r="64" spans="1:5" s="51" customFormat="1" x14ac:dyDescent="0.3">
      <c r="A64" s="33" t="s">
        <v>51</v>
      </c>
      <c r="B64" s="34">
        <v>0</v>
      </c>
      <c r="C64" s="34">
        <v>0</v>
      </c>
      <c r="D64" s="34">
        <v>0</v>
      </c>
      <c r="E64" s="36"/>
    </row>
    <row r="65" spans="1:5" s="51" customFormat="1" x14ac:dyDescent="0.3">
      <c r="A65" s="33" t="s">
        <v>52</v>
      </c>
      <c r="B65" s="34">
        <v>0</v>
      </c>
      <c r="C65" s="34">
        <v>0</v>
      </c>
      <c r="D65" s="34">
        <v>0</v>
      </c>
      <c r="E65" s="36"/>
    </row>
    <row r="66" spans="1:5" s="51" customFormat="1" x14ac:dyDescent="0.3">
      <c r="A66" s="33" t="s">
        <v>57</v>
      </c>
      <c r="B66" s="34">
        <v>0</v>
      </c>
      <c r="C66" s="34">
        <v>0</v>
      </c>
      <c r="D66" s="34">
        <v>0</v>
      </c>
      <c r="E66" s="36"/>
    </row>
    <row r="67" spans="1:5" s="51" customFormat="1" x14ac:dyDescent="0.3">
      <c r="A67" s="104" t="s">
        <v>58</v>
      </c>
      <c r="B67" s="104"/>
      <c r="C67" s="104"/>
      <c r="D67" s="104"/>
      <c r="E67" s="36"/>
    </row>
    <row r="68" spans="1:5" x14ac:dyDescent="0.3">
      <c r="A68" s="33" t="s">
        <v>59</v>
      </c>
      <c r="B68" s="303">
        <f>SUM(B69:B73)</f>
        <v>200</v>
      </c>
      <c r="C68" s="303">
        <f>SUM(C69:C73)</f>
        <v>200</v>
      </c>
      <c r="D68" s="39">
        <f>SUM(D69:D73)</f>
        <v>0</v>
      </c>
    </row>
    <row r="69" spans="1:5" x14ac:dyDescent="0.3">
      <c r="A69" s="302" t="s">
        <v>60</v>
      </c>
      <c r="B69" s="292">
        <v>200</v>
      </c>
      <c r="C69" s="292">
        <v>200</v>
      </c>
      <c r="D69" s="289"/>
    </row>
    <row r="70" spans="1:5" x14ac:dyDescent="0.3">
      <c r="A70" s="40" t="s">
        <v>61</v>
      </c>
      <c r="B70" s="295">
        <v>0</v>
      </c>
      <c r="C70" s="295">
        <v>0</v>
      </c>
      <c r="D70" s="34">
        <v>0</v>
      </c>
    </row>
    <row r="71" spans="1:5" x14ac:dyDescent="0.3">
      <c r="A71" s="40" t="s">
        <v>62</v>
      </c>
      <c r="B71" s="34">
        <v>0</v>
      </c>
      <c r="C71" s="34">
        <v>0</v>
      </c>
      <c r="D71" s="34">
        <v>0</v>
      </c>
    </row>
    <row r="72" spans="1:5" x14ac:dyDescent="0.3">
      <c r="A72" s="40" t="s">
        <v>63</v>
      </c>
      <c r="B72" s="34">
        <v>0</v>
      </c>
      <c r="C72" s="34">
        <v>0</v>
      </c>
      <c r="D72" s="34">
        <v>0</v>
      </c>
    </row>
    <row r="73" spans="1:5" x14ac:dyDescent="0.3">
      <c r="A73" s="40" t="s">
        <v>64</v>
      </c>
      <c r="B73" s="34">
        <v>0</v>
      </c>
      <c r="C73" s="34">
        <v>0</v>
      </c>
      <c r="D73" s="34">
        <v>0</v>
      </c>
    </row>
    <row r="74" spans="1:5" x14ac:dyDescent="0.3">
      <c r="A74" s="33" t="s">
        <v>65</v>
      </c>
      <c r="B74" s="34">
        <v>0</v>
      </c>
      <c r="C74" s="34">
        <v>0</v>
      </c>
      <c r="D74" s="34">
        <v>0</v>
      </c>
    </row>
    <row r="75" spans="1:5" x14ac:dyDescent="0.3">
      <c r="A75" s="33" t="s">
        <v>66</v>
      </c>
      <c r="B75" s="303">
        <f>B76-B77</f>
        <v>1839043</v>
      </c>
      <c r="C75" s="303">
        <f>C76-C77</f>
        <v>1801772</v>
      </c>
      <c r="D75" s="39">
        <f>D76-D77</f>
        <v>0</v>
      </c>
    </row>
    <row r="76" spans="1:5" x14ac:dyDescent="0.3">
      <c r="A76" s="288" t="s">
        <v>67</v>
      </c>
      <c r="B76" s="292">
        <v>1839043</v>
      </c>
      <c r="C76" s="292">
        <v>1801772</v>
      </c>
      <c r="D76" s="289">
        <v>0</v>
      </c>
    </row>
    <row r="77" spans="1:5" x14ac:dyDescent="0.3">
      <c r="A77" s="33" t="s">
        <v>68</v>
      </c>
      <c r="B77" s="295">
        <v>0</v>
      </c>
      <c r="C77" s="295">
        <v>0</v>
      </c>
      <c r="D77" s="34">
        <v>0</v>
      </c>
    </row>
    <row r="78" spans="1:5" x14ac:dyDescent="0.3">
      <c r="A78" s="33" t="s">
        <v>69</v>
      </c>
      <c r="B78" s="304">
        <f>40+18413</f>
        <v>18453</v>
      </c>
      <c r="C78" s="34">
        <v>18453</v>
      </c>
      <c r="D78" s="34"/>
    </row>
    <row r="79" spans="1:5" x14ac:dyDescent="0.3">
      <c r="A79" s="33" t="s">
        <v>70</v>
      </c>
      <c r="B79" s="34">
        <v>0</v>
      </c>
      <c r="C79" s="34">
        <v>0</v>
      </c>
      <c r="D79" s="34">
        <v>0</v>
      </c>
    </row>
    <row r="80" spans="1:5" x14ac:dyDescent="0.3">
      <c r="A80" s="33" t="s">
        <v>71</v>
      </c>
      <c r="B80" s="34">
        <v>0</v>
      </c>
      <c r="C80" s="34">
        <v>0</v>
      </c>
      <c r="D80" s="34">
        <v>0</v>
      </c>
    </row>
    <row r="81" spans="1:7" x14ac:dyDescent="0.3">
      <c r="A81" s="33" t="s">
        <v>72</v>
      </c>
      <c r="B81" s="34">
        <v>0</v>
      </c>
      <c r="C81" s="34">
        <v>0</v>
      </c>
      <c r="D81" s="34">
        <v>0</v>
      </c>
    </row>
    <row r="82" spans="1:7" x14ac:dyDescent="0.3">
      <c r="A82" s="35" t="s">
        <v>73</v>
      </c>
      <c r="B82" s="303">
        <f>B83-B84</f>
        <v>36457078</v>
      </c>
      <c r="C82" s="303">
        <f>C83-C84</f>
        <v>45999447</v>
      </c>
      <c r="D82" s="39">
        <f>D83-D84</f>
        <v>0</v>
      </c>
    </row>
    <row r="83" spans="1:7" x14ac:dyDescent="0.3">
      <c r="A83" s="288" t="s">
        <v>67</v>
      </c>
      <c r="B83" s="292">
        <v>36457078</v>
      </c>
      <c r="C83" s="292">
        <v>45999447</v>
      </c>
      <c r="D83" s="289"/>
    </row>
    <row r="84" spans="1:7" x14ac:dyDescent="0.3">
      <c r="A84" s="33" t="s">
        <v>68</v>
      </c>
      <c r="B84" s="295">
        <v>0</v>
      </c>
      <c r="C84" s="295"/>
      <c r="D84" s="34">
        <v>0</v>
      </c>
    </row>
    <row r="85" spans="1:7" x14ac:dyDescent="0.3">
      <c r="A85" s="35" t="s">
        <v>74</v>
      </c>
      <c r="B85" s="303">
        <f>B86-B87</f>
        <v>14036600</v>
      </c>
      <c r="C85" s="303">
        <f>C86-C87</f>
        <v>14697479</v>
      </c>
      <c r="D85" s="39">
        <f>D86-D87</f>
        <v>0</v>
      </c>
    </row>
    <row r="86" spans="1:7" x14ac:dyDescent="0.3">
      <c r="A86" s="288" t="s">
        <v>67</v>
      </c>
      <c r="B86" s="292">
        <v>14036600</v>
      </c>
      <c r="C86" s="292">
        <v>14697479</v>
      </c>
      <c r="D86" s="289"/>
    </row>
    <row r="87" spans="1:7" x14ac:dyDescent="0.3">
      <c r="A87" s="33" t="s">
        <v>68</v>
      </c>
      <c r="B87" s="295"/>
      <c r="C87" s="295">
        <v>0</v>
      </c>
      <c r="D87" s="34">
        <v>0</v>
      </c>
    </row>
    <row r="88" spans="1:7" x14ac:dyDescent="0.3">
      <c r="A88" s="33" t="s">
        <v>75</v>
      </c>
      <c r="B88" s="34">
        <v>0</v>
      </c>
      <c r="C88" s="34"/>
      <c r="D88" s="34"/>
    </row>
    <row r="89" spans="1:7" x14ac:dyDescent="0.3">
      <c r="A89" s="35" t="s">
        <v>76</v>
      </c>
      <c r="B89" s="182">
        <f>B68+B74+B75+B78-B79+B80-B81+B83-B84+B86-B87-B88</f>
        <v>52351374</v>
      </c>
      <c r="C89" s="182">
        <f>C68+C74+C75+C78-C79+C80-C81+C83-C84+C86-C87-C88</f>
        <v>62517351</v>
      </c>
      <c r="D89" s="182">
        <f>D68+D74+D75+D78-D79+D80-D81+D83-D84+D86-D87-D88</f>
        <v>0</v>
      </c>
    </row>
    <row r="90" spans="1:7" x14ac:dyDescent="0.3">
      <c r="A90" s="35" t="s">
        <v>77</v>
      </c>
      <c r="B90" s="41">
        <v>0</v>
      </c>
      <c r="C90" s="41">
        <v>0</v>
      </c>
      <c r="D90" s="41">
        <v>0</v>
      </c>
    </row>
    <row r="91" spans="1:7" x14ac:dyDescent="0.3">
      <c r="A91" s="35" t="s">
        <v>78</v>
      </c>
      <c r="B91" s="41">
        <v>0</v>
      </c>
      <c r="C91" s="41">
        <v>0</v>
      </c>
      <c r="D91" s="41">
        <v>0</v>
      </c>
    </row>
    <row r="92" spans="1:7" x14ac:dyDescent="0.3">
      <c r="A92" s="35" t="s">
        <v>79</v>
      </c>
      <c r="B92" s="182">
        <f>B18+B29+B30-B42-B54-B55-B56</f>
        <v>52351374</v>
      </c>
      <c r="C92" s="182">
        <f>C18+C29+C30-C42-C54-C55-C56</f>
        <v>62517351</v>
      </c>
      <c r="D92" s="182">
        <f>D18+D29+D30-D42-D54-D55-D56</f>
        <v>0</v>
      </c>
      <c r="G92" s="37"/>
    </row>
    <row r="93" spans="1:7" s="51" customFormat="1" x14ac:dyDescent="0.3">
      <c r="A93" s="35" t="s">
        <v>80</v>
      </c>
      <c r="B93" s="182">
        <f>B18+B29+B30</f>
        <v>54399408</v>
      </c>
      <c r="C93" s="182">
        <f>C18+C29+C30</f>
        <v>67227617</v>
      </c>
      <c r="D93" s="182">
        <f>D18+D29+D30</f>
        <v>0</v>
      </c>
      <c r="E93" s="36"/>
    </row>
    <row r="94" spans="1:7" s="51" customFormat="1" x14ac:dyDescent="0.3">
      <c r="A94" s="35" t="s">
        <v>81</v>
      </c>
      <c r="B94" s="182">
        <f>B42+B54+B55+B56+B89</f>
        <v>54399408</v>
      </c>
      <c r="C94" s="182">
        <f>C42+C54+C55+C56+C89</f>
        <v>67227617</v>
      </c>
      <c r="D94" s="182">
        <f>D42+D54+D55+D56+D89</f>
        <v>0</v>
      </c>
      <c r="E94" s="36"/>
    </row>
  </sheetData>
  <mergeCells count="1">
    <mergeCell ref="A3:D3"/>
  </mergeCells>
  <pageMargins left="0.7" right="0.7" top="0.75" bottom="0.75" header="0.3" footer="0.3"/>
  <pageSetup paperSize="9" fitToHeight="0" orientation="portrait" blackAndWhite="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D58"/>
  <sheetViews>
    <sheetView topLeftCell="A29" workbookViewId="0">
      <selection activeCell="D61" sqref="D61"/>
    </sheetView>
  </sheetViews>
  <sheetFormatPr defaultColWidth="9.109375" defaultRowHeight="13.8" x14ac:dyDescent="0.3"/>
  <cols>
    <col min="1" max="1" width="64.5546875" style="107" customWidth="1"/>
    <col min="2" max="2" width="15" style="37" customWidth="1"/>
    <col min="3" max="3" width="14.88671875" style="37" customWidth="1"/>
    <col min="4" max="4" width="12.88671875" style="37" customWidth="1"/>
    <col min="5" max="5" width="9.109375" style="270" customWidth="1"/>
    <col min="6" max="16384" width="9.109375" style="270"/>
  </cols>
  <sheetData>
    <row r="1" spans="1:4" s="43" customFormat="1" ht="14.4" customHeight="1" x14ac:dyDescent="0.3">
      <c r="A1" s="272" t="s">
        <v>82</v>
      </c>
      <c r="B1" s="29"/>
      <c r="C1" s="29"/>
      <c r="D1" s="29"/>
    </row>
    <row r="2" spans="1:4" s="43" customFormat="1" x14ac:dyDescent="0.3">
      <c r="A2" s="32"/>
      <c r="B2" s="29"/>
      <c r="C2" s="29"/>
      <c r="D2" s="29"/>
    </row>
    <row r="3" spans="1:4" s="43" customFormat="1" ht="38.25" customHeight="1" x14ac:dyDescent="0.3">
      <c r="A3" s="318" t="s">
        <v>83</v>
      </c>
      <c r="B3" s="320"/>
      <c r="C3" s="320"/>
      <c r="D3" s="320"/>
    </row>
    <row r="4" spans="1:4" s="43" customFormat="1" x14ac:dyDescent="0.3">
      <c r="A4" s="186"/>
      <c r="B4" s="186"/>
      <c r="C4" s="186"/>
      <c r="D4" s="186"/>
    </row>
    <row r="5" spans="1:4" s="68" customFormat="1" x14ac:dyDescent="0.3">
      <c r="A5" s="248"/>
      <c r="B5" s="307">
        <f>'1A-Bilant'!B5</f>
        <v>2018</v>
      </c>
      <c r="C5" s="307">
        <f>'1A-Bilant'!C5</f>
        <v>2019</v>
      </c>
      <c r="D5" s="241" t="str">
        <f>'1A-Bilant'!D5</f>
        <v>AN</v>
      </c>
    </row>
    <row r="6" spans="1:4" x14ac:dyDescent="0.3">
      <c r="A6" s="305" t="s">
        <v>84</v>
      </c>
      <c r="B6" s="292">
        <v>151633510</v>
      </c>
      <c r="C6" s="292">
        <v>196296474</v>
      </c>
      <c r="D6" s="306">
        <v>0</v>
      </c>
    </row>
    <row r="7" spans="1:4" x14ac:dyDescent="0.3">
      <c r="A7" s="71" t="s">
        <v>85</v>
      </c>
      <c r="B7" s="308">
        <v>0</v>
      </c>
      <c r="C7" s="308">
        <v>0</v>
      </c>
      <c r="D7" s="44">
        <v>0</v>
      </c>
    </row>
    <row r="8" spans="1:4" x14ac:dyDescent="0.3">
      <c r="A8" s="71" t="s">
        <v>86</v>
      </c>
      <c r="B8" s="44">
        <v>0</v>
      </c>
      <c r="C8" s="44">
        <v>0</v>
      </c>
      <c r="D8" s="44">
        <v>0</v>
      </c>
    </row>
    <row r="9" spans="1:4" x14ac:dyDescent="0.3">
      <c r="A9" s="71" t="s">
        <v>87</v>
      </c>
      <c r="B9" s="44">
        <v>0</v>
      </c>
      <c r="C9" s="44">
        <v>0</v>
      </c>
      <c r="D9" s="44">
        <v>0</v>
      </c>
    </row>
    <row r="10" spans="1:4" x14ac:dyDescent="0.3">
      <c r="A10" s="71" t="s">
        <v>88</v>
      </c>
      <c r="B10" s="44">
        <v>0</v>
      </c>
      <c r="C10" s="44">
        <v>0</v>
      </c>
      <c r="D10" s="44">
        <v>0</v>
      </c>
    </row>
    <row r="11" spans="1:4" x14ac:dyDescent="0.3">
      <c r="A11" s="71" t="s">
        <v>89</v>
      </c>
      <c r="B11" s="309">
        <v>0</v>
      </c>
      <c r="C11" s="309">
        <v>0</v>
      </c>
      <c r="D11" s="44">
        <v>0</v>
      </c>
    </row>
    <row r="12" spans="1:4" x14ac:dyDescent="0.3">
      <c r="A12" s="305" t="s">
        <v>90</v>
      </c>
      <c r="B12" s="292">
        <v>4112793</v>
      </c>
      <c r="C12" s="292">
        <v>4336531</v>
      </c>
      <c r="D12" s="306">
        <v>0</v>
      </c>
    </row>
    <row r="13" spans="1:4" s="68" customFormat="1" x14ac:dyDescent="0.3">
      <c r="A13" s="248" t="s">
        <v>91</v>
      </c>
      <c r="B13" s="312">
        <f>SUM(B6:B12)</f>
        <v>155746303</v>
      </c>
      <c r="C13" s="312">
        <f>SUM(C6:C12)</f>
        <v>200633005</v>
      </c>
      <c r="D13" s="38">
        <f>SUM(D6:D12)</f>
        <v>0</v>
      </c>
    </row>
    <row r="14" spans="1:4" s="68" customFormat="1" x14ac:dyDescent="0.3">
      <c r="A14" s="305" t="s">
        <v>92</v>
      </c>
      <c r="B14" s="292">
        <v>369195</v>
      </c>
      <c r="C14" s="292">
        <v>531752</v>
      </c>
      <c r="D14" s="306"/>
    </row>
    <row r="15" spans="1:4" s="68" customFormat="1" x14ac:dyDescent="0.3">
      <c r="A15" s="305" t="s">
        <v>93</v>
      </c>
      <c r="B15" s="292">
        <v>210895</v>
      </c>
      <c r="C15" s="292">
        <v>405621</v>
      </c>
      <c r="D15" s="306"/>
    </row>
    <row r="16" spans="1:4" s="68" customFormat="1" x14ac:dyDescent="0.3">
      <c r="A16" s="305" t="s">
        <v>94</v>
      </c>
      <c r="B16" s="292">
        <v>158293</v>
      </c>
      <c r="C16" s="292">
        <v>164411</v>
      </c>
      <c r="D16" s="306">
        <v>0</v>
      </c>
    </row>
    <row r="17" spans="1:4" s="68" customFormat="1" x14ac:dyDescent="0.3">
      <c r="A17" s="305" t="s">
        <v>95</v>
      </c>
      <c r="B17" s="292">
        <v>134018761</v>
      </c>
      <c r="C17" s="292">
        <v>174363264</v>
      </c>
      <c r="D17" s="306">
        <v>0</v>
      </c>
    </row>
    <row r="18" spans="1:4" s="68" customFormat="1" x14ac:dyDescent="0.3">
      <c r="A18" s="305" t="s">
        <v>96</v>
      </c>
      <c r="B18" s="292">
        <v>6208909</v>
      </c>
      <c r="C18" s="292">
        <v>6584429</v>
      </c>
      <c r="D18" s="306">
        <v>0</v>
      </c>
    </row>
    <row r="19" spans="1:4" s="68" customFormat="1" x14ac:dyDescent="0.3">
      <c r="A19" s="311" t="s">
        <v>97</v>
      </c>
      <c r="B19" s="300">
        <v>3489803</v>
      </c>
      <c r="C19" s="300">
        <v>4753186</v>
      </c>
      <c r="D19" s="306"/>
    </row>
    <row r="20" spans="1:4" s="68" customFormat="1" x14ac:dyDescent="0.3">
      <c r="A20" s="305" t="s">
        <v>98</v>
      </c>
      <c r="B20" s="292">
        <v>861188</v>
      </c>
      <c r="C20" s="292">
        <v>1054689</v>
      </c>
      <c r="D20" s="306"/>
    </row>
    <row r="21" spans="1:4" s="68" customFormat="1" x14ac:dyDescent="0.3">
      <c r="A21" s="105" t="s">
        <v>99</v>
      </c>
      <c r="B21" s="313">
        <v>0</v>
      </c>
      <c r="C21" s="313">
        <v>0</v>
      </c>
      <c r="D21" s="44">
        <v>0</v>
      </c>
    </row>
    <row r="22" spans="1:4" s="68" customFormat="1" x14ac:dyDescent="0.3">
      <c r="A22" s="311" t="s">
        <v>100</v>
      </c>
      <c r="B22" s="292">
        <v>6426115</v>
      </c>
      <c r="C22" s="292">
        <v>8880311</v>
      </c>
      <c r="D22" s="306"/>
    </row>
    <row r="23" spans="1:4" s="68" customFormat="1" x14ac:dyDescent="0.3">
      <c r="A23" s="105" t="s">
        <v>101</v>
      </c>
      <c r="B23" s="308">
        <v>0</v>
      </c>
      <c r="C23" s="308">
        <v>0</v>
      </c>
      <c r="D23" s="44">
        <v>0</v>
      </c>
    </row>
    <row r="24" spans="1:4" s="68" customFormat="1" x14ac:dyDescent="0.3">
      <c r="A24" s="248" t="s">
        <v>102</v>
      </c>
      <c r="B24" s="38">
        <f>B14+B15+B16+B17-B18+B19+B20+B21+B22+B23</f>
        <v>139325341</v>
      </c>
      <c r="C24" s="38">
        <f>C14+C15+C16+C17-C18+C19+C20+C21+C22+C23</f>
        <v>183568805</v>
      </c>
      <c r="D24" s="38">
        <f>D14+D15+D16+D17-D18+D19+D20+D21+D22+D23</f>
        <v>0</v>
      </c>
    </row>
    <row r="25" spans="1:4" s="68" customFormat="1" x14ac:dyDescent="0.3">
      <c r="A25" s="248" t="s">
        <v>103</v>
      </c>
      <c r="B25" s="38">
        <f>B13-B24</f>
        <v>16420962</v>
      </c>
      <c r="C25" s="38">
        <f>C13-C24</f>
        <v>17064200</v>
      </c>
      <c r="D25" s="38">
        <f>D13-D24</f>
        <v>0</v>
      </c>
    </row>
    <row r="26" spans="1:4" x14ac:dyDescent="0.3">
      <c r="A26" s="71" t="s">
        <v>104</v>
      </c>
      <c r="B26" s="45">
        <f>IF(B13-B24&gt;0,B13-B24,"")</f>
        <v>16420962</v>
      </c>
      <c r="C26" s="45">
        <f>IF(C13-C24&gt;0,C13-C24,"")</f>
        <v>17064200</v>
      </c>
      <c r="D26" s="45" t="str">
        <f>IF(D13-D24&gt;0,D13-D24,"")</f>
        <v/>
      </c>
    </row>
    <row r="27" spans="1:4" x14ac:dyDescent="0.3">
      <c r="A27" s="71" t="s">
        <v>105</v>
      </c>
      <c r="B27" s="45" t="str">
        <f>IF(B13-B24&lt;0,-B13+B24,"")</f>
        <v/>
      </c>
      <c r="C27" s="45" t="str">
        <f>IF(C13-C24&lt;0,-C13+C24,"")</f>
        <v/>
      </c>
      <c r="D27" s="45" t="str">
        <f>IF(D13-D24&lt;0,-D13+D24,"")</f>
        <v/>
      </c>
    </row>
    <row r="28" spans="1:4" x14ac:dyDescent="0.3">
      <c r="A28" s="71" t="s">
        <v>106</v>
      </c>
      <c r="B28" s="309">
        <v>0</v>
      </c>
      <c r="C28" s="309">
        <v>0</v>
      </c>
      <c r="D28" s="44">
        <v>0</v>
      </c>
    </row>
    <row r="29" spans="1:4" x14ac:dyDescent="0.3">
      <c r="A29" s="305" t="s">
        <v>107</v>
      </c>
      <c r="B29" s="292">
        <v>14668</v>
      </c>
      <c r="C29" s="292">
        <v>14227</v>
      </c>
      <c r="D29" s="306"/>
    </row>
    <row r="30" spans="1:4" x14ac:dyDescent="0.3">
      <c r="A30" s="71" t="s">
        <v>108</v>
      </c>
      <c r="B30" s="313">
        <v>0</v>
      </c>
      <c r="C30" s="313">
        <v>0</v>
      </c>
      <c r="D30" s="44">
        <v>0</v>
      </c>
    </row>
    <row r="31" spans="1:4" x14ac:dyDescent="0.3">
      <c r="A31" s="305" t="s">
        <v>109</v>
      </c>
      <c r="B31" s="292">
        <v>163736</v>
      </c>
      <c r="C31" s="292">
        <v>236231</v>
      </c>
      <c r="D31" s="306"/>
    </row>
    <row r="32" spans="1:4" x14ac:dyDescent="0.3">
      <c r="A32" s="248" t="s">
        <v>110</v>
      </c>
      <c r="B32" s="314">
        <f>B31+B30+B29+B28</f>
        <v>178404</v>
      </c>
      <c r="C32" s="314">
        <f>C31+C30+C29+C28</f>
        <v>250458</v>
      </c>
      <c r="D32" s="177">
        <f>D31+D30+D29+D28</f>
        <v>0</v>
      </c>
    </row>
    <row r="33" spans="1:4" ht="27.6" customHeight="1" x14ac:dyDescent="0.3">
      <c r="A33" s="105" t="s">
        <v>111</v>
      </c>
      <c r="B33" s="309">
        <v>0</v>
      </c>
      <c r="C33" s="309">
        <v>0</v>
      </c>
      <c r="D33" s="44">
        <v>0</v>
      </c>
    </row>
    <row r="34" spans="1:4" x14ac:dyDescent="0.3">
      <c r="A34" s="311" t="s">
        <v>112</v>
      </c>
      <c r="B34" s="300">
        <v>55802</v>
      </c>
      <c r="C34" s="300">
        <v>8220</v>
      </c>
      <c r="D34" s="306"/>
    </row>
    <row r="35" spans="1:4" x14ac:dyDescent="0.3">
      <c r="A35" s="311" t="s">
        <v>113</v>
      </c>
      <c r="B35" s="292">
        <v>290692</v>
      </c>
      <c r="C35" s="292">
        <v>231075</v>
      </c>
      <c r="D35" s="306"/>
    </row>
    <row r="36" spans="1:4" s="68" customFormat="1" x14ac:dyDescent="0.3">
      <c r="A36" s="248" t="s">
        <v>114</v>
      </c>
      <c r="B36" s="310">
        <f>SUM(B33:B35)</f>
        <v>346494</v>
      </c>
      <c r="C36" s="310">
        <f>SUM(C33:C35)</f>
        <v>239295</v>
      </c>
      <c r="D36" s="38">
        <f>SUM(D33:D35)</f>
        <v>0</v>
      </c>
    </row>
    <row r="37" spans="1:4" s="68" customFormat="1" x14ac:dyDescent="0.3">
      <c r="A37" s="248" t="s">
        <v>115</v>
      </c>
      <c r="B37" s="38">
        <f>B32-B36</f>
        <v>-168090</v>
      </c>
      <c r="C37" s="38">
        <f>C32-C36</f>
        <v>11163</v>
      </c>
      <c r="D37" s="38">
        <f>D32-D36</f>
        <v>0</v>
      </c>
    </row>
    <row r="38" spans="1:4" x14ac:dyDescent="0.3">
      <c r="A38" s="71" t="s">
        <v>116</v>
      </c>
      <c r="B38" s="45" t="str">
        <f>IF(B32-B36&gt;0,B32-B36,"")</f>
        <v/>
      </c>
      <c r="C38" s="45">
        <f>IF(C32-C36&gt;0,C32-C36,"")</f>
        <v>11163</v>
      </c>
      <c r="D38" s="45" t="str">
        <f>IF(D32-D36&gt;0,D32-D36,"")</f>
        <v/>
      </c>
    </row>
    <row r="39" spans="1:4" x14ac:dyDescent="0.3">
      <c r="A39" s="71" t="s">
        <v>117</v>
      </c>
      <c r="B39" s="45">
        <f>IF(B32-B36&lt;0,-B32+B36,"")</f>
        <v>168090</v>
      </c>
      <c r="C39" s="45" t="str">
        <f>IF(C32-C36&lt;0,-C32+C36,"")</f>
        <v/>
      </c>
      <c r="D39" s="45" t="str">
        <f>IF(D32-D36&lt;0,-D32+D36,"")</f>
        <v/>
      </c>
    </row>
    <row r="40" spans="1:4" s="68" customFormat="1" x14ac:dyDescent="0.3">
      <c r="A40" s="248" t="s">
        <v>118</v>
      </c>
      <c r="B40" s="38">
        <f>B25+B37</f>
        <v>16252872</v>
      </c>
      <c r="C40" s="38">
        <f>C25+C37</f>
        <v>17075363</v>
      </c>
      <c r="D40" s="38">
        <f>D25+D37</f>
        <v>0</v>
      </c>
    </row>
    <row r="41" spans="1:4" x14ac:dyDescent="0.3">
      <c r="A41" s="71" t="s">
        <v>119</v>
      </c>
      <c r="B41" s="45">
        <f>IF(B25+B37&gt;0,B25+B37,"")</f>
        <v>16252872</v>
      </c>
      <c r="C41" s="45">
        <f>IF(C25+C37&gt;0,C25+C37,"")</f>
        <v>17075363</v>
      </c>
      <c r="D41" s="45" t="str">
        <f>IF(D25+D37&gt;0,D25+D37,"")</f>
        <v/>
      </c>
    </row>
    <row r="42" spans="1:4" x14ac:dyDescent="0.3">
      <c r="A42" s="71" t="s">
        <v>120</v>
      </c>
      <c r="B42" s="45" t="str">
        <f>IF(B25+B37&lt;0,-B25-B37,"")</f>
        <v/>
      </c>
      <c r="C42" s="45" t="str">
        <f>IF(C25+C37&lt;0,-C25-C37,"")</f>
        <v/>
      </c>
      <c r="D42" s="45" t="str">
        <f>IF(D25+D37&lt;0,-D25-D37,"")</f>
        <v/>
      </c>
    </row>
    <row r="43" spans="1:4" s="149" customFormat="1" x14ac:dyDescent="0.3">
      <c r="A43" s="248" t="s">
        <v>121</v>
      </c>
      <c r="B43" s="46">
        <v>0</v>
      </c>
      <c r="C43" s="46">
        <v>0</v>
      </c>
      <c r="D43" s="46">
        <v>0</v>
      </c>
    </row>
    <row r="44" spans="1:4" s="149" customFormat="1" x14ac:dyDescent="0.3">
      <c r="A44" s="248" t="s">
        <v>122</v>
      </c>
      <c r="B44" s="46">
        <v>0</v>
      </c>
      <c r="C44" s="46">
        <v>0</v>
      </c>
      <c r="D44" s="46">
        <v>0</v>
      </c>
    </row>
    <row r="45" spans="1:4" s="149" customFormat="1" x14ac:dyDescent="0.3">
      <c r="A45" s="248" t="s">
        <v>123</v>
      </c>
      <c r="B45" s="38">
        <f>B43-B44</f>
        <v>0</v>
      </c>
      <c r="C45" s="38">
        <f>C43-C44</f>
        <v>0</v>
      </c>
      <c r="D45" s="38">
        <f>D43-D44</f>
        <v>0</v>
      </c>
    </row>
    <row r="46" spans="1:4" s="93" customFormat="1" x14ac:dyDescent="0.3">
      <c r="A46" s="71" t="s">
        <v>124</v>
      </c>
      <c r="B46" s="45" t="str">
        <f>IF(B43-B44&gt;0,B43-B44,"")</f>
        <v/>
      </c>
      <c r="C46" s="45" t="str">
        <f>IF(C43-C44&gt;0,C43-C44,"")</f>
        <v/>
      </c>
      <c r="D46" s="45" t="str">
        <f>IF(D43-D44&gt;0,D43-D44,"")</f>
        <v/>
      </c>
    </row>
    <row r="47" spans="1:4" s="93" customFormat="1" x14ac:dyDescent="0.3">
      <c r="A47" s="71" t="s">
        <v>125</v>
      </c>
      <c r="B47" s="45" t="str">
        <f>IF(B43-B44&lt;0,-B43+B44,"")</f>
        <v/>
      </c>
      <c r="C47" s="45" t="str">
        <f>IF(C43-C44&lt;0,-C43+C44,"")</f>
        <v/>
      </c>
      <c r="D47" s="45" t="str">
        <f>IF(D43-D44&lt;0,-D43+D44,"")</f>
        <v/>
      </c>
    </row>
    <row r="48" spans="1:4" s="149" customFormat="1" x14ac:dyDescent="0.3">
      <c r="A48" s="248" t="s">
        <v>126</v>
      </c>
      <c r="B48" s="38">
        <f>B13+B32+B43</f>
        <v>155924707</v>
      </c>
      <c r="C48" s="38">
        <f>C13+C32+C43</f>
        <v>200883463</v>
      </c>
      <c r="D48" s="38">
        <f>D13+D32+D43</f>
        <v>0</v>
      </c>
    </row>
    <row r="49" spans="1:4" s="149" customFormat="1" x14ac:dyDescent="0.3">
      <c r="A49" s="248" t="s">
        <v>127</v>
      </c>
      <c r="B49" s="38">
        <f>B24+B36+B44</f>
        <v>139671835</v>
      </c>
      <c r="C49" s="38">
        <f>C24+C36+C44</f>
        <v>183808100</v>
      </c>
      <c r="D49" s="38">
        <f>D24+D36+D44</f>
        <v>0</v>
      </c>
    </row>
    <row r="50" spans="1:4" s="149" customFormat="1" x14ac:dyDescent="0.3">
      <c r="A50" s="248" t="s">
        <v>128</v>
      </c>
      <c r="B50" s="38">
        <f>B48-B49</f>
        <v>16252872</v>
      </c>
      <c r="C50" s="38">
        <f>C48-C49</f>
        <v>17075363</v>
      </c>
      <c r="D50" s="38">
        <f>D48-D49</f>
        <v>0</v>
      </c>
    </row>
    <row r="51" spans="1:4" s="93" customFormat="1" x14ac:dyDescent="0.3">
      <c r="A51" s="71" t="s">
        <v>129</v>
      </c>
      <c r="B51" s="45">
        <f>IF(B48-B49&gt;0,B48-B49,"")</f>
        <v>16252872</v>
      </c>
      <c r="C51" s="45">
        <f>IF(C48-C49&gt;0,C48-C49,"")</f>
        <v>17075363</v>
      </c>
      <c r="D51" s="45" t="str">
        <f>IF(D48-D49&gt;0,D48-D49,"")</f>
        <v/>
      </c>
    </row>
    <row r="52" spans="1:4" s="93" customFormat="1" x14ac:dyDescent="0.3">
      <c r="A52" s="71" t="s">
        <v>130</v>
      </c>
      <c r="B52" s="315" t="str">
        <f>IF(B48-B49&lt;0,-B48+B49,"")</f>
        <v/>
      </c>
      <c r="C52" s="315" t="str">
        <f>IF(C48-C49&lt;0,-C48+C49,"")</f>
        <v/>
      </c>
      <c r="D52" s="45" t="str">
        <f>IF(D48-D49&lt;0,-D48+D49,"")</f>
        <v/>
      </c>
    </row>
    <row r="53" spans="1:4" s="93" customFormat="1" x14ac:dyDescent="0.3">
      <c r="A53" s="305" t="s">
        <v>131</v>
      </c>
      <c r="B53" s="292">
        <v>2216272</v>
      </c>
      <c r="C53" s="292">
        <v>2377884</v>
      </c>
      <c r="D53" s="306">
        <v>0</v>
      </c>
    </row>
    <row r="54" spans="1:4" s="93" customFormat="1" x14ac:dyDescent="0.3">
      <c r="A54" s="71" t="s">
        <v>132</v>
      </c>
      <c r="B54" s="308">
        <v>0</v>
      </c>
      <c r="C54" s="308"/>
      <c r="D54" s="44"/>
    </row>
    <row r="55" spans="1:4" s="149" customFormat="1" x14ac:dyDescent="0.3">
      <c r="A55" s="248" t="s">
        <v>133</v>
      </c>
      <c r="B55" s="38">
        <f>B50-B53-B54</f>
        <v>14036600</v>
      </c>
      <c r="C55" s="38">
        <f>C50-C53-C54</f>
        <v>14697479</v>
      </c>
      <c r="D55" s="38">
        <f>D50-D53-D54</f>
        <v>0</v>
      </c>
    </row>
    <row r="56" spans="1:4" s="93" customFormat="1" x14ac:dyDescent="0.3">
      <c r="A56" s="71" t="s">
        <v>134</v>
      </c>
      <c r="B56" s="45">
        <f>IF(B55&gt;=0,B55,"")</f>
        <v>14036600</v>
      </c>
      <c r="C56" s="45">
        <f>IF(C55&gt;=0,C55,"")</f>
        <v>14697479</v>
      </c>
      <c r="D56" s="45">
        <f>IF(D55&gt;=0,D55,"")</f>
        <v>0</v>
      </c>
    </row>
    <row r="57" spans="1:4" s="93" customFormat="1" x14ac:dyDescent="0.3">
      <c r="A57" s="71" t="s">
        <v>135</v>
      </c>
      <c r="B57" s="45" t="str">
        <f>IF(B55&lt;0,-B55,"")</f>
        <v/>
      </c>
      <c r="C57" s="45" t="str">
        <f>IF(C55&lt;0,-C55,"")</f>
        <v/>
      </c>
      <c r="D57" s="45" t="str">
        <f>IF(D55&lt;0,-D55,"")</f>
        <v/>
      </c>
    </row>
    <row r="58" spans="1:4" s="93" customFormat="1" x14ac:dyDescent="0.3">
      <c r="A58" s="106"/>
      <c r="B58" s="37"/>
      <c r="C58" s="37"/>
      <c r="D58" s="37"/>
    </row>
  </sheetData>
  <mergeCells count="1">
    <mergeCell ref="A3:D3"/>
  </mergeCells>
  <pageMargins left="0.54166666666666663" right="0.46875" top="0.75" bottom="0.75" header="0.3" footer="0.3"/>
  <pageSetup paperSize="9" fitToHeight="0" orientation="portrait" blackAndWhite="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Q98"/>
  <sheetViews>
    <sheetView topLeftCell="A43" workbookViewId="0">
      <selection sqref="A1:D1"/>
    </sheetView>
  </sheetViews>
  <sheetFormatPr defaultColWidth="9.109375" defaultRowHeight="13.8" x14ac:dyDescent="0.3"/>
  <cols>
    <col min="1" max="1" width="26.88671875" style="244" customWidth="1"/>
    <col min="2" max="4" width="9.109375" style="97" customWidth="1"/>
    <col min="5" max="5" width="2" style="244" customWidth="1"/>
    <col min="6" max="6" width="27.6640625" style="244" customWidth="1"/>
    <col min="7" max="9" width="7.5546875" style="62" customWidth="1"/>
    <col min="10" max="10" width="1.5546875" style="244" customWidth="1"/>
    <col min="11" max="11" width="27.44140625" style="244" customWidth="1"/>
    <col min="12" max="12" width="9.5546875" style="62" bestFit="1" customWidth="1"/>
    <col min="13" max="13" width="7.6640625" style="62" customWidth="1"/>
    <col min="14" max="15" width="9.109375" style="245" customWidth="1"/>
    <col min="16" max="16" width="10.44140625" style="246" customWidth="1"/>
    <col min="17" max="17" width="9.109375" style="246" customWidth="1"/>
    <col min="18" max="18" width="9.109375" style="270" customWidth="1"/>
    <col min="19" max="16384" width="9.109375" style="270"/>
  </cols>
  <sheetData>
    <row r="1" spans="1:17" ht="14.4" customHeight="1" x14ac:dyDescent="0.3">
      <c r="A1" s="321" t="s">
        <v>136</v>
      </c>
      <c r="B1" s="322"/>
      <c r="C1" s="322"/>
      <c r="D1" s="322"/>
    </row>
    <row r="2" spans="1:17" x14ac:dyDescent="0.3">
      <c r="A2" s="102"/>
      <c r="B2" s="102"/>
      <c r="C2" s="102"/>
      <c r="D2" s="102"/>
      <c r="F2" s="102"/>
      <c r="G2" s="102"/>
      <c r="H2" s="102"/>
      <c r="I2" s="102"/>
      <c r="K2" s="102"/>
      <c r="L2" s="102"/>
      <c r="M2" s="102"/>
    </row>
    <row r="3" spans="1:17" ht="24" customHeight="1" x14ac:dyDescent="0.3">
      <c r="A3" s="242" t="s">
        <v>137</v>
      </c>
      <c r="B3" s="243">
        <f>'1A-Bilant'!B5</f>
        <v>2018</v>
      </c>
      <c r="C3" s="243">
        <f>'1A-Bilant'!C5</f>
        <v>2019</v>
      </c>
      <c r="D3" s="243" t="str">
        <f>'1A-Bilant'!D5</f>
        <v>AN</v>
      </c>
      <c r="F3" s="242" t="s">
        <v>138</v>
      </c>
      <c r="G3" s="243">
        <f>'1A-Bilant'!B5</f>
        <v>2018</v>
      </c>
      <c r="H3" s="243">
        <f>'1A-Bilant'!C5</f>
        <v>2019</v>
      </c>
      <c r="I3" s="243" t="str">
        <f>'1A-Bilant'!D5</f>
        <v>AN</v>
      </c>
      <c r="K3" s="242" t="s">
        <v>139</v>
      </c>
      <c r="L3" s="243">
        <f>'1A-Bilant'!C5</f>
        <v>2019</v>
      </c>
      <c r="M3" s="243" t="str">
        <f>'1A-Bilant'!D5</f>
        <v>AN</v>
      </c>
    </row>
    <row r="4" spans="1:17" s="52" customFormat="1" ht="15.6" customHeight="1" x14ac:dyDescent="0.3">
      <c r="A4" s="242" t="s">
        <v>140</v>
      </c>
      <c r="B4" s="47">
        <f>'1A-Bilant'!B18</f>
        <v>14599017</v>
      </c>
      <c r="C4" s="47">
        <f>'1A-Bilant'!C18</f>
        <v>13347232</v>
      </c>
      <c r="D4" s="47">
        <f>'1A-Bilant'!D18</f>
        <v>0</v>
      </c>
      <c r="E4" s="102"/>
      <c r="F4" s="242" t="s">
        <v>140</v>
      </c>
      <c r="G4" s="49">
        <f t="shared" ref="G4:G22" si="0">IFERROR(B4/B$21,"")</f>
        <v>0.26836720355486221</v>
      </c>
      <c r="H4" s="49">
        <f t="shared" ref="H4:H22" si="1">IFERROR(C4/C$21,"")</f>
        <v>0.19853793121954627</v>
      </c>
      <c r="I4" s="49" t="str">
        <f t="shared" ref="I4:I22" si="2">IFERROR(D4/D$21,"")</f>
        <v/>
      </c>
      <c r="J4" s="102"/>
      <c r="K4" s="242" t="s">
        <v>140</v>
      </c>
      <c r="L4" s="49">
        <f t="shared" ref="L4:L22" si="3">IFERROR((C4-B4)/B4,"")</f>
        <v>-8.5744471699704158E-2</v>
      </c>
      <c r="M4" s="49">
        <f t="shared" ref="M4:M22" si="4">IFERROR((D4-C4)/C4,"")</f>
        <v>-1</v>
      </c>
      <c r="N4" s="50"/>
      <c r="O4" s="50"/>
      <c r="P4" s="51"/>
      <c r="Q4" s="51"/>
    </row>
    <row r="5" spans="1:17" s="52" customFormat="1" ht="15.6" customHeight="1" x14ac:dyDescent="0.3">
      <c r="A5" s="242" t="s">
        <v>141</v>
      </c>
      <c r="B5" s="47">
        <f>SUM(B6:B9)</f>
        <v>39800391</v>
      </c>
      <c r="C5" s="47">
        <f>SUM(C6:C9)</f>
        <v>53880385</v>
      </c>
      <c r="D5" s="47">
        <f>SUM(D6:D9)</f>
        <v>0</v>
      </c>
      <c r="E5" s="102"/>
      <c r="F5" s="242" t="s">
        <v>141</v>
      </c>
      <c r="G5" s="49">
        <f t="shared" si="0"/>
        <v>0.73163279644513779</v>
      </c>
      <c r="H5" s="49">
        <f t="shared" si="1"/>
        <v>0.80146206878045367</v>
      </c>
      <c r="I5" s="49" t="str">
        <f t="shared" si="2"/>
        <v/>
      </c>
      <c r="J5" s="102"/>
      <c r="K5" s="242" t="s">
        <v>141</v>
      </c>
      <c r="L5" s="49">
        <f t="shared" si="3"/>
        <v>0.35376521803516953</v>
      </c>
      <c r="M5" s="49">
        <f t="shared" si="4"/>
        <v>-1</v>
      </c>
      <c r="N5" s="50"/>
      <c r="O5" s="50"/>
      <c r="P5" s="51"/>
      <c r="Q5" s="51"/>
    </row>
    <row r="6" spans="1:17" s="52" customFormat="1" ht="15.6" customHeight="1" x14ac:dyDescent="0.3">
      <c r="A6" s="53" t="s">
        <v>142</v>
      </c>
      <c r="B6" s="54">
        <f>'1A-Bilant'!B25</f>
        <v>15024764</v>
      </c>
      <c r="C6" s="54">
        <f>'1A-Bilant'!C25</f>
        <v>19134634</v>
      </c>
      <c r="D6" s="54">
        <f>'1A-Bilant'!D25</f>
        <v>0</v>
      </c>
      <c r="E6" s="102"/>
      <c r="F6" s="53" t="s">
        <v>142</v>
      </c>
      <c r="G6" s="48">
        <f t="shared" si="0"/>
        <v>0.27619352034125078</v>
      </c>
      <c r="H6" s="48">
        <f t="shared" si="1"/>
        <v>0.28462460598595962</v>
      </c>
      <c r="I6" s="48" t="str">
        <f t="shared" si="2"/>
        <v/>
      </c>
      <c r="J6" s="244"/>
      <c r="K6" s="53" t="s">
        <v>142</v>
      </c>
      <c r="L6" s="48">
        <f t="shared" si="3"/>
        <v>0.27353973746276483</v>
      </c>
      <c r="M6" s="48">
        <f t="shared" si="4"/>
        <v>-1</v>
      </c>
      <c r="N6" s="245"/>
      <c r="O6" s="50"/>
      <c r="P6" s="51"/>
      <c r="Q6" s="51"/>
    </row>
    <row r="7" spans="1:17" s="52" customFormat="1" ht="15.6" customHeight="1" x14ac:dyDescent="0.3">
      <c r="A7" s="53" t="s">
        <v>143</v>
      </c>
      <c r="B7" s="54">
        <f>'1A-Bilant'!B26</f>
        <v>13739119</v>
      </c>
      <c r="C7" s="54">
        <f>'1A-Bilant'!C26</f>
        <v>32781106</v>
      </c>
      <c r="D7" s="54">
        <f>'1A-Bilant'!D26</f>
        <v>0</v>
      </c>
      <c r="E7" s="102"/>
      <c r="F7" s="53" t="s">
        <v>143</v>
      </c>
      <c r="G7" s="48">
        <f t="shared" si="0"/>
        <v>0.25256008300678567</v>
      </c>
      <c r="H7" s="48">
        <f t="shared" si="1"/>
        <v>0.48761368412032213</v>
      </c>
      <c r="I7" s="48" t="str">
        <f t="shared" si="2"/>
        <v/>
      </c>
      <c r="J7" s="244"/>
      <c r="K7" s="53" t="s">
        <v>143</v>
      </c>
      <c r="L7" s="48">
        <f t="shared" si="3"/>
        <v>1.3859685617396573</v>
      </c>
      <c r="M7" s="48">
        <f t="shared" si="4"/>
        <v>-1</v>
      </c>
      <c r="N7" s="245"/>
      <c r="O7" s="50"/>
      <c r="P7" s="51"/>
      <c r="Q7" s="51"/>
    </row>
    <row r="8" spans="1:17" s="52" customFormat="1" ht="15" customHeight="1" x14ac:dyDescent="0.3">
      <c r="A8" s="53" t="s">
        <v>144</v>
      </c>
      <c r="B8" s="54">
        <f>'1A-Bilant'!B30</f>
        <v>0</v>
      </c>
      <c r="C8" s="54">
        <f>'1A-Bilant'!C30</f>
        <v>0</v>
      </c>
      <c r="D8" s="54">
        <f>'1A-Bilant'!D30</f>
        <v>0</v>
      </c>
      <c r="E8" s="102"/>
      <c r="F8" s="53" t="s">
        <v>144</v>
      </c>
      <c r="G8" s="48">
        <f t="shared" si="0"/>
        <v>0</v>
      </c>
      <c r="H8" s="48">
        <f t="shared" si="1"/>
        <v>0</v>
      </c>
      <c r="I8" s="48" t="str">
        <f t="shared" si="2"/>
        <v/>
      </c>
      <c r="J8" s="244"/>
      <c r="K8" s="53" t="s">
        <v>144</v>
      </c>
      <c r="L8" s="48" t="str">
        <f t="shared" si="3"/>
        <v/>
      </c>
      <c r="M8" s="48" t="str">
        <f t="shared" si="4"/>
        <v/>
      </c>
      <c r="N8" s="245"/>
      <c r="O8" s="50"/>
      <c r="P8" s="51"/>
      <c r="Q8" s="51"/>
    </row>
    <row r="9" spans="1:17" s="52" customFormat="1" ht="15.6" customHeight="1" x14ac:dyDescent="0.3">
      <c r="A9" s="53" t="s">
        <v>145</v>
      </c>
      <c r="B9" s="54">
        <f>'1A-Bilant'!B27+'1A-Bilant'!B28</f>
        <v>11036508</v>
      </c>
      <c r="C9" s="54">
        <f>'1A-Bilant'!C27+'1A-Bilant'!C28</f>
        <v>1964645</v>
      </c>
      <c r="D9" s="54">
        <f>'1A-Bilant'!D27+'1A-Bilant'!D28</f>
        <v>0</v>
      </c>
      <c r="E9" s="102"/>
      <c r="F9" s="53" t="s">
        <v>145</v>
      </c>
      <c r="G9" s="48">
        <f t="shared" si="0"/>
        <v>0.20287919309710134</v>
      </c>
      <c r="H9" s="48">
        <f t="shared" si="1"/>
        <v>2.9223778674171957E-2</v>
      </c>
      <c r="I9" s="48" t="str">
        <f t="shared" si="2"/>
        <v/>
      </c>
      <c r="J9" s="244"/>
      <c r="K9" s="53" t="s">
        <v>145</v>
      </c>
      <c r="L9" s="48">
        <f t="shared" si="3"/>
        <v>-0.82198671898756381</v>
      </c>
      <c r="M9" s="48">
        <f t="shared" si="4"/>
        <v>-1</v>
      </c>
      <c r="N9" s="245"/>
      <c r="O9" s="50"/>
      <c r="P9" s="51"/>
      <c r="Q9" s="51"/>
    </row>
    <row r="10" spans="1:17" s="52" customFormat="1" ht="15.6" customHeight="1" x14ac:dyDescent="0.3">
      <c r="A10" s="242" t="s">
        <v>146</v>
      </c>
      <c r="B10" s="47">
        <f>B4+B5</f>
        <v>54399408</v>
      </c>
      <c r="C10" s="47">
        <f>C4+C5</f>
        <v>67227617</v>
      </c>
      <c r="D10" s="47">
        <f>D4+D5</f>
        <v>0</v>
      </c>
      <c r="E10" s="102"/>
      <c r="F10" s="242" t="s">
        <v>146</v>
      </c>
      <c r="G10" s="49">
        <f t="shared" si="0"/>
        <v>1</v>
      </c>
      <c r="H10" s="49">
        <f t="shared" si="1"/>
        <v>1</v>
      </c>
      <c r="I10" s="49" t="str">
        <f t="shared" si="2"/>
        <v/>
      </c>
      <c r="J10" s="102"/>
      <c r="K10" s="242" t="s">
        <v>146</v>
      </c>
      <c r="L10" s="49">
        <f t="shared" si="3"/>
        <v>0.23581523166575635</v>
      </c>
      <c r="M10" s="49">
        <f t="shared" si="4"/>
        <v>-1</v>
      </c>
      <c r="N10" s="50"/>
      <c r="O10" s="50"/>
      <c r="P10" s="51"/>
      <c r="Q10" s="51"/>
    </row>
    <row r="11" spans="1:17" s="52" customFormat="1" ht="15.6" customHeight="1" x14ac:dyDescent="0.3">
      <c r="A11" s="242" t="s">
        <v>147</v>
      </c>
      <c r="B11" s="47">
        <f>SUM(B12:B15)</f>
        <v>2048034</v>
      </c>
      <c r="C11" s="47">
        <f>SUM(C12:C15)</f>
        <v>4710266</v>
      </c>
      <c r="D11" s="47">
        <f>SUM(D12:D15)</f>
        <v>0</v>
      </c>
      <c r="E11" s="102"/>
      <c r="F11" s="242" t="s">
        <v>147</v>
      </c>
      <c r="G11" s="49">
        <f t="shared" si="0"/>
        <v>3.7648093523370695E-2</v>
      </c>
      <c r="H11" s="49">
        <f t="shared" si="1"/>
        <v>7.0064449852506303E-2</v>
      </c>
      <c r="I11" s="49" t="str">
        <f t="shared" si="2"/>
        <v/>
      </c>
      <c r="J11" s="102"/>
      <c r="K11" s="242" t="s">
        <v>147</v>
      </c>
      <c r="L11" s="49">
        <f t="shared" si="3"/>
        <v>1.2998963884388639</v>
      </c>
      <c r="M11" s="49">
        <f t="shared" si="4"/>
        <v>-1</v>
      </c>
      <c r="N11" s="50"/>
      <c r="O11" s="50"/>
      <c r="P11" s="51"/>
      <c r="Q11" s="51"/>
    </row>
    <row r="12" spans="1:17" s="247" customFormat="1" ht="15.6" customHeight="1" x14ac:dyDescent="0.3">
      <c r="A12" s="53" t="s">
        <v>148</v>
      </c>
      <c r="B12" s="54">
        <f>'1A-Bilant'!B34+'1A-Bilant'!B35</f>
        <v>0</v>
      </c>
      <c r="C12" s="54">
        <f>'1A-Bilant'!C34+'1A-Bilant'!C35</f>
        <v>4779300</v>
      </c>
      <c r="D12" s="54">
        <f>'1A-Bilant'!D34+'1A-Bilant'!D35</f>
        <v>0</v>
      </c>
      <c r="E12" s="244"/>
      <c r="F12" s="53" t="s">
        <v>148</v>
      </c>
      <c r="G12" s="48">
        <f t="shared" si="0"/>
        <v>0</v>
      </c>
      <c r="H12" s="48">
        <f t="shared" si="1"/>
        <v>7.1091319509361761E-2</v>
      </c>
      <c r="I12" s="48" t="str">
        <f t="shared" si="2"/>
        <v/>
      </c>
      <c r="J12" s="244"/>
      <c r="K12" s="53" t="s">
        <v>148</v>
      </c>
      <c r="L12" s="48" t="str">
        <f t="shared" si="3"/>
        <v/>
      </c>
      <c r="M12" s="48">
        <f t="shared" si="4"/>
        <v>-1</v>
      </c>
      <c r="N12" s="245"/>
      <c r="O12" s="245"/>
      <c r="P12" s="246"/>
      <c r="Q12" s="246"/>
    </row>
    <row r="13" spans="1:17" s="247" customFormat="1" ht="15.6" customHeight="1" x14ac:dyDescent="0.3">
      <c r="A13" s="53" t="s">
        <v>149</v>
      </c>
      <c r="B13" s="54">
        <f>'1A-Bilant'!B37+'1A-Bilant'!B38</f>
        <v>562798</v>
      </c>
      <c r="C13" s="54">
        <f>'1A-Bilant'!C37+'1A-Bilant'!C38</f>
        <v>-1448815</v>
      </c>
      <c r="D13" s="54">
        <f>'1A-Bilant'!D37+'1A-Bilant'!D38</f>
        <v>0</v>
      </c>
      <c r="E13" s="244"/>
      <c r="F13" s="53" t="s">
        <v>149</v>
      </c>
      <c r="G13" s="48">
        <f t="shared" si="0"/>
        <v>1.0345664055755901E-2</v>
      </c>
      <c r="H13" s="48">
        <f t="shared" si="1"/>
        <v>-2.1550890313425806E-2</v>
      </c>
      <c r="I13" s="48" t="str">
        <f t="shared" si="2"/>
        <v/>
      </c>
      <c r="J13" s="244"/>
      <c r="K13" s="53" t="s">
        <v>149</v>
      </c>
      <c r="L13" s="48">
        <f t="shared" si="3"/>
        <v>-3.5743073003102355</v>
      </c>
      <c r="M13" s="48">
        <f t="shared" si="4"/>
        <v>-1</v>
      </c>
      <c r="N13" s="245"/>
      <c r="O13" s="245"/>
      <c r="P13" s="246"/>
      <c r="Q13" s="246"/>
    </row>
    <row r="14" spans="1:17" s="247" customFormat="1" ht="15.6" customHeight="1" x14ac:dyDescent="0.3">
      <c r="A14" s="53" t="s">
        <v>150</v>
      </c>
      <c r="B14" s="54">
        <f>'1A-Bilant'!B36+'1A-Bilant'!B39+'1A-Bilant'!B40+'1A-Bilant'!B41</f>
        <v>1485236</v>
      </c>
      <c r="C14" s="54">
        <f>'1A-Bilant'!C36+'1A-Bilant'!C39+'1A-Bilant'!C40+'1A-Bilant'!C41</f>
        <v>1379781</v>
      </c>
      <c r="D14" s="54">
        <f>'1A-Bilant'!D36+'1A-Bilant'!D39+'1A-Bilant'!D40+'1A-Bilant'!D41</f>
        <v>0</v>
      </c>
      <c r="E14" s="244"/>
      <c r="F14" s="53" t="s">
        <v>150</v>
      </c>
      <c r="G14" s="48">
        <f t="shared" si="0"/>
        <v>2.7302429467614794E-2</v>
      </c>
      <c r="H14" s="48">
        <f t="shared" si="1"/>
        <v>2.0524020656570351E-2</v>
      </c>
      <c r="I14" s="48" t="str">
        <f t="shared" si="2"/>
        <v/>
      </c>
      <c r="J14" s="244"/>
      <c r="K14" s="53" t="s">
        <v>150</v>
      </c>
      <c r="L14" s="48">
        <f t="shared" si="3"/>
        <v>-7.1002184164671467E-2</v>
      </c>
      <c r="M14" s="48">
        <f t="shared" si="4"/>
        <v>-1</v>
      </c>
      <c r="N14" s="245"/>
      <c r="O14" s="245"/>
      <c r="P14" s="246"/>
      <c r="Q14" s="246"/>
    </row>
    <row r="15" spans="1:17" s="247" customFormat="1" ht="15.6" customHeight="1" x14ac:dyDescent="0.3">
      <c r="A15" s="53" t="s">
        <v>151</v>
      </c>
      <c r="B15" s="54">
        <f>'1A-Bilant'!B56</f>
        <v>0</v>
      </c>
      <c r="C15" s="54">
        <f>'1A-Bilant'!C56</f>
        <v>0</v>
      </c>
      <c r="D15" s="54">
        <f>'1A-Bilant'!D56</f>
        <v>0</v>
      </c>
      <c r="E15" s="244"/>
      <c r="F15" s="53" t="s">
        <v>151</v>
      </c>
      <c r="G15" s="48">
        <f t="shared" si="0"/>
        <v>0</v>
      </c>
      <c r="H15" s="48">
        <f t="shared" si="1"/>
        <v>0</v>
      </c>
      <c r="I15" s="48" t="str">
        <f t="shared" si="2"/>
        <v/>
      </c>
      <c r="J15" s="244"/>
      <c r="K15" s="53" t="s">
        <v>151</v>
      </c>
      <c r="L15" s="48" t="str">
        <f t="shared" si="3"/>
        <v/>
      </c>
      <c r="M15" s="48" t="str">
        <f t="shared" si="4"/>
        <v/>
      </c>
      <c r="N15" s="245"/>
      <c r="O15" s="245"/>
      <c r="P15" s="246"/>
      <c r="Q15" s="246"/>
    </row>
    <row r="16" spans="1:17" s="52" customFormat="1" ht="15.6" customHeight="1" x14ac:dyDescent="0.3">
      <c r="A16" s="242" t="s">
        <v>152</v>
      </c>
      <c r="B16" s="47">
        <f>SUM(B17:B19)</f>
        <v>0</v>
      </c>
      <c r="C16" s="47">
        <f>SUM(C17:C19)</f>
        <v>0</v>
      </c>
      <c r="D16" s="47">
        <f>SUM(D17:D19)</f>
        <v>0</v>
      </c>
      <c r="E16" s="102"/>
      <c r="F16" s="242" t="s">
        <v>152</v>
      </c>
      <c r="G16" s="49">
        <f t="shared" si="0"/>
        <v>0</v>
      </c>
      <c r="H16" s="49">
        <f t="shared" si="1"/>
        <v>0</v>
      </c>
      <c r="I16" s="49" t="str">
        <f t="shared" si="2"/>
        <v/>
      </c>
      <c r="J16" s="102"/>
      <c r="K16" s="242" t="s">
        <v>152</v>
      </c>
      <c r="L16" s="49" t="str">
        <f t="shared" si="3"/>
        <v/>
      </c>
      <c r="M16" s="49" t="str">
        <f t="shared" si="4"/>
        <v/>
      </c>
      <c r="N16" s="50"/>
      <c r="O16" s="50"/>
      <c r="P16" s="51"/>
      <c r="Q16" s="51"/>
    </row>
    <row r="17" spans="1:17" s="52" customFormat="1" ht="15.6" customHeight="1" x14ac:dyDescent="0.3">
      <c r="A17" s="53" t="s">
        <v>153</v>
      </c>
      <c r="B17" s="54">
        <f>'1A-Bilant'!B46+'1A-Bilant'!B47</f>
        <v>0</v>
      </c>
      <c r="C17" s="54">
        <f>'1A-Bilant'!C46+'1A-Bilant'!C47</f>
        <v>0</v>
      </c>
      <c r="D17" s="54">
        <f>'1A-Bilant'!D46+'1A-Bilant'!D47</f>
        <v>0</v>
      </c>
      <c r="E17" s="102"/>
      <c r="F17" s="242" t="s">
        <v>153</v>
      </c>
      <c r="G17" s="49">
        <f t="shared" si="0"/>
        <v>0</v>
      </c>
      <c r="H17" s="49">
        <f t="shared" si="1"/>
        <v>0</v>
      </c>
      <c r="I17" s="49" t="str">
        <f t="shared" si="2"/>
        <v/>
      </c>
      <c r="J17" s="102"/>
      <c r="K17" s="242" t="s">
        <v>153</v>
      </c>
      <c r="L17" s="49" t="str">
        <f t="shared" si="3"/>
        <v/>
      </c>
      <c r="M17" s="49" t="str">
        <f t="shared" si="4"/>
        <v/>
      </c>
      <c r="N17" s="50"/>
      <c r="O17" s="50"/>
      <c r="P17" s="229"/>
      <c r="Q17" s="51"/>
    </row>
    <row r="18" spans="1:17" s="247" customFormat="1" ht="15.6" customHeight="1" x14ac:dyDescent="0.3">
      <c r="A18" s="53" t="s">
        <v>154</v>
      </c>
      <c r="B18" s="54">
        <f>SUM('1A-Bilant'!B48:B53)</f>
        <v>0</v>
      </c>
      <c r="C18" s="54">
        <f>SUM('1A-Bilant'!C48:C53)</f>
        <v>0</v>
      </c>
      <c r="D18" s="54">
        <f>SUM('1A-Bilant'!D48:D53)</f>
        <v>0</v>
      </c>
      <c r="E18" s="244"/>
      <c r="F18" s="53" t="s">
        <v>154</v>
      </c>
      <c r="G18" s="48">
        <f t="shared" si="0"/>
        <v>0</v>
      </c>
      <c r="H18" s="48">
        <f t="shared" si="1"/>
        <v>0</v>
      </c>
      <c r="I18" s="48" t="str">
        <f t="shared" si="2"/>
        <v/>
      </c>
      <c r="J18" s="244"/>
      <c r="K18" s="53" t="s">
        <v>154</v>
      </c>
      <c r="L18" s="48" t="str">
        <f t="shared" si="3"/>
        <v/>
      </c>
      <c r="M18" s="48" t="str">
        <f t="shared" si="4"/>
        <v/>
      </c>
      <c r="N18" s="245"/>
      <c r="O18" s="245"/>
      <c r="P18" s="246"/>
      <c r="Q18" s="246"/>
    </row>
    <row r="19" spans="1:17" s="247" customFormat="1" ht="15.6" customHeight="1" x14ac:dyDescent="0.3">
      <c r="A19" s="53" t="s">
        <v>155</v>
      </c>
      <c r="B19" s="54">
        <f>'1A-Bilant'!B55</f>
        <v>0</v>
      </c>
      <c r="C19" s="54">
        <f>'1A-Bilant'!C55</f>
        <v>0</v>
      </c>
      <c r="D19" s="54">
        <f>'1A-Bilant'!D55</f>
        <v>0</v>
      </c>
      <c r="E19" s="244"/>
      <c r="F19" s="53" t="s">
        <v>155</v>
      </c>
      <c r="G19" s="48">
        <f t="shared" si="0"/>
        <v>0</v>
      </c>
      <c r="H19" s="48">
        <f t="shared" si="1"/>
        <v>0</v>
      </c>
      <c r="I19" s="48" t="str">
        <f t="shared" si="2"/>
        <v/>
      </c>
      <c r="J19" s="244"/>
      <c r="K19" s="53" t="s">
        <v>155</v>
      </c>
      <c r="L19" s="48" t="str">
        <f t="shared" si="3"/>
        <v/>
      </c>
      <c r="M19" s="48" t="str">
        <f t="shared" si="4"/>
        <v/>
      </c>
      <c r="N19" s="245"/>
      <c r="O19" s="245"/>
      <c r="P19" s="246"/>
      <c r="Q19" s="246"/>
    </row>
    <row r="20" spans="1:17" s="52" customFormat="1" ht="15.6" customHeight="1" x14ac:dyDescent="0.3">
      <c r="A20" s="242" t="s">
        <v>156</v>
      </c>
      <c r="B20" s="47">
        <f>'1A-Bilant'!B89</f>
        <v>52351374</v>
      </c>
      <c r="C20" s="47">
        <f>'1A-Bilant'!C89</f>
        <v>62517351</v>
      </c>
      <c r="D20" s="47">
        <f>'1A-Bilant'!D89</f>
        <v>0</v>
      </c>
      <c r="E20" s="102"/>
      <c r="F20" s="242" t="s">
        <v>156</v>
      </c>
      <c r="G20" s="48">
        <f t="shared" si="0"/>
        <v>0.96235190647662927</v>
      </c>
      <c r="H20" s="49">
        <f t="shared" si="1"/>
        <v>0.92993555014749374</v>
      </c>
      <c r="I20" s="49" t="str">
        <f t="shared" si="2"/>
        <v/>
      </c>
      <c r="J20" s="102"/>
      <c r="K20" s="242" t="s">
        <v>156</v>
      </c>
      <c r="L20" s="49">
        <f t="shared" si="3"/>
        <v>0.19418739611304184</v>
      </c>
      <c r="M20" s="49">
        <f t="shared" si="4"/>
        <v>-1</v>
      </c>
      <c r="N20" s="50"/>
      <c r="O20" s="50"/>
      <c r="P20" s="51"/>
      <c r="Q20" s="51"/>
    </row>
    <row r="21" spans="1:17" s="52" customFormat="1" ht="15.6" customHeight="1" x14ac:dyDescent="0.3">
      <c r="A21" s="242" t="str">
        <f>'1A-Bilant'!A93</f>
        <v>TOTAL ACTIV</v>
      </c>
      <c r="B21" s="47">
        <f>B4+B5</f>
        <v>54399408</v>
      </c>
      <c r="C21" s="47">
        <f>C4+C5</f>
        <v>67227617</v>
      </c>
      <c r="D21" s="47">
        <f>D4+D5</f>
        <v>0</v>
      </c>
      <c r="E21" s="102"/>
      <c r="F21" s="242" t="s">
        <v>80</v>
      </c>
      <c r="G21" s="48">
        <f t="shared" si="0"/>
        <v>1</v>
      </c>
      <c r="H21" s="49">
        <f t="shared" si="1"/>
        <v>1</v>
      </c>
      <c r="I21" s="49" t="str">
        <f t="shared" si="2"/>
        <v/>
      </c>
      <c r="J21" s="102"/>
      <c r="K21" s="242" t="s">
        <v>80</v>
      </c>
      <c r="L21" s="49">
        <f t="shared" si="3"/>
        <v>0.23581523166575635</v>
      </c>
      <c r="M21" s="49">
        <f t="shared" si="4"/>
        <v>-1</v>
      </c>
      <c r="N21" s="50"/>
      <c r="O21" s="50"/>
      <c r="P21" s="51"/>
      <c r="Q21" s="51"/>
    </row>
    <row r="22" spans="1:17" s="52" customFormat="1" ht="15.6" customHeight="1" x14ac:dyDescent="0.3">
      <c r="A22" s="242" t="str">
        <f>'1A-Bilant'!A94</f>
        <v>TOTAL CAPITALURI SI DATORII</v>
      </c>
      <c r="B22" s="47">
        <f>B11+B16+B20</f>
        <v>54399408</v>
      </c>
      <c r="C22" s="47">
        <f>C11+C16+C20</f>
        <v>67227617</v>
      </c>
      <c r="D22" s="47">
        <f>D11+D16+D20</f>
        <v>0</v>
      </c>
      <c r="E22" s="102"/>
      <c r="F22" s="242" t="s">
        <v>81</v>
      </c>
      <c r="G22" s="48">
        <f t="shared" si="0"/>
        <v>1</v>
      </c>
      <c r="H22" s="49">
        <f t="shared" si="1"/>
        <v>1</v>
      </c>
      <c r="I22" s="49" t="str">
        <f t="shared" si="2"/>
        <v/>
      </c>
      <c r="J22" s="102"/>
      <c r="K22" s="242" t="s">
        <v>81</v>
      </c>
      <c r="L22" s="49">
        <f t="shared" si="3"/>
        <v>0.23581523166575635</v>
      </c>
      <c r="M22" s="49">
        <f t="shared" si="4"/>
        <v>-1</v>
      </c>
      <c r="N22" s="50"/>
      <c r="O22" s="50"/>
      <c r="P22" s="51"/>
      <c r="Q22" s="51"/>
    </row>
    <row r="23" spans="1:17" s="52" customFormat="1" ht="15.6" customHeight="1" x14ac:dyDescent="0.3">
      <c r="A23" s="102"/>
      <c r="B23" s="55"/>
      <c r="C23" s="55"/>
      <c r="D23" s="55"/>
      <c r="E23" s="102"/>
      <c r="F23" s="102"/>
      <c r="G23" s="56"/>
      <c r="H23" s="56"/>
      <c r="I23" s="56"/>
      <c r="J23" s="102"/>
      <c r="K23" s="102"/>
      <c r="L23" s="56"/>
      <c r="M23" s="56"/>
      <c r="N23" s="50"/>
      <c r="O23" s="50"/>
      <c r="P23" s="51"/>
      <c r="Q23" s="51"/>
    </row>
    <row r="24" spans="1:17" s="247" customFormat="1" ht="24" customHeight="1" x14ac:dyDescent="0.3">
      <c r="A24" s="242" t="s">
        <v>157</v>
      </c>
      <c r="B24" s="243">
        <f>'1A-Bilant'!B5</f>
        <v>2018</v>
      </c>
      <c r="C24" s="243">
        <f>'1A-Bilant'!C5</f>
        <v>2019</v>
      </c>
      <c r="D24" s="243" t="str">
        <f>'1A-Bilant'!D5</f>
        <v>AN</v>
      </c>
      <c r="E24" s="244"/>
      <c r="F24" s="242" t="s">
        <v>158</v>
      </c>
      <c r="G24" s="243">
        <f>'1A-Bilant'!B5</f>
        <v>2018</v>
      </c>
      <c r="H24" s="243">
        <f>'1A-Bilant'!C5</f>
        <v>2019</v>
      </c>
      <c r="I24" s="243" t="str">
        <f>'1A-Bilant'!D5</f>
        <v>AN</v>
      </c>
      <c r="J24" s="244"/>
      <c r="K24" s="242" t="s">
        <v>139</v>
      </c>
      <c r="L24" s="243">
        <f>'1A-Bilant'!C5</f>
        <v>2019</v>
      </c>
      <c r="M24" s="243" t="str">
        <f>'1A-Bilant'!D5</f>
        <v>AN</v>
      </c>
      <c r="N24" s="245"/>
      <c r="O24" s="245"/>
      <c r="P24" s="246"/>
      <c r="Q24" s="246"/>
    </row>
    <row r="25" spans="1:17" s="52" customFormat="1" ht="15.6" customHeight="1" x14ac:dyDescent="0.3">
      <c r="A25" s="242" t="str">
        <f>'1B-ContPP'!A6</f>
        <v>Cifra de afaceri neta</v>
      </c>
      <c r="B25" s="47">
        <f>'1B-ContPP'!B6</f>
        <v>151633510</v>
      </c>
      <c r="C25" s="47">
        <f>'1B-ContPP'!C6</f>
        <v>196296474</v>
      </c>
      <c r="D25" s="47">
        <f>'1B-ContPP'!D6</f>
        <v>0</v>
      </c>
      <c r="E25" s="102"/>
      <c r="F25" s="242" t="s">
        <v>84</v>
      </c>
      <c r="G25" s="49">
        <f t="shared" ref="G25:G50" si="5">IFERROR(B25/B$25,"")</f>
        <v>1</v>
      </c>
      <c r="H25" s="49">
        <f t="shared" ref="H25:H50" si="6">IFERROR(C25/C$25,"")</f>
        <v>1</v>
      </c>
      <c r="I25" s="49" t="str">
        <f t="shared" ref="I25:I50" si="7">IFERROR(D25/D$25,"")</f>
        <v/>
      </c>
      <c r="J25" s="102"/>
      <c r="K25" s="242" t="s">
        <v>84</v>
      </c>
      <c r="L25" s="49">
        <f t="shared" ref="L25:M30" si="8">IFERROR((C25-B25)/B25,"")</f>
        <v>0.29454547349065519</v>
      </c>
      <c r="M25" s="49">
        <f t="shared" si="8"/>
        <v>-1</v>
      </c>
      <c r="N25" s="50"/>
      <c r="O25" s="50"/>
      <c r="P25" s="51"/>
      <c r="Q25" s="51"/>
    </row>
    <row r="26" spans="1:17" s="247" customFormat="1" ht="15.6" customHeight="1" x14ac:dyDescent="0.3">
      <c r="A26" s="53" t="str">
        <f>'1B-ContPP'!A12</f>
        <v>Alte venituri din exploatare</v>
      </c>
      <c r="B26" s="54">
        <f>'1B-ContPP'!B12</f>
        <v>4112793</v>
      </c>
      <c r="C26" s="54">
        <f>'1B-ContPP'!C12</f>
        <v>4336531</v>
      </c>
      <c r="D26" s="54">
        <f>'1B-ContPP'!D12</f>
        <v>0</v>
      </c>
      <c r="E26" s="244"/>
      <c r="F26" s="53" t="s">
        <v>90</v>
      </c>
      <c r="G26" s="48">
        <f t="shared" si="5"/>
        <v>2.7123246042382056E-2</v>
      </c>
      <c r="H26" s="48">
        <f t="shared" si="6"/>
        <v>2.2091741698834589E-2</v>
      </c>
      <c r="I26" s="48" t="str">
        <f t="shared" si="7"/>
        <v/>
      </c>
      <c r="J26" s="244"/>
      <c r="K26" s="53" t="s">
        <v>90</v>
      </c>
      <c r="L26" s="48">
        <f t="shared" si="8"/>
        <v>5.4400501070683595E-2</v>
      </c>
      <c r="M26" s="48">
        <f t="shared" si="8"/>
        <v>-1</v>
      </c>
      <c r="N26" s="245"/>
      <c r="O26" s="245"/>
      <c r="P26" s="246"/>
      <c r="Q26" s="246"/>
    </row>
    <row r="27" spans="1:17" s="52" customFormat="1" ht="15.6" customHeight="1" x14ac:dyDescent="0.3">
      <c r="A27" s="242" t="str">
        <f>'1B-ContPP'!A13</f>
        <v>Venituri din exploatare - total</v>
      </c>
      <c r="B27" s="47">
        <f>'1B-ContPP'!B13</f>
        <v>155746303</v>
      </c>
      <c r="C27" s="47">
        <f>'1B-ContPP'!C13</f>
        <v>200633005</v>
      </c>
      <c r="D27" s="47">
        <f>'1B-ContPP'!D13</f>
        <v>0</v>
      </c>
      <c r="E27" s="102"/>
      <c r="F27" s="242" t="s">
        <v>91</v>
      </c>
      <c r="G27" s="49">
        <f t="shared" si="5"/>
        <v>1.027123246042382</v>
      </c>
      <c r="H27" s="49">
        <f t="shared" si="6"/>
        <v>1.0220917416988347</v>
      </c>
      <c r="I27" s="49" t="str">
        <f t="shared" si="7"/>
        <v/>
      </c>
      <c r="J27" s="102"/>
      <c r="K27" s="242" t="s">
        <v>91</v>
      </c>
      <c r="L27" s="49">
        <f t="shared" si="8"/>
        <v>0.28820396462316028</v>
      </c>
      <c r="M27" s="49">
        <f t="shared" si="8"/>
        <v>-1</v>
      </c>
      <c r="N27" s="50"/>
      <c r="O27" s="50"/>
      <c r="P27" s="51"/>
      <c r="Q27" s="51"/>
    </row>
    <row r="28" spans="1:17" s="247" customFormat="1" ht="15.6" customHeight="1" x14ac:dyDescent="0.3">
      <c r="A28" s="57" t="s">
        <v>159</v>
      </c>
      <c r="B28" s="54">
        <f>SUM('1B-ContPP'!B14:B19)+'1B-ContPP'!B22</f>
        <v>150881971</v>
      </c>
      <c r="C28" s="54">
        <f>SUM('1B-ContPP'!C14:C19)+'1B-ContPP'!C22</f>
        <v>195682974</v>
      </c>
      <c r="D28" s="54">
        <f>SUM('1B-ContPP'!D14:D19)+'1B-ContPP'!D22</f>
        <v>0</v>
      </c>
      <c r="E28" s="244"/>
      <c r="F28" s="53" t="s">
        <v>159</v>
      </c>
      <c r="G28" s="48">
        <f t="shared" si="5"/>
        <v>0.99504371428188931</v>
      </c>
      <c r="H28" s="48">
        <f t="shared" si="6"/>
        <v>0.99687462547085792</v>
      </c>
      <c r="I28" s="48" t="str">
        <f t="shared" si="7"/>
        <v/>
      </c>
      <c r="J28" s="244"/>
      <c r="K28" s="53" t="s">
        <v>159</v>
      </c>
      <c r="L28" s="48">
        <f t="shared" si="8"/>
        <v>0.29692747717353191</v>
      </c>
      <c r="M28" s="48">
        <f t="shared" si="8"/>
        <v>-1</v>
      </c>
      <c r="N28" s="245"/>
      <c r="O28" s="245"/>
      <c r="P28" s="246"/>
      <c r="Q28" s="246"/>
    </row>
    <row r="29" spans="1:17" s="61" customFormat="1" ht="36" customHeight="1" x14ac:dyDescent="0.3">
      <c r="A29" s="53" t="s">
        <v>160</v>
      </c>
      <c r="B29" s="54">
        <f>'1B-ContPP'!B20+'1B-ContPP'!B21+'1B-ContPP'!B23</f>
        <v>861188</v>
      </c>
      <c r="C29" s="54">
        <f>'1B-ContPP'!C20+'1B-ContPP'!C21+'1B-ContPP'!C23</f>
        <v>1054689</v>
      </c>
      <c r="D29" s="54">
        <f>'1B-ContPP'!D20+'1B-ContPP'!D21+'1B-ContPP'!D23</f>
        <v>0</v>
      </c>
      <c r="E29" s="58"/>
      <c r="F29" s="53" t="s">
        <v>160</v>
      </c>
      <c r="G29" s="48">
        <f t="shared" si="5"/>
        <v>5.6794042425054991E-3</v>
      </c>
      <c r="H29" s="48">
        <f t="shared" si="6"/>
        <v>5.3729390982336237E-3</v>
      </c>
      <c r="I29" s="48" t="str">
        <f t="shared" si="7"/>
        <v/>
      </c>
      <c r="J29" s="244"/>
      <c r="K29" s="53" t="s">
        <v>160</v>
      </c>
      <c r="L29" s="48">
        <f t="shared" si="8"/>
        <v>0.22469077599780768</v>
      </c>
      <c r="M29" s="48">
        <f t="shared" si="8"/>
        <v>-1</v>
      </c>
      <c r="N29" s="59"/>
      <c r="O29" s="59"/>
      <c r="P29" s="60"/>
      <c r="Q29" s="60"/>
    </row>
    <row r="30" spans="1:17" s="52" customFormat="1" ht="15.6" customHeight="1" x14ac:dyDescent="0.3">
      <c r="A30" s="242" t="str">
        <f>'1B-ContPP'!A24</f>
        <v>Cheltuieli din exploatare - total</v>
      </c>
      <c r="B30" s="47">
        <f>'1B-ContPP'!B24</f>
        <v>139325341</v>
      </c>
      <c r="C30" s="47">
        <f>'1B-ContPP'!C24</f>
        <v>183568805</v>
      </c>
      <c r="D30" s="47">
        <f>'1B-ContPP'!D24</f>
        <v>0</v>
      </c>
      <c r="E30" s="102"/>
      <c r="F30" s="242" t="s">
        <v>102</v>
      </c>
      <c r="G30" s="49">
        <f t="shared" si="5"/>
        <v>0.91882949224086419</v>
      </c>
      <c r="H30" s="49">
        <f t="shared" si="6"/>
        <v>0.93516099020708854</v>
      </c>
      <c r="I30" s="49" t="str">
        <f t="shared" si="7"/>
        <v/>
      </c>
      <c r="J30" s="102"/>
      <c r="K30" s="242" t="s">
        <v>102</v>
      </c>
      <c r="L30" s="49">
        <f t="shared" si="8"/>
        <v>0.3175550383185497</v>
      </c>
      <c r="M30" s="49">
        <f t="shared" si="8"/>
        <v>-1</v>
      </c>
      <c r="N30" s="50"/>
      <c r="O30" s="50"/>
      <c r="P30" s="51"/>
      <c r="Q30" s="51"/>
    </row>
    <row r="31" spans="1:17" s="247" customFormat="1" ht="15.6" customHeight="1" x14ac:dyDescent="0.3">
      <c r="A31" s="242" t="str">
        <f>'1B-ContPP'!A25</f>
        <v>Rezultatul din exploatare</v>
      </c>
      <c r="B31" s="47">
        <f>'1B-ContPP'!B25</f>
        <v>16420962</v>
      </c>
      <c r="C31" s="47">
        <f>'1B-ContPP'!C25</f>
        <v>17064200</v>
      </c>
      <c r="D31" s="47">
        <f>'1B-ContPP'!D25</f>
        <v>0</v>
      </c>
      <c r="E31" s="244"/>
      <c r="F31" s="242" t="s">
        <v>103</v>
      </c>
      <c r="G31" s="49">
        <f t="shared" si="5"/>
        <v>0.10829375380151789</v>
      </c>
      <c r="H31" s="49">
        <f t="shared" si="6"/>
        <v>8.6930751491746103E-2</v>
      </c>
      <c r="I31" s="49" t="str">
        <f t="shared" si="7"/>
        <v/>
      </c>
      <c r="J31" s="102"/>
      <c r="K31" s="242" t="s">
        <v>103</v>
      </c>
      <c r="L31" s="49">
        <f>IF(C31&gt;0,ABS((C31-B31)/B31),0)</f>
        <v>3.9171761069783852E-2</v>
      </c>
      <c r="M31" s="49">
        <f>IF(D31&gt;0,ABS((D31-C31)/C31),0)</f>
        <v>0</v>
      </c>
      <c r="N31" s="245"/>
      <c r="O31" s="245"/>
      <c r="P31" s="246"/>
      <c r="Q31" s="246"/>
    </row>
    <row r="32" spans="1:17" s="247" customFormat="1" ht="15.6" customHeight="1" x14ac:dyDescent="0.3">
      <c r="A32" s="242" t="str">
        <f>'1B-ContPP'!A32</f>
        <v>Venituri financiare</v>
      </c>
      <c r="B32" s="47">
        <f>'1B-ContPP'!B32</f>
        <v>178404</v>
      </c>
      <c r="C32" s="47">
        <f>'1B-ContPP'!C32</f>
        <v>250458</v>
      </c>
      <c r="D32" s="47">
        <f>'1B-ContPP'!D32</f>
        <v>0</v>
      </c>
      <c r="E32" s="244"/>
      <c r="F32" s="242" t="s">
        <v>110</v>
      </c>
      <c r="G32" s="49">
        <f t="shared" si="5"/>
        <v>1.17654732123526E-3</v>
      </c>
      <c r="H32" s="49">
        <f t="shared" si="6"/>
        <v>1.2759169581415914E-3</v>
      </c>
      <c r="I32" s="49" t="str">
        <f t="shared" si="7"/>
        <v/>
      </c>
      <c r="J32" s="102"/>
      <c r="K32" s="242" t="s">
        <v>110</v>
      </c>
      <c r="L32" s="49">
        <f t="shared" ref="L32:L50" si="9">IFERROR((C32-B32)/B32,"")</f>
        <v>0.40388107889957625</v>
      </c>
      <c r="M32" s="49">
        <f t="shared" ref="M32:M50" si="10">IFERROR((D32-C32)/C32,"")</f>
        <v>-1</v>
      </c>
      <c r="N32" s="245"/>
      <c r="O32" s="245"/>
      <c r="P32" s="246"/>
      <c r="Q32" s="246"/>
    </row>
    <row r="33" spans="1:17" s="247" customFormat="1" ht="48" customHeight="1" x14ac:dyDescent="0.3">
      <c r="A33" s="53" t="str">
        <f>'1B-ContPP'!A33</f>
        <v>Ajustări de valoare privind imobilizările financiare şi investiţiile financiare deţinute ca active circulante</v>
      </c>
      <c r="B33" s="54">
        <f>'1B-ContPP'!B33</f>
        <v>0</v>
      </c>
      <c r="C33" s="54">
        <f>'1B-ContPP'!C33</f>
        <v>0</v>
      </c>
      <c r="D33" s="54">
        <f>'1B-ContPP'!D33</f>
        <v>0</v>
      </c>
      <c r="E33" s="244"/>
      <c r="F33" s="53" t="s">
        <v>111</v>
      </c>
      <c r="G33" s="48">
        <f t="shared" si="5"/>
        <v>0</v>
      </c>
      <c r="H33" s="48">
        <f t="shared" si="6"/>
        <v>0</v>
      </c>
      <c r="I33" s="48" t="str">
        <f t="shared" si="7"/>
        <v/>
      </c>
      <c r="J33" s="244"/>
      <c r="K33" s="53" t="s">
        <v>111</v>
      </c>
      <c r="L33" s="48" t="str">
        <f t="shared" si="9"/>
        <v/>
      </c>
      <c r="M33" s="48" t="str">
        <f t="shared" si="10"/>
        <v/>
      </c>
      <c r="N33" s="245"/>
      <c r="O33" s="245"/>
      <c r="P33" s="246"/>
      <c r="Q33" s="246"/>
    </row>
    <row r="34" spans="1:17" s="247" customFormat="1" ht="15.6" customHeight="1" x14ac:dyDescent="0.3">
      <c r="A34" s="53" t="str">
        <f>'1B-ContPP'!A34</f>
        <v xml:space="preserve">Cheltuieli privind dobânzile </v>
      </c>
      <c r="B34" s="54">
        <f>'1B-ContPP'!B34</f>
        <v>55802</v>
      </c>
      <c r="C34" s="54">
        <f>'1B-ContPP'!C34</f>
        <v>8220</v>
      </c>
      <c r="D34" s="54">
        <f>'1B-ContPP'!D34</f>
        <v>0</v>
      </c>
      <c r="E34" s="244"/>
      <c r="F34" s="53" t="s">
        <v>112</v>
      </c>
      <c r="G34" s="48">
        <f t="shared" si="5"/>
        <v>3.6800572643870078E-4</v>
      </c>
      <c r="H34" s="48">
        <f t="shared" si="6"/>
        <v>4.1875433788994093E-5</v>
      </c>
      <c r="I34" s="48" t="str">
        <f t="shared" si="7"/>
        <v/>
      </c>
      <c r="J34" s="244"/>
      <c r="K34" s="53" t="s">
        <v>112</v>
      </c>
      <c r="L34" s="48">
        <f t="shared" si="9"/>
        <v>-0.85269345184760403</v>
      </c>
      <c r="M34" s="48">
        <f t="shared" si="10"/>
        <v>-1</v>
      </c>
      <c r="N34" s="245"/>
      <c r="O34" s="245"/>
      <c r="P34" s="246"/>
      <c r="Q34" s="246"/>
    </row>
    <row r="35" spans="1:17" s="247" customFormat="1" ht="15.6" customHeight="1" x14ac:dyDescent="0.3">
      <c r="A35" s="53" t="str">
        <f>'1B-ContPP'!A35</f>
        <v xml:space="preserve">Alte cheltuieli financiare  </v>
      </c>
      <c r="B35" s="54">
        <f>'1B-ContPP'!B35</f>
        <v>290692</v>
      </c>
      <c r="C35" s="54">
        <f>'1B-ContPP'!C35</f>
        <v>231075</v>
      </c>
      <c r="D35" s="54">
        <f>'1B-ContPP'!D35</f>
        <v>0</v>
      </c>
      <c r="E35" s="244"/>
      <c r="F35" s="53" t="s">
        <v>113</v>
      </c>
      <c r="G35" s="48">
        <f t="shared" si="5"/>
        <v>1.9170696503694996E-3</v>
      </c>
      <c r="H35" s="48">
        <f t="shared" si="6"/>
        <v>1.1771734626267408E-3</v>
      </c>
      <c r="I35" s="48" t="str">
        <f t="shared" si="7"/>
        <v/>
      </c>
      <c r="J35" s="244"/>
      <c r="K35" s="53" t="s">
        <v>113</v>
      </c>
      <c r="L35" s="48">
        <f t="shared" si="9"/>
        <v>-0.20508648328815379</v>
      </c>
      <c r="M35" s="48">
        <f t="shared" si="10"/>
        <v>-1</v>
      </c>
      <c r="N35" s="245"/>
      <c r="O35" s="245"/>
      <c r="P35" s="246"/>
      <c r="Q35" s="246"/>
    </row>
    <row r="36" spans="1:17" s="52" customFormat="1" ht="15.6" customHeight="1" x14ac:dyDescent="0.3">
      <c r="A36" s="242" t="str">
        <f>'1B-ContPP'!A36</f>
        <v>Cheltuieli financiare</v>
      </c>
      <c r="B36" s="47">
        <f>'1B-ContPP'!B36</f>
        <v>346494</v>
      </c>
      <c r="C36" s="47">
        <f>'1B-ContPP'!C36</f>
        <v>239295</v>
      </c>
      <c r="D36" s="47">
        <f>'1B-ContPP'!D36</f>
        <v>0</v>
      </c>
      <c r="E36" s="102"/>
      <c r="F36" s="242" t="s">
        <v>114</v>
      </c>
      <c r="G36" s="49">
        <f t="shared" si="5"/>
        <v>2.2850753768082002E-3</v>
      </c>
      <c r="H36" s="49">
        <f t="shared" si="6"/>
        <v>1.219048896415735E-3</v>
      </c>
      <c r="I36" s="49" t="str">
        <f t="shared" si="7"/>
        <v/>
      </c>
      <c r="J36" s="102"/>
      <c r="K36" s="242" t="s">
        <v>114</v>
      </c>
      <c r="L36" s="49">
        <f t="shared" si="9"/>
        <v>-0.30938198064035743</v>
      </c>
      <c r="M36" s="49">
        <f t="shared" si="10"/>
        <v>-1</v>
      </c>
      <c r="N36" s="50"/>
      <c r="O36" s="50"/>
      <c r="P36" s="51"/>
      <c r="Q36" s="51"/>
    </row>
    <row r="37" spans="1:17" s="247" customFormat="1" ht="15.6" customHeight="1" x14ac:dyDescent="0.3">
      <c r="A37" s="53" t="str">
        <f>'1B-ContPP'!A37</f>
        <v>Rezultatul financiar</v>
      </c>
      <c r="B37" s="54">
        <f>'1B-ContPP'!B37</f>
        <v>-168090</v>
      </c>
      <c r="C37" s="54">
        <f>'1B-ContPP'!C37</f>
        <v>11163</v>
      </c>
      <c r="D37" s="54">
        <f>'1B-ContPP'!D37</f>
        <v>0</v>
      </c>
      <c r="E37" s="244"/>
      <c r="F37" s="53" t="s">
        <v>115</v>
      </c>
      <c r="G37" s="48">
        <f t="shared" si="5"/>
        <v>-1.1085280555729402E-3</v>
      </c>
      <c r="H37" s="48">
        <f t="shared" si="6"/>
        <v>5.6868061725856575E-5</v>
      </c>
      <c r="I37" s="48" t="str">
        <f t="shared" si="7"/>
        <v/>
      </c>
      <c r="J37" s="244"/>
      <c r="K37" s="53" t="s">
        <v>115</v>
      </c>
      <c r="L37" s="48">
        <f t="shared" si="9"/>
        <v>-1.0664108513296449</v>
      </c>
      <c r="M37" s="48">
        <f t="shared" si="10"/>
        <v>-1</v>
      </c>
      <c r="N37" s="245"/>
      <c r="O37" s="245"/>
      <c r="P37" s="246"/>
      <c r="Q37" s="246"/>
    </row>
    <row r="38" spans="1:17" s="52" customFormat="1" ht="15.6" customHeight="1" x14ac:dyDescent="0.3">
      <c r="A38" s="242" t="str">
        <f>'1B-ContPP'!A40</f>
        <v>Rezultatul curent</v>
      </c>
      <c r="B38" s="47">
        <f>'1B-ContPP'!B40</f>
        <v>16252872</v>
      </c>
      <c r="C38" s="47">
        <f>'1B-ContPP'!C40</f>
        <v>17075363</v>
      </c>
      <c r="D38" s="47">
        <f>'1B-ContPP'!D40</f>
        <v>0</v>
      </c>
      <c r="E38" s="102"/>
      <c r="F38" s="242" t="s">
        <v>118</v>
      </c>
      <c r="G38" s="49">
        <f t="shared" si="5"/>
        <v>0.10718522574594494</v>
      </c>
      <c r="H38" s="49">
        <f t="shared" si="6"/>
        <v>8.6987619553471965E-2</v>
      </c>
      <c r="I38" s="49" t="str">
        <f t="shared" si="7"/>
        <v/>
      </c>
      <c r="J38" s="102"/>
      <c r="K38" s="242" t="s">
        <v>118</v>
      </c>
      <c r="L38" s="49">
        <f t="shared" si="9"/>
        <v>5.0605886762659549E-2</v>
      </c>
      <c r="M38" s="49">
        <f t="shared" si="10"/>
        <v>-1</v>
      </c>
      <c r="N38" s="50"/>
      <c r="O38" s="50"/>
      <c r="P38" s="51"/>
      <c r="Q38" s="51"/>
    </row>
    <row r="39" spans="1:17" s="52" customFormat="1" ht="15.6" customHeight="1" x14ac:dyDescent="0.3">
      <c r="A39" s="242" t="str">
        <f>'1B-ContPP'!A43</f>
        <v>Venituri extraordinare</v>
      </c>
      <c r="B39" s="47">
        <f>'1B-ContPP'!B43</f>
        <v>0</v>
      </c>
      <c r="C39" s="47">
        <f>'1B-ContPP'!C43</f>
        <v>0</v>
      </c>
      <c r="D39" s="47">
        <f>'1B-ContPP'!D43</f>
        <v>0</v>
      </c>
      <c r="E39" s="102"/>
      <c r="F39" s="242" t="s">
        <v>121</v>
      </c>
      <c r="G39" s="49">
        <f t="shared" si="5"/>
        <v>0</v>
      </c>
      <c r="H39" s="49">
        <f t="shared" si="6"/>
        <v>0</v>
      </c>
      <c r="I39" s="49" t="str">
        <f t="shared" si="7"/>
        <v/>
      </c>
      <c r="J39" s="102"/>
      <c r="K39" s="242" t="s">
        <v>121</v>
      </c>
      <c r="L39" s="49" t="str">
        <f t="shared" si="9"/>
        <v/>
      </c>
      <c r="M39" s="49" t="str">
        <f t="shared" si="10"/>
        <v/>
      </c>
      <c r="N39" s="50"/>
      <c r="O39" s="50"/>
      <c r="P39" s="51"/>
      <c r="Q39" s="51"/>
    </row>
    <row r="40" spans="1:17" s="52" customFormat="1" ht="15.6" customHeight="1" x14ac:dyDescent="0.3">
      <c r="A40" s="242" t="str">
        <f>'1B-ContPP'!A44</f>
        <v>Cheltuieli extraordinare</v>
      </c>
      <c r="B40" s="47">
        <f>'1B-ContPP'!B44</f>
        <v>0</v>
      </c>
      <c r="C40" s="47">
        <f>'1B-ContPP'!C44</f>
        <v>0</v>
      </c>
      <c r="D40" s="47">
        <f>'1B-ContPP'!D44</f>
        <v>0</v>
      </c>
      <c r="E40" s="102"/>
      <c r="F40" s="242" t="s">
        <v>122</v>
      </c>
      <c r="G40" s="49">
        <f t="shared" si="5"/>
        <v>0</v>
      </c>
      <c r="H40" s="49">
        <f t="shared" si="6"/>
        <v>0</v>
      </c>
      <c r="I40" s="49" t="str">
        <f t="shared" si="7"/>
        <v/>
      </c>
      <c r="J40" s="102"/>
      <c r="K40" s="242" t="s">
        <v>122</v>
      </c>
      <c r="L40" s="49" t="str">
        <f t="shared" si="9"/>
        <v/>
      </c>
      <c r="M40" s="49" t="str">
        <f t="shared" si="10"/>
        <v/>
      </c>
      <c r="N40" s="50"/>
      <c r="O40" s="50"/>
      <c r="P40" s="51"/>
      <c r="Q40" s="51"/>
    </row>
    <row r="41" spans="1:17" s="52" customFormat="1" ht="15.6" customHeight="1" x14ac:dyDescent="0.3">
      <c r="A41" s="242" t="str">
        <f>'1B-ContPP'!A45</f>
        <v>Rezultatul extraordinar</v>
      </c>
      <c r="B41" s="47">
        <f>'1B-ContPP'!B45</f>
        <v>0</v>
      </c>
      <c r="C41" s="47">
        <f>'1B-ContPP'!C45</f>
        <v>0</v>
      </c>
      <c r="D41" s="47">
        <f>'1B-ContPP'!D45</f>
        <v>0</v>
      </c>
      <c r="E41" s="102"/>
      <c r="F41" s="242" t="s">
        <v>123</v>
      </c>
      <c r="G41" s="49">
        <f t="shared" si="5"/>
        <v>0</v>
      </c>
      <c r="H41" s="49">
        <f t="shared" si="6"/>
        <v>0</v>
      </c>
      <c r="I41" s="49" t="str">
        <f t="shared" si="7"/>
        <v/>
      </c>
      <c r="J41" s="102"/>
      <c r="K41" s="242" t="s">
        <v>123</v>
      </c>
      <c r="L41" s="49" t="str">
        <f t="shared" si="9"/>
        <v/>
      </c>
      <c r="M41" s="49" t="str">
        <f t="shared" si="10"/>
        <v/>
      </c>
      <c r="N41" s="50"/>
      <c r="O41" s="50"/>
      <c r="P41" s="51"/>
      <c r="Q41" s="51"/>
    </row>
    <row r="42" spans="1:17" s="52" customFormat="1" ht="15.6" customHeight="1" x14ac:dyDescent="0.3">
      <c r="A42" s="242" t="str">
        <f>'1B-ContPP'!A48</f>
        <v>Venituri totale</v>
      </c>
      <c r="B42" s="47">
        <f>'1B-ContPP'!B48</f>
        <v>155924707</v>
      </c>
      <c r="C42" s="47">
        <f>'1B-ContPP'!C48</f>
        <v>200883463</v>
      </c>
      <c r="D42" s="47">
        <f>'1B-ContPP'!D48</f>
        <v>0</v>
      </c>
      <c r="E42" s="102"/>
      <c r="F42" s="242" t="s">
        <v>126</v>
      </c>
      <c r="G42" s="49">
        <f t="shared" si="5"/>
        <v>1.0282997933636173</v>
      </c>
      <c r="H42" s="49">
        <f t="shared" si="6"/>
        <v>1.0233676586569762</v>
      </c>
      <c r="I42" s="49" t="str">
        <f t="shared" si="7"/>
        <v/>
      </c>
      <c r="J42" s="102"/>
      <c r="K42" s="242" t="s">
        <v>126</v>
      </c>
      <c r="L42" s="49">
        <f t="shared" si="9"/>
        <v>0.28833631863101722</v>
      </c>
      <c r="M42" s="49">
        <f t="shared" si="10"/>
        <v>-1</v>
      </c>
      <c r="N42" s="50"/>
      <c r="O42" s="50"/>
      <c r="P42" s="51"/>
      <c r="Q42" s="51"/>
    </row>
    <row r="43" spans="1:17" s="247" customFormat="1" ht="15.6" customHeight="1" x14ac:dyDescent="0.3">
      <c r="A43" s="242" t="str">
        <f>'1B-ContPP'!A49</f>
        <v>Cheltuieli totale</v>
      </c>
      <c r="B43" s="47">
        <f>'1B-ContPP'!B49</f>
        <v>139671835</v>
      </c>
      <c r="C43" s="47">
        <f>'1B-ContPP'!C49</f>
        <v>183808100</v>
      </c>
      <c r="D43" s="47">
        <f>'1B-ContPP'!D49</f>
        <v>0</v>
      </c>
      <c r="E43" s="244"/>
      <c r="F43" s="242" t="s">
        <v>127</v>
      </c>
      <c r="G43" s="49">
        <f t="shared" si="5"/>
        <v>0.92111456761767241</v>
      </c>
      <c r="H43" s="49">
        <f t="shared" si="6"/>
        <v>0.9363800391035042</v>
      </c>
      <c r="I43" s="49" t="str">
        <f t="shared" si="7"/>
        <v/>
      </c>
      <c r="J43" s="102"/>
      <c r="K43" s="242" t="s">
        <v>127</v>
      </c>
      <c r="L43" s="49">
        <f t="shared" si="9"/>
        <v>0.31599975041496375</v>
      </c>
      <c r="M43" s="49">
        <f t="shared" si="10"/>
        <v>-1</v>
      </c>
      <c r="N43" s="245"/>
      <c r="O43" s="245"/>
      <c r="P43" s="246"/>
      <c r="Q43" s="246"/>
    </row>
    <row r="44" spans="1:17" s="52" customFormat="1" ht="15.6" customHeight="1" x14ac:dyDescent="0.3">
      <c r="A44" s="242" t="str">
        <f>'1B-ContPP'!A50</f>
        <v>Rezultatul brut</v>
      </c>
      <c r="B44" s="47">
        <f>'1B-ContPP'!B50</f>
        <v>16252872</v>
      </c>
      <c r="C44" s="47">
        <f>'1B-ContPP'!C50</f>
        <v>17075363</v>
      </c>
      <c r="D44" s="47">
        <f>'1B-ContPP'!D50</f>
        <v>0</v>
      </c>
      <c r="E44" s="102"/>
      <c r="F44" s="242" t="s">
        <v>128</v>
      </c>
      <c r="G44" s="49">
        <f t="shared" si="5"/>
        <v>0.10718522574594494</v>
      </c>
      <c r="H44" s="49">
        <f t="shared" si="6"/>
        <v>8.6987619553471965E-2</v>
      </c>
      <c r="I44" s="49" t="str">
        <f t="shared" si="7"/>
        <v/>
      </c>
      <c r="J44" s="102"/>
      <c r="K44" s="242" t="s">
        <v>128</v>
      </c>
      <c r="L44" s="49">
        <f t="shared" si="9"/>
        <v>5.0605886762659549E-2</v>
      </c>
      <c r="M44" s="49">
        <f t="shared" si="10"/>
        <v>-1</v>
      </c>
      <c r="N44" s="50"/>
      <c r="O44" s="50"/>
      <c r="P44" s="51"/>
      <c r="Q44" s="51"/>
    </row>
    <row r="45" spans="1:17" s="247" customFormat="1" ht="15.6" customHeight="1" x14ac:dyDescent="0.3">
      <c r="A45" s="53" t="str">
        <f>'1B-ContPP'!A53</f>
        <v>Impozit pe profit</v>
      </c>
      <c r="B45" s="54">
        <f>'1B-ContPP'!B53</f>
        <v>2216272</v>
      </c>
      <c r="C45" s="54">
        <f>'1B-ContPP'!C53</f>
        <v>2377884</v>
      </c>
      <c r="D45" s="54">
        <f>'1B-ContPP'!D53</f>
        <v>0</v>
      </c>
      <c r="E45" s="244"/>
      <c r="F45" s="53" t="s">
        <v>131</v>
      </c>
      <c r="G45" s="48">
        <f t="shared" si="5"/>
        <v>1.4615977695167776E-2</v>
      </c>
      <c r="H45" s="48">
        <f t="shared" si="6"/>
        <v>1.2113737712884237E-2</v>
      </c>
      <c r="I45" s="48" t="str">
        <f t="shared" si="7"/>
        <v/>
      </c>
      <c r="J45" s="244"/>
      <c r="K45" s="53" t="s">
        <v>131</v>
      </c>
      <c r="L45" s="48">
        <f t="shared" si="9"/>
        <v>7.292065233870211E-2</v>
      </c>
      <c r="M45" s="48">
        <f t="shared" si="10"/>
        <v>-1</v>
      </c>
      <c r="N45" s="245"/>
      <c r="O45" s="245"/>
      <c r="P45" s="246"/>
      <c r="Q45" s="246"/>
    </row>
    <row r="46" spans="1:17" s="247" customFormat="1" ht="24" customHeight="1" x14ac:dyDescent="0.3">
      <c r="A46" s="53" t="str">
        <f>'1B-ContPP'!A54</f>
        <v>Alte impozite neprezentate la elementele de mai sus</v>
      </c>
      <c r="B46" s="54">
        <f>'1B-ContPP'!B54</f>
        <v>0</v>
      </c>
      <c r="C46" s="54">
        <f>'1B-ContPP'!C54</f>
        <v>0</v>
      </c>
      <c r="D46" s="54">
        <f>'1B-ContPP'!D54</f>
        <v>0</v>
      </c>
      <c r="E46" s="244"/>
      <c r="F46" s="53" t="str">
        <f>$A$46</f>
        <v>Alte impozite neprezentate la elementele de mai sus</v>
      </c>
      <c r="G46" s="48">
        <f t="shared" si="5"/>
        <v>0</v>
      </c>
      <c r="H46" s="48">
        <f t="shared" si="6"/>
        <v>0</v>
      </c>
      <c r="I46" s="48" t="str">
        <f t="shared" si="7"/>
        <v/>
      </c>
      <c r="J46" s="244"/>
      <c r="K46" s="53" t="str">
        <f>F46</f>
        <v>Alte impozite neprezentate la elementele de mai sus</v>
      </c>
      <c r="L46" s="48" t="str">
        <f t="shared" si="9"/>
        <v/>
      </c>
      <c r="M46" s="48" t="str">
        <f t="shared" si="10"/>
        <v/>
      </c>
      <c r="N46" s="245"/>
      <c r="O46" s="245"/>
      <c r="P46" s="246"/>
      <c r="Q46" s="246"/>
    </row>
    <row r="47" spans="1:17" s="52" customFormat="1" ht="15.6" customHeight="1" x14ac:dyDescent="0.3">
      <c r="A47" s="242" t="str">
        <f>'1B-ContPP'!A55</f>
        <v>Rezultatul net</v>
      </c>
      <c r="B47" s="47">
        <f>'1B-ContPP'!B55</f>
        <v>14036600</v>
      </c>
      <c r="C47" s="47">
        <f>'1B-ContPP'!C55</f>
        <v>14697479</v>
      </c>
      <c r="D47" s="47">
        <f>'1B-ContPP'!D55</f>
        <v>0</v>
      </c>
      <c r="E47" s="102"/>
      <c r="F47" s="242" t="s">
        <v>133</v>
      </c>
      <c r="G47" s="49">
        <f t="shared" si="5"/>
        <v>9.2569248050777167E-2</v>
      </c>
      <c r="H47" s="49">
        <f t="shared" si="6"/>
        <v>7.4873881840587728E-2</v>
      </c>
      <c r="I47" s="49" t="str">
        <f t="shared" si="7"/>
        <v/>
      </c>
      <c r="J47" s="102"/>
      <c r="K47" s="242" t="s">
        <v>133</v>
      </c>
      <c r="L47" s="49">
        <f t="shared" si="9"/>
        <v>4.7082555604633598E-2</v>
      </c>
      <c r="M47" s="49">
        <f t="shared" si="10"/>
        <v>-1</v>
      </c>
      <c r="N47" s="50"/>
      <c r="O47" s="50"/>
      <c r="P47" s="51"/>
      <c r="Q47" s="51"/>
    </row>
    <row r="48" spans="1:17" s="52" customFormat="1" ht="15.6" customHeight="1" x14ac:dyDescent="0.3">
      <c r="A48" s="242" t="s">
        <v>161</v>
      </c>
      <c r="B48" s="47">
        <f>B47+B45+B46</f>
        <v>16252872</v>
      </c>
      <c r="C48" s="47">
        <f>C47+C45+C46</f>
        <v>17075363</v>
      </c>
      <c r="D48" s="47">
        <f>D47+D45+D46</f>
        <v>0</v>
      </c>
      <c r="E48" s="102"/>
      <c r="F48" s="242" t="s">
        <v>161</v>
      </c>
      <c r="G48" s="49">
        <f t="shared" si="5"/>
        <v>0.10718522574594494</v>
      </c>
      <c r="H48" s="49">
        <f t="shared" si="6"/>
        <v>8.6987619553471965E-2</v>
      </c>
      <c r="I48" s="49" t="str">
        <f t="shared" si="7"/>
        <v/>
      </c>
      <c r="J48" s="102"/>
      <c r="K48" s="242" t="s">
        <v>161</v>
      </c>
      <c r="L48" s="49">
        <f t="shared" si="9"/>
        <v>5.0605886762659549E-2</v>
      </c>
      <c r="M48" s="49">
        <f t="shared" si="10"/>
        <v>-1</v>
      </c>
      <c r="N48" s="50"/>
      <c r="O48" s="50"/>
      <c r="P48" s="51"/>
      <c r="Q48" s="51"/>
    </row>
    <row r="49" spans="1:17" s="247" customFormat="1" ht="15.6" customHeight="1" x14ac:dyDescent="0.3">
      <c r="A49" s="242" t="s">
        <v>162</v>
      </c>
      <c r="B49" s="47">
        <f>B48+B34</f>
        <v>16308674</v>
      </c>
      <c r="C49" s="47">
        <f>C48+C34</f>
        <v>17083583</v>
      </c>
      <c r="D49" s="47">
        <f>D48+D34</f>
        <v>0</v>
      </c>
      <c r="E49" s="244"/>
      <c r="F49" s="242" t="s">
        <v>162</v>
      </c>
      <c r="G49" s="49">
        <f t="shared" si="5"/>
        <v>0.10755323147238365</v>
      </c>
      <c r="H49" s="49">
        <f t="shared" si="6"/>
        <v>8.7029494987260952E-2</v>
      </c>
      <c r="I49" s="49" t="str">
        <f t="shared" si="7"/>
        <v/>
      </c>
      <c r="J49" s="102"/>
      <c r="K49" s="242" t="s">
        <v>162</v>
      </c>
      <c r="L49" s="49">
        <f t="shared" si="9"/>
        <v>4.7515144394939771E-2</v>
      </c>
      <c r="M49" s="49">
        <f t="shared" si="10"/>
        <v>-1</v>
      </c>
      <c r="N49" s="245"/>
      <c r="O49" s="245"/>
      <c r="P49" s="246"/>
      <c r="Q49" s="246"/>
    </row>
    <row r="50" spans="1:17" s="247" customFormat="1" ht="15.6" customHeight="1" x14ac:dyDescent="0.3">
      <c r="A50" s="242" t="s">
        <v>163</v>
      </c>
      <c r="B50" s="47">
        <f>B49+B33+B29</f>
        <v>17169862</v>
      </c>
      <c r="C50" s="47">
        <f>C49+C33+C29</f>
        <v>18138272</v>
      </c>
      <c r="D50" s="47">
        <f>D49+D33+D29</f>
        <v>0</v>
      </c>
      <c r="E50" s="244"/>
      <c r="F50" s="242" t="s">
        <v>163</v>
      </c>
      <c r="G50" s="49">
        <f t="shared" si="5"/>
        <v>0.11323263571488915</v>
      </c>
      <c r="H50" s="49">
        <f t="shared" si="6"/>
        <v>9.2402434085494575E-2</v>
      </c>
      <c r="I50" s="49" t="str">
        <f t="shared" si="7"/>
        <v/>
      </c>
      <c r="J50" s="102"/>
      <c r="K50" s="242" t="s">
        <v>163</v>
      </c>
      <c r="L50" s="49">
        <f t="shared" si="9"/>
        <v>5.6401734620814076E-2</v>
      </c>
      <c r="M50" s="49">
        <f t="shared" si="10"/>
        <v>-1</v>
      </c>
      <c r="N50" s="245"/>
      <c r="O50" s="245"/>
      <c r="P50" s="246"/>
      <c r="Q50" s="246"/>
    </row>
    <row r="51" spans="1:17" s="247" customFormat="1" ht="15.6" customHeight="1" x14ac:dyDescent="0.3">
      <c r="A51" s="244"/>
      <c r="B51" s="97"/>
      <c r="C51" s="97"/>
      <c r="D51" s="97"/>
      <c r="E51" s="244"/>
      <c r="F51" s="244"/>
      <c r="G51" s="62"/>
      <c r="H51" s="62"/>
      <c r="I51" s="62"/>
      <c r="J51" s="244"/>
      <c r="K51" s="244"/>
      <c r="L51" s="62"/>
      <c r="M51" s="62"/>
      <c r="N51" s="245"/>
      <c r="O51" s="245"/>
      <c r="P51" s="246"/>
      <c r="Q51" s="246"/>
    </row>
    <row r="52" spans="1:17" s="247" customFormat="1" ht="15.6" customHeight="1" x14ac:dyDescent="0.3">
      <c r="A52" s="244"/>
      <c r="B52" s="97"/>
      <c r="C52" s="97"/>
      <c r="D52" s="97"/>
      <c r="E52" s="244"/>
      <c r="F52" s="244"/>
      <c r="G52" s="62"/>
      <c r="H52" s="62"/>
      <c r="I52" s="62"/>
      <c r="J52" s="244"/>
      <c r="K52" s="244"/>
      <c r="L52" s="62"/>
      <c r="M52" s="62"/>
      <c r="N52" s="245"/>
      <c r="O52" s="245"/>
      <c r="P52" s="246"/>
      <c r="Q52" s="246"/>
    </row>
    <row r="53" spans="1:17" s="247" customFormat="1" ht="15.6" customHeight="1" x14ac:dyDescent="0.3">
      <c r="A53" s="244"/>
      <c r="B53" s="97"/>
      <c r="C53" s="97"/>
      <c r="D53" s="97"/>
      <c r="E53" s="244"/>
      <c r="F53" s="244"/>
      <c r="G53" s="62"/>
      <c r="H53" s="62"/>
      <c r="I53" s="62"/>
      <c r="J53" s="244"/>
      <c r="K53" s="244"/>
      <c r="L53" s="62"/>
      <c r="M53" s="62"/>
      <c r="N53" s="245"/>
      <c r="O53" s="245"/>
      <c r="P53" s="246"/>
      <c r="Q53" s="246"/>
    </row>
    <row r="54" spans="1:17" s="247" customFormat="1" ht="15.6" customHeight="1" x14ac:dyDescent="0.3">
      <c r="A54" s="244"/>
      <c r="B54" s="97"/>
      <c r="C54" s="97"/>
      <c r="D54" s="97"/>
      <c r="E54" s="244"/>
      <c r="F54" s="244"/>
      <c r="G54" s="62"/>
      <c r="H54" s="62"/>
      <c r="I54" s="62"/>
      <c r="J54" s="244"/>
      <c r="K54" s="244"/>
      <c r="L54" s="62"/>
      <c r="M54" s="62"/>
      <c r="N54" s="245"/>
      <c r="O54" s="245"/>
      <c r="P54" s="246"/>
      <c r="Q54" s="246"/>
    </row>
    <row r="55" spans="1:17" s="247" customFormat="1" ht="15.6" customHeight="1" x14ac:dyDescent="0.3">
      <c r="A55" s="244"/>
      <c r="B55" s="97"/>
      <c r="C55" s="97"/>
      <c r="D55" s="97"/>
      <c r="E55" s="244"/>
      <c r="F55" s="244"/>
      <c r="G55" s="62"/>
      <c r="H55" s="62"/>
      <c r="I55" s="62"/>
      <c r="J55" s="244"/>
      <c r="K55" s="244"/>
      <c r="L55" s="62"/>
      <c r="M55" s="62"/>
      <c r="N55" s="245"/>
      <c r="O55" s="245"/>
      <c r="P55" s="246"/>
      <c r="Q55" s="246"/>
    </row>
    <row r="56" spans="1:17" s="247" customFormat="1" ht="15.6" customHeight="1" x14ac:dyDescent="0.3">
      <c r="A56" s="244"/>
      <c r="B56" s="97"/>
      <c r="C56" s="97"/>
      <c r="D56" s="97"/>
      <c r="E56" s="244"/>
      <c r="F56" s="244"/>
      <c r="G56" s="62"/>
      <c r="H56" s="62"/>
      <c r="I56" s="62"/>
      <c r="J56" s="244"/>
      <c r="K56" s="244"/>
      <c r="L56" s="62"/>
      <c r="M56" s="62"/>
      <c r="N56" s="245"/>
      <c r="O56" s="245"/>
      <c r="P56" s="246"/>
      <c r="Q56" s="246"/>
    </row>
    <row r="57" spans="1:17" s="247" customFormat="1" ht="15.6" customHeight="1" x14ac:dyDescent="0.3">
      <c r="A57" s="244"/>
      <c r="B57" s="97"/>
      <c r="C57" s="97"/>
      <c r="D57" s="97"/>
      <c r="E57" s="244"/>
      <c r="F57" s="244"/>
      <c r="G57" s="62"/>
      <c r="H57" s="62"/>
      <c r="I57" s="62"/>
      <c r="J57" s="244"/>
      <c r="K57" s="244"/>
      <c r="L57" s="62"/>
      <c r="M57" s="62"/>
      <c r="N57" s="245"/>
      <c r="O57" s="245"/>
      <c r="P57" s="246"/>
      <c r="Q57" s="246"/>
    </row>
    <row r="58" spans="1:17" s="247" customFormat="1" ht="15.6" customHeight="1" x14ac:dyDescent="0.3">
      <c r="A58" s="244"/>
      <c r="B58" s="97"/>
      <c r="C58" s="97"/>
      <c r="D58" s="97"/>
      <c r="E58" s="244"/>
      <c r="F58" s="244"/>
      <c r="G58" s="62"/>
      <c r="H58" s="62"/>
      <c r="I58" s="62"/>
      <c r="J58" s="244"/>
      <c r="K58" s="244"/>
      <c r="L58" s="62"/>
      <c r="M58" s="62"/>
      <c r="N58" s="245"/>
      <c r="O58" s="245"/>
      <c r="P58" s="246"/>
      <c r="Q58" s="246"/>
    </row>
    <row r="59" spans="1:17" s="247" customFormat="1" ht="15.6" customHeight="1" x14ac:dyDescent="0.3">
      <c r="A59" s="244"/>
      <c r="B59" s="97"/>
      <c r="C59" s="97"/>
      <c r="D59" s="97"/>
      <c r="E59" s="244"/>
      <c r="F59" s="244"/>
      <c r="G59" s="62"/>
      <c r="H59" s="62"/>
      <c r="I59" s="62"/>
      <c r="J59" s="244"/>
      <c r="K59" s="244"/>
      <c r="L59" s="62"/>
      <c r="M59" s="62"/>
      <c r="N59" s="245"/>
      <c r="O59" s="245"/>
      <c r="P59" s="246"/>
      <c r="Q59" s="246"/>
    </row>
    <row r="60" spans="1:17" s="247" customFormat="1" ht="15.6" customHeight="1" x14ac:dyDescent="0.3">
      <c r="A60" s="244"/>
      <c r="B60" s="97"/>
      <c r="C60" s="97"/>
      <c r="D60" s="97"/>
      <c r="E60" s="244"/>
      <c r="F60" s="244"/>
      <c r="G60" s="62"/>
      <c r="H60" s="62"/>
      <c r="I60" s="62"/>
      <c r="J60" s="244"/>
      <c r="K60" s="244"/>
      <c r="L60" s="62"/>
      <c r="M60" s="62"/>
      <c r="N60" s="245"/>
      <c r="O60" s="245"/>
      <c r="P60" s="246"/>
      <c r="Q60" s="246"/>
    </row>
    <row r="61" spans="1:17" s="247" customFormat="1" ht="15.6" customHeight="1" x14ac:dyDescent="0.3">
      <c r="A61" s="102"/>
      <c r="B61" s="97"/>
      <c r="C61" s="97"/>
      <c r="D61" s="97"/>
      <c r="E61" s="244"/>
      <c r="F61" s="244"/>
      <c r="G61" s="62"/>
      <c r="H61" s="62"/>
      <c r="I61" s="62"/>
      <c r="J61" s="244"/>
      <c r="K61" s="244"/>
      <c r="L61" s="62"/>
      <c r="M61" s="62"/>
      <c r="N61" s="245"/>
      <c r="O61" s="245"/>
      <c r="P61" s="246"/>
      <c r="Q61" s="246"/>
    </row>
    <row r="62" spans="1:17" s="247" customFormat="1" ht="15.6" customHeight="1" x14ac:dyDescent="0.3">
      <c r="A62" s="244"/>
      <c r="B62" s="97"/>
      <c r="C62" s="97"/>
      <c r="D62" s="97"/>
      <c r="E62" s="244"/>
      <c r="F62" s="244"/>
      <c r="G62" s="62"/>
      <c r="H62" s="62"/>
      <c r="I62" s="62"/>
      <c r="J62" s="244"/>
      <c r="K62" s="244"/>
      <c r="L62" s="62"/>
      <c r="M62" s="62"/>
      <c r="N62" s="245"/>
      <c r="O62" s="245"/>
      <c r="P62" s="246"/>
      <c r="Q62" s="246"/>
    </row>
    <row r="63" spans="1:17" s="247" customFormat="1" ht="15.6" customHeight="1" x14ac:dyDescent="0.3">
      <c r="A63" s="244"/>
      <c r="B63" s="97"/>
      <c r="C63" s="97"/>
      <c r="D63" s="97"/>
      <c r="E63" s="244"/>
      <c r="F63" s="244"/>
      <c r="G63" s="62"/>
      <c r="H63" s="62"/>
      <c r="I63" s="62"/>
      <c r="J63" s="244"/>
      <c r="K63" s="244"/>
      <c r="L63" s="62"/>
      <c r="M63" s="62"/>
      <c r="N63" s="245"/>
      <c r="O63" s="245"/>
      <c r="P63" s="246"/>
      <c r="Q63" s="246"/>
    </row>
    <row r="64" spans="1:17" s="247" customFormat="1" ht="15.6" customHeight="1" x14ac:dyDescent="0.3">
      <c r="A64" s="244"/>
      <c r="B64" s="97"/>
      <c r="C64" s="97"/>
      <c r="D64" s="97"/>
      <c r="E64" s="244"/>
      <c r="F64" s="244"/>
      <c r="G64" s="62"/>
      <c r="H64" s="62"/>
      <c r="I64" s="62"/>
      <c r="J64" s="244"/>
      <c r="K64" s="244"/>
      <c r="L64" s="62"/>
      <c r="M64" s="62"/>
      <c r="N64" s="245"/>
      <c r="O64" s="245"/>
      <c r="P64" s="246"/>
      <c r="Q64" s="246"/>
    </row>
    <row r="65" spans="1:17" s="247" customFormat="1" ht="15.6" customHeight="1" x14ac:dyDescent="0.3">
      <c r="A65" s="244"/>
      <c r="B65" s="97"/>
      <c r="C65" s="97"/>
      <c r="D65" s="97"/>
      <c r="E65" s="244"/>
      <c r="F65" s="244"/>
      <c r="G65" s="62"/>
      <c r="H65" s="62"/>
      <c r="I65" s="62"/>
      <c r="J65" s="244"/>
      <c r="K65" s="244"/>
      <c r="L65" s="62"/>
      <c r="M65" s="62"/>
      <c r="N65" s="245"/>
      <c r="O65" s="245"/>
      <c r="P65" s="246"/>
      <c r="Q65" s="246"/>
    </row>
    <row r="66" spans="1:17" s="247" customFormat="1" ht="15.6" customHeight="1" x14ac:dyDescent="0.3">
      <c r="A66" s="244"/>
      <c r="B66" s="97"/>
      <c r="C66" s="97"/>
      <c r="D66" s="97"/>
      <c r="E66" s="244"/>
      <c r="F66" s="244"/>
      <c r="G66" s="62"/>
      <c r="H66" s="62"/>
      <c r="I66" s="62"/>
      <c r="J66" s="244"/>
      <c r="K66" s="244"/>
      <c r="L66" s="62"/>
      <c r="M66" s="62"/>
      <c r="N66" s="245"/>
      <c r="O66" s="245"/>
      <c r="P66" s="246"/>
      <c r="Q66" s="246"/>
    </row>
    <row r="67" spans="1:17" s="247" customFormat="1" ht="15.6" customHeight="1" x14ac:dyDescent="0.3">
      <c r="A67" s="244"/>
      <c r="B67" s="97"/>
      <c r="C67" s="97"/>
      <c r="D67" s="97"/>
      <c r="E67" s="244"/>
      <c r="F67" s="244"/>
      <c r="G67" s="62"/>
      <c r="H67" s="62"/>
      <c r="I67" s="62"/>
      <c r="J67" s="244"/>
      <c r="K67" s="244"/>
      <c r="L67" s="62"/>
      <c r="M67" s="62"/>
      <c r="N67" s="245"/>
      <c r="O67" s="245"/>
      <c r="P67" s="246"/>
      <c r="Q67" s="246"/>
    </row>
    <row r="68" spans="1:17" s="247" customFormat="1" ht="15.6" customHeight="1" x14ac:dyDescent="0.3">
      <c r="A68" s="244"/>
      <c r="B68" s="97"/>
      <c r="C68" s="97"/>
      <c r="D68" s="97"/>
      <c r="E68" s="244"/>
      <c r="F68" s="244"/>
      <c r="G68" s="62"/>
      <c r="H68" s="62"/>
      <c r="I68" s="62"/>
      <c r="J68" s="244"/>
      <c r="K68" s="244"/>
      <c r="L68" s="62"/>
      <c r="M68" s="62"/>
      <c r="N68" s="245"/>
      <c r="O68" s="245"/>
      <c r="P68" s="246"/>
      <c r="Q68" s="246"/>
    </row>
    <row r="69" spans="1:17" s="247" customFormat="1" ht="15.6" customHeight="1" x14ac:dyDescent="0.3">
      <c r="A69" s="244"/>
      <c r="B69" s="97"/>
      <c r="C69" s="97"/>
      <c r="D69" s="97"/>
      <c r="E69" s="244"/>
      <c r="F69" s="244"/>
      <c r="G69" s="62"/>
      <c r="H69" s="62"/>
      <c r="I69" s="62"/>
      <c r="J69" s="244"/>
      <c r="K69" s="244"/>
      <c r="L69" s="62"/>
      <c r="M69" s="62"/>
      <c r="N69" s="245"/>
      <c r="O69" s="245"/>
      <c r="P69" s="246"/>
      <c r="Q69" s="246"/>
    </row>
    <row r="70" spans="1:17" s="247" customFormat="1" ht="15.6" customHeight="1" x14ac:dyDescent="0.3">
      <c r="A70" s="244"/>
      <c r="B70" s="97"/>
      <c r="C70" s="97"/>
      <c r="D70" s="97"/>
      <c r="E70" s="244"/>
      <c r="F70" s="244"/>
      <c r="G70" s="62"/>
      <c r="H70" s="62"/>
      <c r="I70" s="62"/>
      <c r="J70" s="244"/>
      <c r="K70" s="244"/>
      <c r="L70" s="62"/>
      <c r="M70" s="62"/>
      <c r="N70" s="245"/>
      <c r="O70" s="245"/>
      <c r="P70" s="246"/>
      <c r="Q70" s="246"/>
    </row>
    <row r="71" spans="1:17" s="247" customFormat="1" ht="15.6" customHeight="1" x14ac:dyDescent="0.3">
      <c r="A71" s="244"/>
      <c r="B71" s="97"/>
      <c r="C71" s="97"/>
      <c r="D71" s="97"/>
      <c r="E71" s="244"/>
      <c r="F71" s="244"/>
      <c r="G71" s="62"/>
      <c r="H71" s="62"/>
      <c r="I71" s="62"/>
      <c r="J71" s="244"/>
      <c r="K71" s="244"/>
      <c r="L71" s="62"/>
      <c r="M71" s="62"/>
      <c r="N71" s="245"/>
      <c r="O71" s="245"/>
      <c r="P71" s="246"/>
      <c r="Q71" s="246"/>
    </row>
    <row r="72" spans="1:17" s="247" customFormat="1" ht="15.6" customHeight="1" x14ac:dyDescent="0.3">
      <c r="A72" s="244"/>
      <c r="B72" s="97"/>
      <c r="C72" s="97"/>
      <c r="D72" s="97"/>
      <c r="E72" s="244"/>
      <c r="F72" s="244"/>
      <c r="G72" s="62"/>
      <c r="H72" s="62"/>
      <c r="I72" s="62"/>
      <c r="J72" s="244"/>
      <c r="K72" s="244"/>
      <c r="L72" s="62"/>
      <c r="M72" s="62"/>
      <c r="N72" s="245"/>
      <c r="O72" s="245"/>
      <c r="P72" s="246"/>
      <c r="Q72" s="246"/>
    </row>
    <row r="73" spans="1:17" s="247" customFormat="1" ht="15.6" customHeight="1" x14ac:dyDescent="0.3">
      <c r="A73" s="244"/>
      <c r="B73" s="97"/>
      <c r="C73" s="97"/>
      <c r="D73" s="97"/>
      <c r="E73" s="244"/>
      <c r="F73" s="244"/>
      <c r="G73" s="62"/>
      <c r="H73" s="62"/>
      <c r="I73" s="62"/>
      <c r="J73" s="244"/>
      <c r="K73" s="244"/>
      <c r="L73" s="62"/>
      <c r="M73" s="62"/>
      <c r="N73" s="245"/>
      <c r="O73" s="245"/>
      <c r="P73" s="246"/>
      <c r="Q73" s="246"/>
    </row>
    <row r="74" spans="1:17" s="247" customFormat="1" ht="15.6" customHeight="1" x14ac:dyDescent="0.3">
      <c r="A74" s="244"/>
      <c r="B74" s="97"/>
      <c r="C74" s="97"/>
      <c r="D74" s="97"/>
      <c r="E74" s="244"/>
      <c r="F74" s="244"/>
      <c r="G74" s="62"/>
      <c r="H74" s="62"/>
      <c r="I74" s="62"/>
      <c r="J74" s="244"/>
      <c r="K74" s="244"/>
      <c r="L74" s="62"/>
      <c r="M74" s="62"/>
      <c r="N74" s="245"/>
      <c r="O74" s="245"/>
      <c r="P74" s="246"/>
      <c r="Q74" s="246"/>
    </row>
    <row r="75" spans="1:17" s="247" customFormat="1" ht="15.6" customHeight="1" x14ac:dyDescent="0.3">
      <c r="A75" s="244"/>
      <c r="B75" s="97"/>
      <c r="C75" s="97"/>
      <c r="D75" s="97"/>
      <c r="E75" s="244"/>
      <c r="F75" s="244"/>
      <c r="G75" s="62"/>
      <c r="H75" s="62"/>
      <c r="I75" s="62"/>
      <c r="J75" s="244"/>
      <c r="K75" s="244"/>
      <c r="L75" s="62"/>
      <c r="M75" s="62"/>
      <c r="N75" s="245"/>
      <c r="O75" s="245"/>
      <c r="P75" s="246"/>
      <c r="Q75" s="246"/>
    </row>
    <row r="76" spans="1:17" s="247" customFormat="1" ht="15.6" customHeight="1" x14ac:dyDescent="0.3">
      <c r="A76" s="244"/>
      <c r="B76" s="97"/>
      <c r="C76" s="97"/>
      <c r="D76" s="97"/>
      <c r="E76" s="244"/>
      <c r="F76" s="244"/>
      <c r="G76" s="62"/>
      <c r="H76" s="62"/>
      <c r="I76" s="62"/>
      <c r="J76" s="244"/>
      <c r="K76" s="244"/>
      <c r="L76" s="62"/>
      <c r="M76" s="62"/>
      <c r="N76" s="245"/>
      <c r="O76" s="245"/>
      <c r="P76" s="246"/>
      <c r="Q76" s="246"/>
    </row>
    <row r="77" spans="1:17" s="247" customFormat="1" ht="15.6" customHeight="1" x14ac:dyDescent="0.3">
      <c r="A77" s="244"/>
      <c r="B77" s="97"/>
      <c r="C77" s="97"/>
      <c r="D77" s="97"/>
      <c r="E77" s="244"/>
      <c r="F77" s="244"/>
      <c r="G77" s="62"/>
      <c r="H77" s="62"/>
      <c r="I77" s="62"/>
      <c r="J77" s="244"/>
      <c r="K77" s="244"/>
      <c r="L77" s="62"/>
      <c r="M77" s="62"/>
      <c r="N77" s="245"/>
      <c r="O77" s="245"/>
      <c r="P77" s="246"/>
      <c r="Q77" s="246"/>
    </row>
    <row r="78" spans="1:17" s="63" customFormat="1" ht="15" customHeight="1" x14ac:dyDescent="0.3">
      <c r="A78" s="244"/>
      <c r="B78" s="97"/>
      <c r="C78" s="97"/>
      <c r="D78" s="97"/>
      <c r="E78" s="244"/>
      <c r="F78" s="244"/>
      <c r="G78" s="62"/>
      <c r="H78" s="62"/>
      <c r="I78" s="62"/>
      <c r="J78" s="244"/>
      <c r="K78" s="244"/>
      <c r="L78" s="62"/>
      <c r="M78" s="62"/>
      <c r="N78" s="245"/>
      <c r="O78" s="245"/>
      <c r="P78" s="246"/>
      <c r="Q78" s="246"/>
    </row>
    <row r="79" spans="1:17" s="63" customFormat="1" ht="15" customHeight="1" x14ac:dyDescent="0.3">
      <c r="A79" s="244"/>
      <c r="B79" s="97"/>
      <c r="C79" s="97"/>
      <c r="D79" s="97"/>
      <c r="E79" s="244"/>
      <c r="F79" s="244"/>
      <c r="G79" s="62"/>
      <c r="H79" s="62"/>
      <c r="I79" s="62"/>
      <c r="J79" s="244"/>
      <c r="K79" s="244"/>
      <c r="L79" s="62"/>
      <c r="M79" s="62"/>
      <c r="N79" s="245"/>
      <c r="O79" s="245"/>
      <c r="P79" s="246"/>
      <c r="Q79" s="246"/>
    </row>
    <row r="80" spans="1:17" s="63" customFormat="1" ht="15" customHeight="1" x14ac:dyDescent="0.3">
      <c r="A80" s="244"/>
      <c r="B80" s="97"/>
      <c r="C80" s="97"/>
      <c r="D80" s="97"/>
      <c r="E80" s="244"/>
      <c r="F80" s="244"/>
      <c r="G80" s="62"/>
      <c r="H80" s="62"/>
      <c r="I80" s="62"/>
      <c r="J80" s="244"/>
      <c r="K80" s="244"/>
      <c r="L80" s="62"/>
      <c r="M80" s="62"/>
      <c r="N80" s="245"/>
      <c r="O80" s="245"/>
      <c r="P80" s="246"/>
      <c r="Q80" s="246"/>
    </row>
    <row r="81" spans="1:17" s="63" customFormat="1" ht="15" customHeight="1" x14ac:dyDescent="0.3">
      <c r="A81" s="244"/>
      <c r="B81" s="97"/>
      <c r="C81" s="97"/>
      <c r="D81" s="97"/>
      <c r="E81" s="244"/>
      <c r="F81" s="244"/>
      <c r="G81" s="62"/>
      <c r="H81" s="62"/>
      <c r="I81" s="62"/>
      <c r="J81" s="244"/>
      <c r="K81" s="244"/>
      <c r="L81" s="62"/>
      <c r="M81" s="62"/>
      <c r="N81" s="245"/>
      <c r="O81" s="245"/>
      <c r="P81" s="246"/>
      <c r="Q81" s="246"/>
    </row>
    <row r="82" spans="1:17" s="63" customFormat="1" ht="15" customHeight="1" x14ac:dyDescent="0.3">
      <c r="A82" s="244"/>
      <c r="B82" s="97"/>
      <c r="C82" s="97"/>
      <c r="D82" s="97"/>
      <c r="E82" s="244"/>
      <c r="F82" s="244"/>
      <c r="G82" s="62"/>
      <c r="H82" s="62"/>
      <c r="I82" s="62"/>
      <c r="J82" s="244"/>
      <c r="K82" s="244"/>
      <c r="L82" s="62"/>
      <c r="M82" s="62"/>
      <c r="N82" s="245"/>
      <c r="O82" s="245"/>
      <c r="P82" s="246"/>
      <c r="Q82" s="246"/>
    </row>
    <row r="83" spans="1:17" s="63" customFormat="1" ht="15" customHeight="1" x14ac:dyDescent="0.3">
      <c r="A83" s="244"/>
      <c r="B83" s="97"/>
      <c r="C83" s="97"/>
      <c r="D83" s="97"/>
      <c r="E83" s="244"/>
      <c r="F83" s="244"/>
      <c r="G83" s="62"/>
      <c r="H83" s="62"/>
      <c r="I83" s="62"/>
      <c r="J83" s="244"/>
      <c r="K83" s="244"/>
      <c r="L83" s="62"/>
      <c r="M83" s="62"/>
      <c r="N83" s="245"/>
      <c r="O83" s="245"/>
      <c r="P83" s="246"/>
      <c r="Q83" s="246"/>
    </row>
    <row r="84" spans="1:17" s="63" customFormat="1" ht="15" customHeight="1" x14ac:dyDescent="0.3">
      <c r="A84" s="244"/>
      <c r="B84" s="97"/>
      <c r="C84" s="97"/>
      <c r="D84" s="97"/>
      <c r="E84" s="244"/>
      <c r="F84" s="244"/>
      <c r="G84" s="62"/>
      <c r="H84" s="62"/>
      <c r="I84" s="62"/>
      <c r="J84" s="244"/>
      <c r="K84" s="244"/>
      <c r="L84" s="62"/>
      <c r="M84" s="62"/>
      <c r="N84" s="245"/>
      <c r="O84" s="245"/>
      <c r="P84" s="246"/>
      <c r="Q84" s="246"/>
    </row>
    <row r="85" spans="1:17" s="63" customFormat="1" ht="15" customHeight="1" x14ac:dyDescent="0.3">
      <c r="A85" s="244"/>
      <c r="B85" s="97"/>
      <c r="C85" s="97"/>
      <c r="D85" s="97"/>
      <c r="E85" s="244"/>
      <c r="F85" s="244"/>
      <c r="G85" s="62"/>
      <c r="H85" s="62"/>
      <c r="I85" s="62"/>
      <c r="J85" s="244"/>
      <c r="K85" s="244"/>
      <c r="L85" s="62"/>
      <c r="M85" s="62"/>
      <c r="N85" s="245"/>
      <c r="O85" s="245"/>
      <c r="P85" s="246"/>
      <c r="Q85" s="246"/>
    </row>
    <row r="86" spans="1:17" s="63" customFormat="1" ht="15" customHeight="1" x14ac:dyDescent="0.3">
      <c r="A86" s="244"/>
      <c r="B86" s="97"/>
      <c r="C86" s="97"/>
      <c r="D86" s="97"/>
      <c r="E86" s="244"/>
      <c r="F86" s="244"/>
      <c r="G86" s="62"/>
      <c r="H86" s="62"/>
      <c r="I86" s="62"/>
      <c r="J86" s="244"/>
      <c r="K86" s="244"/>
      <c r="L86" s="62"/>
      <c r="M86" s="62"/>
      <c r="N86" s="245"/>
      <c r="O86" s="245"/>
      <c r="P86" s="246"/>
      <c r="Q86" s="246"/>
    </row>
    <row r="87" spans="1:17" s="63" customFormat="1" ht="15" customHeight="1" x14ac:dyDescent="0.3">
      <c r="A87" s="244"/>
      <c r="B87" s="97"/>
      <c r="C87" s="97"/>
      <c r="D87" s="97"/>
      <c r="E87" s="244"/>
      <c r="F87" s="244"/>
      <c r="G87" s="62"/>
      <c r="H87" s="62"/>
      <c r="I87" s="62"/>
      <c r="J87" s="244"/>
      <c r="K87" s="244"/>
      <c r="L87" s="62"/>
      <c r="M87" s="62"/>
      <c r="N87" s="245"/>
      <c r="O87" s="245"/>
      <c r="P87" s="246"/>
      <c r="Q87" s="246"/>
    </row>
    <row r="88" spans="1:17" s="63" customFormat="1" ht="15" customHeight="1" x14ac:dyDescent="0.3">
      <c r="A88" s="244"/>
      <c r="B88" s="97"/>
      <c r="C88" s="97"/>
      <c r="D88" s="97"/>
      <c r="E88" s="244"/>
      <c r="F88" s="244"/>
      <c r="G88" s="62"/>
      <c r="H88" s="62"/>
      <c r="I88" s="62"/>
      <c r="J88" s="244"/>
      <c r="K88" s="244"/>
      <c r="L88" s="62"/>
      <c r="M88" s="62"/>
      <c r="N88" s="245"/>
      <c r="O88" s="245"/>
      <c r="P88" s="246"/>
      <c r="Q88" s="246"/>
    </row>
    <row r="89" spans="1:17" s="63" customFormat="1" ht="15" customHeight="1" x14ac:dyDescent="0.3">
      <c r="A89" s="244"/>
      <c r="B89" s="97"/>
      <c r="C89" s="97"/>
      <c r="D89" s="97"/>
      <c r="E89" s="244"/>
      <c r="F89" s="244"/>
      <c r="G89" s="62"/>
      <c r="H89" s="62"/>
      <c r="I89" s="62"/>
      <c r="J89" s="244"/>
      <c r="K89" s="244"/>
      <c r="L89" s="62"/>
      <c r="M89" s="62"/>
      <c r="N89" s="245"/>
      <c r="O89" s="245"/>
      <c r="P89" s="246"/>
      <c r="Q89" s="246"/>
    </row>
    <row r="90" spans="1:17" s="63" customFormat="1" ht="15" customHeight="1" x14ac:dyDescent="0.3">
      <c r="A90" s="244"/>
      <c r="B90" s="97"/>
      <c r="C90" s="97"/>
      <c r="D90" s="97"/>
      <c r="E90" s="244"/>
      <c r="F90" s="244"/>
      <c r="G90" s="62"/>
      <c r="H90" s="62"/>
      <c r="I90" s="62"/>
      <c r="J90" s="244"/>
      <c r="K90" s="244"/>
      <c r="L90" s="62"/>
      <c r="M90" s="62"/>
      <c r="N90" s="245"/>
      <c r="O90" s="245"/>
      <c r="P90" s="246"/>
      <c r="Q90" s="246"/>
    </row>
    <row r="91" spans="1:17" s="63" customFormat="1" ht="15" customHeight="1" x14ac:dyDescent="0.3">
      <c r="A91" s="244"/>
      <c r="B91" s="97"/>
      <c r="C91" s="97"/>
      <c r="D91" s="97"/>
      <c r="E91" s="244"/>
      <c r="F91" s="244"/>
      <c r="G91" s="62"/>
      <c r="H91" s="62"/>
      <c r="I91" s="62"/>
      <c r="J91" s="244"/>
      <c r="K91" s="244"/>
      <c r="L91" s="62"/>
      <c r="M91" s="62"/>
      <c r="N91" s="245"/>
      <c r="O91" s="245"/>
      <c r="P91" s="246"/>
      <c r="Q91" s="246"/>
    </row>
    <row r="92" spans="1:17" s="63" customFormat="1" ht="15" customHeight="1" x14ac:dyDescent="0.3">
      <c r="A92" s="244"/>
      <c r="B92" s="97"/>
      <c r="C92" s="97"/>
      <c r="D92" s="97"/>
      <c r="E92" s="244"/>
      <c r="F92" s="244"/>
      <c r="G92" s="62"/>
      <c r="H92" s="62"/>
      <c r="I92" s="62"/>
      <c r="J92" s="244"/>
      <c r="K92" s="244"/>
      <c r="L92" s="62"/>
      <c r="M92" s="62"/>
      <c r="N92" s="245"/>
      <c r="O92" s="245"/>
      <c r="P92" s="246"/>
      <c r="Q92" s="246"/>
    </row>
    <row r="93" spans="1:17" s="63" customFormat="1" ht="15" customHeight="1" x14ac:dyDescent="0.3">
      <c r="A93" s="244"/>
      <c r="B93" s="97"/>
      <c r="C93" s="97"/>
      <c r="D93" s="97"/>
      <c r="E93" s="244"/>
      <c r="F93" s="244"/>
      <c r="G93" s="62"/>
      <c r="H93" s="62"/>
      <c r="I93" s="62"/>
      <c r="J93" s="244"/>
      <c r="K93" s="244"/>
      <c r="L93" s="62"/>
      <c r="M93" s="62"/>
      <c r="N93" s="245"/>
      <c r="O93" s="245"/>
      <c r="P93" s="246"/>
      <c r="Q93" s="246"/>
    </row>
    <row r="94" spans="1:17" s="63" customFormat="1" ht="15" customHeight="1" x14ac:dyDescent="0.3">
      <c r="A94" s="244"/>
      <c r="B94" s="97"/>
      <c r="C94" s="97"/>
      <c r="D94" s="97"/>
      <c r="E94" s="244"/>
      <c r="F94" s="244"/>
      <c r="G94" s="62"/>
      <c r="H94" s="62"/>
      <c r="I94" s="62"/>
      <c r="J94" s="244"/>
      <c r="K94" s="244"/>
      <c r="L94" s="62"/>
      <c r="M94" s="62"/>
      <c r="N94" s="245"/>
      <c r="O94" s="245"/>
      <c r="P94" s="246"/>
      <c r="Q94" s="246"/>
    </row>
    <row r="95" spans="1:17" s="63" customFormat="1" ht="15" customHeight="1" x14ac:dyDescent="0.3">
      <c r="A95" s="244"/>
      <c r="B95" s="97"/>
      <c r="C95" s="97"/>
      <c r="D95" s="97"/>
      <c r="E95" s="244"/>
      <c r="F95" s="244"/>
      <c r="G95" s="62"/>
      <c r="H95" s="62"/>
      <c r="I95" s="62"/>
      <c r="J95" s="244"/>
      <c r="K95" s="244"/>
      <c r="L95" s="62"/>
      <c r="M95" s="62"/>
      <c r="N95" s="245"/>
      <c r="O95" s="245"/>
      <c r="P95" s="246"/>
      <c r="Q95" s="246"/>
    </row>
    <row r="96" spans="1:17" s="63" customFormat="1" ht="15" customHeight="1" x14ac:dyDescent="0.3">
      <c r="A96" s="244"/>
      <c r="B96" s="97"/>
      <c r="C96" s="97"/>
      <c r="D96" s="97"/>
      <c r="E96" s="244"/>
      <c r="F96" s="244"/>
      <c r="G96" s="62"/>
      <c r="H96" s="62"/>
      <c r="I96" s="62"/>
      <c r="J96" s="244"/>
      <c r="K96" s="244"/>
      <c r="L96" s="62"/>
      <c r="M96" s="62"/>
      <c r="N96" s="245"/>
      <c r="O96" s="245"/>
      <c r="P96" s="246"/>
      <c r="Q96" s="246"/>
    </row>
    <row r="97" spans="1:17" s="63" customFormat="1" ht="15" customHeight="1" x14ac:dyDescent="0.3">
      <c r="A97" s="244"/>
      <c r="B97" s="97"/>
      <c r="C97" s="97"/>
      <c r="D97" s="97"/>
      <c r="E97" s="244"/>
      <c r="F97" s="244"/>
      <c r="G97" s="62"/>
      <c r="H97" s="62"/>
      <c r="I97" s="62"/>
      <c r="J97" s="244"/>
      <c r="K97" s="244"/>
      <c r="L97" s="62"/>
      <c r="M97" s="62"/>
      <c r="N97" s="245"/>
      <c r="O97" s="245"/>
      <c r="P97" s="246"/>
      <c r="Q97" s="246"/>
    </row>
    <row r="98" spans="1:17" s="63" customFormat="1" ht="15" customHeight="1" x14ac:dyDescent="0.3">
      <c r="A98" s="244"/>
      <c r="B98" s="97"/>
      <c r="C98" s="97"/>
      <c r="D98" s="97"/>
      <c r="E98" s="244"/>
      <c r="F98" s="244"/>
      <c r="G98" s="62"/>
      <c r="H98" s="62"/>
      <c r="I98" s="62"/>
      <c r="J98" s="244"/>
      <c r="K98" s="244"/>
      <c r="L98" s="62"/>
      <c r="M98" s="62"/>
      <c r="N98" s="245"/>
      <c r="O98" s="245"/>
      <c r="P98" s="246"/>
      <c r="Q98" s="246"/>
    </row>
  </sheetData>
  <mergeCells count="1">
    <mergeCell ref="A1:D1"/>
  </mergeCells>
  <pageMargins left="0.50245098039215685" right="0.39215686274509798" top="0.43478260869565222" bottom="0.3079710144927536" header="0.31496062992125978" footer="0.31496062992125978"/>
  <pageSetup paperSize="9" fitToHeight="0" orientation="landscape" blackAndWhite="1" horizontalDpi="300" verticalDpi="300"/>
  <rowBreaks count="1" manualBreakCount="1">
    <brk id="2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F97"/>
  <sheetViews>
    <sheetView topLeftCell="A71" workbookViewId="0">
      <selection activeCell="D9" sqref="D9"/>
    </sheetView>
  </sheetViews>
  <sheetFormatPr defaultColWidth="9.109375" defaultRowHeight="13.8" x14ac:dyDescent="0.3"/>
  <cols>
    <col min="1" max="1" width="56.88671875" style="107" customWidth="1"/>
    <col min="2" max="4" width="12.88671875" style="246" customWidth="1"/>
    <col min="5" max="5" width="9.109375" style="270" customWidth="1"/>
    <col min="6" max="16384" width="9.109375" style="270"/>
  </cols>
  <sheetData>
    <row r="1" spans="1:4" s="64" customFormat="1" ht="17.399999999999999" customHeight="1" x14ac:dyDescent="0.3">
      <c r="A1" s="323" t="s">
        <v>164</v>
      </c>
      <c r="B1" s="324"/>
      <c r="C1" s="324"/>
      <c r="D1" s="324"/>
    </row>
    <row r="2" spans="1:4" s="64" customFormat="1" ht="27.75" customHeight="1" x14ac:dyDescent="0.3">
      <c r="A2" s="325" t="s">
        <v>165</v>
      </c>
      <c r="B2" s="324"/>
      <c r="C2" s="324"/>
      <c r="D2" s="324"/>
    </row>
    <row r="3" spans="1:4" s="64" customFormat="1" ht="17.399999999999999" customHeight="1" x14ac:dyDescent="0.3">
      <c r="A3" s="326"/>
      <c r="B3" s="324"/>
      <c r="C3" s="324"/>
      <c r="D3" s="324"/>
    </row>
    <row r="4" spans="1:4" x14ac:dyDescent="0.3">
      <c r="A4" s="248" t="s">
        <v>166</v>
      </c>
      <c r="B4" s="241">
        <f>'1A-Bilant'!B5</f>
        <v>2018</v>
      </c>
      <c r="C4" s="241">
        <f>'1A-Bilant'!C5</f>
        <v>2019</v>
      </c>
      <c r="D4" s="241" t="str">
        <f>'1A-Bilant'!D5</f>
        <v>AN</v>
      </c>
    </row>
    <row r="5" spans="1:4" x14ac:dyDescent="0.3">
      <c r="A5" s="71" t="s">
        <v>167</v>
      </c>
      <c r="B5" s="67">
        <f>'1C-Analiza_fin_extinsa'!B21-'1C-Analiza_fin_extinsa'!B16-'1C-Analiza_fin_extinsa'!B11</f>
        <v>52351374</v>
      </c>
      <c r="C5" s="67">
        <f>'1C-Analiza_fin_extinsa'!C21-'1C-Analiza_fin_extinsa'!C16-'1C-Analiza_fin_extinsa'!C11</f>
        <v>62517351</v>
      </c>
      <c r="D5" s="67">
        <f>'1C-Analiza_fin_extinsa'!D21-'1C-Analiza_fin_extinsa'!D16-'1C-Analiza_fin_extinsa'!D11</f>
        <v>0</v>
      </c>
    </row>
    <row r="6" spans="1:4" ht="27.6" customHeight="1" x14ac:dyDescent="0.3">
      <c r="A6" s="71" t="s">
        <v>168</v>
      </c>
      <c r="B6" s="67">
        <f>'1C-Analiza_fin_extinsa'!B20+'1C-Analiza_fin_extinsa'!B16-'1C-Analiza_fin_extinsa'!B4</f>
        <v>37752357</v>
      </c>
      <c r="C6" s="67">
        <f>'1C-Analiza_fin_extinsa'!C20+'1C-Analiza_fin_extinsa'!C16-'1C-Analiza_fin_extinsa'!C4</f>
        <v>49170119</v>
      </c>
      <c r="D6" s="67">
        <f>'1C-Analiza_fin_extinsa'!D20+'1C-Analiza_fin_extinsa'!D16-'1C-Analiza_fin_extinsa'!D4</f>
        <v>0</v>
      </c>
    </row>
    <row r="7" spans="1:4" ht="27.6" customHeight="1" x14ac:dyDescent="0.3">
      <c r="A7" s="71" t="s">
        <v>169</v>
      </c>
      <c r="B7" s="67">
        <f>('1C-Analiza_fin_extinsa'!B5-'1C-Analiza_fin_extinsa'!B9)-('1C-Analiza_fin_extinsa'!B11-'1C-Analiza_fin_extinsa'!B12)</f>
        <v>26715849</v>
      </c>
      <c r="C7" s="67">
        <f>('1C-Analiza_fin_extinsa'!C5-'1C-Analiza_fin_extinsa'!C9)-('1C-Analiza_fin_extinsa'!C11-'1C-Analiza_fin_extinsa'!C12)</f>
        <v>51984774</v>
      </c>
      <c r="D7" s="67">
        <f>('1C-Analiza_fin_extinsa'!D5-'1C-Analiza_fin_extinsa'!D9)-('1C-Analiza_fin_extinsa'!D11-'1C-Analiza_fin_extinsa'!D12)</f>
        <v>0</v>
      </c>
    </row>
    <row r="8" spans="1:4" x14ac:dyDescent="0.3">
      <c r="A8" s="71" t="s">
        <v>170</v>
      </c>
      <c r="B8" s="67">
        <f>B6-B7</f>
        <v>11036508</v>
      </c>
      <c r="C8" s="67">
        <f>C6-C7</f>
        <v>-2814655</v>
      </c>
      <c r="D8" s="67">
        <f>D6-D7</f>
        <v>0</v>
      </c>
    </row>
    <row r="9" spans="1:4" x14ac:dyDescent="0.3">
      <c r="A9" s="71" t="s">
        <v>171</v>
      </c>
      <c r="B9" s="67"/>
      <c r="C9" s="67">
        <f>C8-B8</f>
        <v>-13851163</v>
      </c>
      <c r="D9" s="67">
        <f>D8-C8</f>
        <v>2814655</v>
      </c>
    </row>
    <row r="10" spans="1:4" x14ac:dyDescent="0.3">
      <c r="A10" s="71" t="s">
        <v>172</v>
      </c>
      <c r="B10" s="65">
        <f>IFERROR(B7/B6,"")</f>
        <v>0.70766042501664206</v>
      </c>
      <c r="C10" s="65">
        <f>IFERROR(C7/C6,"")</f>
        <v>1.0572432008960564</v>
      </c>
      <c r="D10" s="65" t="str">
        <f>IFERROR(D7/D6,"")</f>
        <v/>
      </c>
    </row>
    <row r="11" spans="1:4" x14ac:dyDescent="0.3">
      <c r="B11" s="66"/>
      <c r="C11" s="66"/>
      <c r="D11" s="66"/>
    </row>
    <row r="12" spans="1:4" x14ac:dyDescent="0.3">
      <c r="A12" s="248" t="s">
        <v>173</v>
      </c>
      <c r="B12" s="271">
        <f>'1A-Bilant'!B5</f>
        <v>2018</v>
      </c>
      <c r="C12" s="271">
        <f>'1A-Bilant'!C5</f>
        <v>2019</v>
      </c>
      <c r="D12" s="271" t="str">
        <f>'1A-Bilant'!D5</f>
        <v>AN</v>
      </c>
    </row>
    <row r="13" spans="1:4" x14ac:dyDescent="0.3">
      <c r="A13" s="71" t="s">
        <v>174</v>
      </c>
      <c r="B13" s="67">
        <f>'1C-Analiza_fin_extinsa'!B25</f>
        <v>151633510</v>
      </c>
      <c r="C13" s="67">
        <f>'1C-Analiza_fin_extinsa'!C25</f>
        <v>196296474</v>
      </c>
      <c r="D13" s="67">
        <f>'1C-Analiza_fin_extinsa'!D25</f>
        <v>0</v>
      </c>
    </row>
    <row r="14" spans="1:4" x14ac:dyDescent="0.3">
      <c r="A14" s="71" t="s">
        <v>91</v>
      </c>
      <c r="B14" s="67">
        <f>'1C-Analiza_fin_extinsa'!B27</f>
        <v>155746303</v>
      </c>
      <c r="C14" s="67">
        <f>'1C-Analiza_fin_extinsa'!C27</f>
        <v>200633005</v>
      </c>
      <c r="D14" s="67">
        <f>'1C-Analiza_fin_extinsa'!D27</f>
        <v>0</v>
      </c>
    </row>
    <row r="15" spans="1:4" x14ac:dyDescent="0.3">
      <c r="A15" s="71" t="s">
        <v>102</v>
      </c>
      <c r="B15" s="67">
        <f>'1C-Analiza_fin_extinsa'!B30</f>
        <v>139325341</v>
      </c>
      <c r="C15" s="67">
        <f>'1C-Analiza_fin_extinsa'!C30</f>
        <v>183568805</v>
      </c>
      <c r="D15" s="67">
        <f>'1C-Analiza_fin_extinsa'!D30</f>
        <v>0</v>
      </c>
    </row>
    <row r="16" spans="1:4" ht="27.6" customHeight="1" x14ac:dyDescent="0.3">
      <c r="A16" s="71" t="s">
        <v>175</v>
      </c>
      <c r="B16" s="67">
        <f>'1C-Analiza_fin_extinsa'!B31</f>
        <v>16420962</v>
      </c>
      <c r="C16" s="67">
        <f>'1C-Analiza_fin_extinsa'!C31</f>
        <v>17064200</v>
      </c>
      <c r="D16" s="67">
        <f>'1C-Analiza_fin_extinsa'!D31</f>
        <v>0</v>
      </c>
    </row>
    <row r="17" spans="1:4" x14ac:dyDescent="0.3">
      <c r="A17" s="71" t="s">
        <v>110</v>
      </c>
      <c r="B17" s="67">
        <f>'1C-Analiza_fin_extinsa'!B32</f>
        <v>178404</v>
      </c>
      <c r="C17" s="67">
        <f>'1C-Analiza_fin_extinsa'!C32</f>
        <v>250458</v>
      </c>
      <c r="D17" s="67">
        <f>'1C-Analiza_fin_extinsa'!D32</f>
        <v>0</v>
      </c>
    </row>
    <row r="18" spans="1:4" x14ac:dyDescent="0.3">
      <c r="A18" s="71" t="s">
        <v>114</v>
      </c>
      <c r="B18" s="67">
        <f>'1C-Analiza_fin_extinsa'!B36</f>
        <v>346494</v>
      </c>
      <c r="C18" s="67">
        <f>'1C-Analiza_fin_extinsa'!C36</f>
        <v>239295</v>
      </c>
      <c r="D18" s="67">
        <f>'1C-Analiza_fin_extinsa'!D36</f>
        <v>0</v>
      </c>
    </row>
    <row r="19" spans="1:4" s="68" customFormat="1" x14ac:dyDescent="0.3">
      <c r="A19" s="71" t="s">
        <v>176</v>
      </c>
      <c r="B19" s="67">
        <f>'1C-Analiza_fin_extinsa'!B37</f>
        <v>-168090</v>
      </c>
      <c r="C19" s="67">
        <f>'1C-Analiza_fin_extinsa'!C37</f>
        <v>11163</v>
      </c>
      <c r="D19" s="67">
        <f>'1C-Analiza_fin_extinsa'!D37</f>
        <v>0</v>
      </c>
    </row>
    <row r="20" spans="1:4" x14ac:dyDescent="0.3">
      <c r="A20" s="71" t="s">
        <v>177</v>
      </c>
      <c r="B20" s="67">
        <f>'1C-Analiza_fin_extinsa'!B38</f>
        <v>16252872</v>
      </c>
      <c r="C20" s="67">
        <f>'1C-Analiza_fin_extinsa'!C38</f>
        <v>17075363</v>
      </c>
      <c r="D20" s="67">
        <f>'1C-Analiza_fin_extinsa'!D38</f>
        <v>0</v>
      </c>
    </row>
    <row r="21" spans="1:4" x14ac:dyDescent="0.3">
      <c r="A21" s="71" t="s">
        <v>121</v>
      </c>
      <c r="B21" s="67">
        <f>'1C-Analiza_fin_extinsa'!B39</f>
        <v>0</v>
      </c>
      <c r="C21" s="67">
        <f>'1C-Analiza_fin_extinsa'!C39</f>
        <v>0</v>
      </c>
      <c r="D21" s="67">
        <f>'1C-Analiza_fin_extinsa'!D39</f>
        <v>0</v>
      </c>
    </row>
    <row r="22" spans="1:4" x14ac:dyDescent="0.3">
      <c r="A22" s="71" t="s">
        <v>122</v>
      </c>
      <c r="B22" s="67">
        <f>'1C-Analiza_fin_extinsa'!B40</f>
        <v>0</v>
      </c>
      <c r="C22" s="67">
        <f>'1C-Analiza_fin_extinsa'!C40</f>
        <v>0</v>
      </c>
      <c r="D22" s="67">
        <f>'1C-Analiza_fin_extinsa'!D40</f>
        <v>0</v>
      </c>
    </row>
    <row r="23" spans="1:4" ht="27.6" customHeight="1" x14ac:dyDescent="0.3">
      <c r="A23" s="71" t="s">
        <v>178</v>
      </c>
      <c r="B23" s="67">
        <f>'1C-Analiza_fin_extinsa'!B41</f>
        <v>0</v>
      </c>
      <c r="C23" s="67">
        <f>'1C-Analiza_fin_extinsa'!C41</f>
        <v>0</v>
      </c>
      <c r="D23" s="67">
        <f>'1C-Analiza_fin_extinsa'!D41</f>
        <v>0</v>
      </c>
    </row>
    <row r="24" spans="1:4" x14ac:dyDescent="0.3">
      <c r="A24" s="71" t="s">
        <v>126</v>
      </c>
      <c r="B24" s="67">
        <f>'1C-Analiza_fin_extinsa'!B42</f>
        <v>155924707</v>
      </c>
      <c r="C24" s="67">
        <f>'1C-Analiza_fin_extinsa'!C42</f>
        <v>200883463</v>
      </c>
      <c r="D24" s="67">
        <f>'1C-Analiza_fin_extinsa'!D42</f>
        <v>0</v>
      </c>
    </row>
    <row r="25" spans="1:4" x14ac:dyDescent="0.3">
      <c r="A25" s="71" t="s">
        <v>127</v>
      </c>
      <c r="B25" s="67">
        <f>'1C-Analiza_fin_extinsa'!B43</f>
        <v>139671835</v>
      </c>
      <c r="C25" s="67">
        <f>'1C-Analiza_fin_extinsa'!C43</f>
        <v>183808100</v>
      </c>
      <c r="D25" s="67">
        <f>'1C-Analiza_fin_extinsa'!D43</f>
        <v>0</v>
      </c>
    </row>
    <row r="26" spans="1:4" x14ac:dyDescent="0.3">
      <c r="A26" s="71" t="s">
        <v>179</v>
      </c>
      <c r="B26" s="67">
        <f>'1C-Analiza_fin_extinsa'!B44</f>
        <v>16252872</v>
      </c>
      <c r="C26" s="67">
        <f>'1C-Analiza_fin_extinsa'!C44</f>
        <v>17075363</v>
      </c>
      <c r="D26" s="67">
        <f>'1C-Analiza_fin_extinsa'!D44</f>
        <v>0</v>
      </c>
    </row>
    <row r="27" spans="1:4" hidden="1" x14ac:dyDescent="0.3">
      <c r="A27" s="69" t="s">
        <v>131</v>
      </c>
      <c r="B27" s="70">
        <f>'1C-Analiza_fin_extinsa'!B45</f>
        <v>2216272</v>
      </c>
      <c r="C27" s="70">
        <f>'1C-Analiza_fin_extinsa'!C45</f>
        <v>2377884</v>
      </c>
      <c r="D27" s="70">
        <f>'1C-Analiza_fin_extinsa'!D45</f>
        <v>0</v>
      </c>
    </row>
    <row r="28" spans="1:4" x14ac:dyDescent="0.3">
      <c r="A28" s="71" t="s">
        <v>180</v>
      </c>
      <c r="B28" s="67">
        <f>'1C-Analiza_fin_extinsa'!B47</f>
        <v>14036600</v>
      </c>
      <c r="C28" s="67">
        <f>'1C-Analiza_fin_extinsa'!C47</f>
        <v>14697479</v>
      </c>
      <c r="D28" s="67">
        <f>'1C-Analiza_fin_extinsa'!D47</f>
        <v>0</v>
      </c>
    </row>
    <row r="29" spans="1:4" x14ac:dyDescent="0.3">
      <c r="A29" s="71" t="s">
        <v>181</v>
      </c>
      <c r="B29" s="67">
        <f>'1C-Analiza_fin_extinsa'!B48</f>
        <v>16252872</v>
      </c>
      <c r="C29" s="67">
        <f>'1C-Analiza_fin_extinsa'!C48</f>
        <v>17075363</v>
      </c>
      <c r="D29" s="67">
        <f>'1C-Analiza_fin_extinsa'!D48</f>
        <v>0</v>
      </c>
    </row>
    <row r="30" spans="1:4" x14ac:dyDescent="0.3">
      <c r="A30" s="71" t="s">
        <v>182</v>
      </c>
      <c r="B30" s="67">
        <f>'1C-Analiza_fin_extinsa'!B49</f>
        <v>16308674</v>
      </c>
      <c r="C30" s="67">
        <f>'1C-Analiza_fin_extinsa'!C49</f>
        <v>17083583</v>
      </c>
      <c r="D30" s="67">
        <f>'1C-Analiza_fin_extinsa'!D49</f>
        <v>0</v>
      </c>
    </row>
    <row r="31" spans="1:4" ht="27.6" customHeight="1" x14ac:dyDescent="0.3">
      <c r="A31" s="71" t="s">
        <v>183</v>
      </c>
      <c r="B31" s="67">
        <f>'1C-Analiza_fin_extinsa'!B50</f>
        <v>17169862</v>
      </c>
      <c r="C31" s="67">
        <f>'1C-Analiza_fin_extinsa'!C50</f>
        <v>18138272</v>
      </c>
      <c r="D31" s="67">
        <f>'1C-Analiza_fin_extinsa'!D50</f>
        <v>0</v>
      </c>
    </row>
    <row r="32" spans="1:4" x14ac:dyDescent="0.3">
      <c r="B32" s="66"/>
      <c r="C32" s="66"/>
      <c r="D32" s="66"/>
    </row>
    <row r="33" spans="1:4" x14ac:dyDescent="0.3">
      <c r="A33" s="248" t="s">
        <v>184</v>
      </c>
      <c r="B33" s="271">
        <f>'1A-Bilant'!B5</f>
        <v>2018</v>
      </c>
      <c r="C33" s="271">
        <f>'1A-Bilant'!C5</f>
        <v>2019</v>
      </c>
      <c r="D33" s="271" t="str">
        <f>'1A-Bilant'!D5</f>
        <v>AN</v>
      </c>
    </row>
    <row r="34" spans="1:4" x14ac:dyDescent="0.3">
      <c r="A34" s="71" t="s">
        <v>185</v>
      </c>
      <c r="B34" s="73">
        <f>IFERROR('1C-Analiza_fin_extinsa'!G31,"")</f>
        <v>0.10829375380151789</v>
      </c>
      <c r="C34" s="73">
        <f>IFERROR('1C-Analiza_fin_extinsa'!H31,"")</f>
        <v>8.6930751491746103E-2</v>
      </c>
      <c r="D34" s="73" t="str">
        <f>IFERROR('1C-Analiza_fin_extinsa'!I31,"")</f>
        <v/>
      </c>
    </row>
    <row r="35" spans="1:4" x14ac:dyDescent="0.3">
      <c r="A35" s="71" t="s">
        <v>186</v>
      </c>
      <c r="B35" s="73">
        <f>IFERROR('1C-Analiza_fin_extinsa'!G37,"")</f>
        <v>-1.1085280555729402E-3</v>
      </c>
      <c r="C35" s="73">
        <f>IFERROR('1C-Analiza_fin_extinsa'!H37,"")</f>
        <v>5.6868061725856575E-5</v>
      </c>
      <c r="D35" s="73" t="str">
        <f>IFERROR('1C-Analiza_fin_extinsa'!I37,"")</f>
        <v/>
      </c>
    </row>
    <row r="36" spans="1:4" x14ac:dyDescent="0.3">
      <c r="A36" s="71" t="s">
        <v>187</v>
      </c>
      <c r="B36" s="73">
        <f>IFERROR('1C-Analiza_fin_extinsa'!G41,"")</f>
        <v>0</v>
      </c>
      <c r="C36" s="73">
        <f>IFERROR('1C-Analiza_fin_extinsa'!H41,"")</f>
        <v>0</v>
      </c>
      <c r="D36" s="73" t="str">
        <f>IFERROR('1C-Analiza_fin_extinsa'!I41,"")</f>
        <v/>
      </c>
    </row>
    <row r="37" spans="1:4" x14ac:dyDescent="0.3">
      <c r="A37" s="71" t="s">
        <v>188</v>
      </c>
      <c r="B37" s="73">
        <f>IFERROR('1C-Analiza_fin_extinsa'!G44,"")</f>
        <v>0.10718522574594494</v>
      </c>
      <c r="C37" s="73">
        <f>IFERROR('1C-Analiza_fin_extinsa'!H44,"")</f>
        <v>8.6987619553471965E-2</v>
      </c>
      <c r="D37" s="73" t="str">
        <f>IFERROR('1C-Analiza_fin_extinsa'!I44,"")</f>
        <v/>
      </c>
    </row>
    <row r="38" spans="1:4" x14ac:dyDescent="0.3">
      <c r="A38" s="71" t="s">
        <v>189</v>
      </c>
      <c r="B38" s="73">
        <f>IFERROR('1C-Analiza_fin_extinsa'!G47,"")</f>
        <v>9.2569248050777167E-2</v>
      </c>
      <c r="C38" s="73">
        <f>IFERROR('1C-Analiza_fin_extinsa'!H47,"")</f>
        <v>7.4873881840587728E-2</v>
      </c>
      <c r="D38" s="73" t="str">
        <f>IFERROR('1C-Analiza_fin_extinsa'!I47,"")</f>
        <v/>
      </c>
    </row>
    <row r="39" spans="1:4" x14ac:dyDescent="0.3">
      <c r="A39" s="71" t="s">
        <v>190</v>
      </c>
      <c r="B39" s="73">
        <f>IFERROR('1C-Analiza_fin_extinsa'!G50,"")</f>
        <v>0.11323263571488915</v>
      </c>
      <c r="C39" s="73">
        <f>IFERROR('1C-Analiza_fin_extinsa'!H50,"")</f>
        <v>9.2402434085494575E-2</v>
      </c>
      <c r="D39" s="73" t="str">
        <f>IFERROR('1C-Analiza_fin_extinsa'!I50,"")</f>
        <v/>
      </c>
    </row>
    <row r="40" spans="1:4" x14ac:dyDescent="0.3">
      <c r="A40" s="71" t="s">
        <v>191</v>
      </c>
      <c r="B40" s="73">
        <f>IFERROR('1C-Analiza_fin_extinsa'!G49,"")</f>
        <v>0.10755323147238365</v>
      </c>
      <c r="C40" s="73">
        <f>IFERROR('1C-Analiza_fin_extinsa'!H49,"")</f>
        <v>8.7029494987260952E-2</v>
      </c>
      <c r="D40" s="73" t="str">
        <f>IFERROR('1C-Analiza_fin_extinsa'!I49,"")</f>
        <v/>
      </c>
    </row>
    <row r="41" spans="1:4" x14ac:dyDescent="0.3">
      <c r="B41" s="108"/>
      <c r="C41" s="108"/>
      <c r="D41" s="108"/>
    </row>
    <row r="42" spans="1:4" x14ac:dyDescent="0.3">
      <c r="A42" s="248" t="s">
        <v>192</v>
      </c>
      <c r="B42" s="271">
        <f>'1A-Bilant'!B5</f>
        <v>2018</v>
      </c>
      <c r="C42" s="271">
        <f>'1A-Bilant'!C5</f>
        <v>2019</v>
      </c>
      <c r="D42" s="271" t="str">
        <f>'1A-Bilant'!D5</f>
        <v>AN</v>
      </c>
    </row>
    <row r="43" spans="1:4" x14ac:dyDescent="0.3">
      <c r="A43" s="71" t="s">
        <v>193</v>
      </c>
      <c r="B43" s="110">
        <f>'1B-ContPP'!B55</f>
        <v>14036600</v>
      </c>
      <c r="C43" s="110">
        <f>'1B-ContPP'!C55</f>
        <v>14697479</v>
      </c>
      <c r="D43" s="110">
        <f>'1B-ContPP'!D55</f>
        <v>0</v>
      </c>
    </row>
    <row r="44" spans="1:4" x14ac:dyDescent="0.3">
      <c r="A44" s="71" t="s">
        <v>194</v>
      </c>
      <c r="B44" s="110">
        <f>'1C-Analiza_fin_extinsa'!B49-'1C-Analiza_fin_extinsa'!B45</f>
        <v>14092402</v>
      </c>
      <c r="C44" s="110">
        <f>'1C-Analiza_fin_extinsa'!C49-'1C-Analiza_fin_extinsa'!C45</f>
        <v>14705699</v>
      </c>
      <c r="D44" s="110">
        <f>'1C-Analiza_fin_extinsa'!D49-'1C-Analiza_fin_extinsa'!D45</f>
        <v>0</v>
      </c>
    </row>
    <row r="45" spans="1:4" x14ac:dyDescent="0.3">
      <c r="A45" s="234" t="s">
        <v>195</v>
      </c>
      <c r="B45" s="235">
        <f>IF(B43&lt;0,"nu se calculeaza",IFERROR('1C-Analiza_fin_extinsa'!B47/'1C-Analiza_fin_extinsa'!B21,""))</f>
        <v>0.2580285432517942</v>
      </c>
      <c r="C45" s="235">
        <f>IF(C43&lt;0,"nu se calculeaza",IFERROR('1C-Analiza_fin_extinsa'!C47/'1C-Analiza_fin_extinsa'!C21,""))</f>
        <v>0.21862263837196549</v>
      </c>
      <c r="D45" s="235" t="str">
        <f>IF(D43&lt;0,"nu se calculeaza",IFERROR('1C-Analiza_fin_extinsa'!D47/'1C-Analiza_fin_extinsa'!D21,""))</f>
        <v/>
      </c>
    </row>
    <row r="46" spans="1:4" x14ac:dyDescent="0.3">
      <c r="A46" s="71" t="s">
        <v>196</v>
      </c>
      <c r="B46" s="72"/>
      <c r="C46" s="72"/>
      <c r="D46" s="72"/>
    </row>
    <row r="47" spans="1:4" x14ac:dyDescent="0.3">
      <c r="A47" s="71" t="s">
        <v>197</v>
      </c>
      <c r="B47" s="73">
        <f>IF(B43&lt;0,"nu se calculeaza",IFERROR('1C-Analiza_fin_extinsa'!G47,""))</f>
        <v>9.2569248050777167E-2</v>
      </c>
      <c r="C47" s="73">
        <f>IF(C43&lt;0,"nu se calculeaza",IFERROR('1C-Analiza_fin_extinsa'!H47,""))</f>
        <v>7.4873881840587728E-2</v>
      </c>
      <c r="D47" s="73" t="str">
        <f>IF(D43&lt;0,"nu se calculeaza",IFERROR('1C-Analiza_fin_extinsa'!I47,""))</f>
        <v/>
      </c>
    </row>
    <row r="48" spans="1:4" x14ac:dyDescent="0.3">
      <c r="A48" s="71" t="s">
        <v>198</v>
      </c>
      <c r="B48" s="80">
        <f>IFERROR('1C-Analiza_fin_extinsa'!B25/'1C-Analiza_fin_extinsa'!B10,"")</f>
        <v>2.7874110321200556</v>
      </c>
      <c r="C48" s="80">
        <f>IFERROR('1C-Analiza_fin_extinsa'!C25/'1C-Analiza_fin_extinsa'!C10,"")</f>
        <v>2.9198785076674665</v>
      </c>
      <c r="D48" s="80" t="str">
        <f>IFERROR('1C-Analiza_fin_extinsa'!D25/'1C-Analiza_fin_extinsa'!D10,"")</f>
        <v/>
      </c>
    </row>
    <row r="49" spans="1:4" x14ac:dyDescent="0.3">
      <c r="A49" s="234" t="s">
        <v>199</v>
      </c>
      <c r="B49" s="235">
        <f>IF(B43&lt;0,"nu se calculeaza",IFERROR('1C-Analiza_fin_extinsa'!B47/'1C-Analiza_fin_extinsa'!B20,""))</f>
        <v>0.26812285767322935</v>
      </c>
      <c r="C49" s="235">
        <f>IF(C43&lt;0,"nu se calculeaza",IFERROR('1C-Analiza_fin_extinsa'!C47/'1C-Analiza_fin_extinsa'!C20,""))</f>
        <v>0.2350943980335955</v>
      </c>
      <c r="D49" s="235" t="str">
        <f>IF(D43&lt;0,"nu se calculeaza",IFERROR('1C-Analiza_fin_extinsa'!D47/'1C-Analiza_fin_extinsa'!D20,""))</f>
        <v/>
      </c>
    </row>
    <row r="50" spans="1:4" ht="24" customHeight="1" x14ac:dyDescent="0.3">
      <c r="A50" s="71" t="s">
        <v>200</v>
      </c>
      <c r="B50" s="72"/>
      <c r="C50" s="72"/>
      <c r="D50" s="72"/>
    </row>
    <row r="51" spans="1:4" x14ac:dyDescent="0.3">
      <c r="A51" s="71" t="s">
        <v>197</v>
      </c>
      <c r="B51" s="73">
        <f t="shared" ref="B51:D52" si="0">B47</f>
        <v>9.2569248050777167E-2</v>
      </c>
      <c r="C51" s="73">
        <f t="shared" si="0"/>
        <v>7.4873881840587728E-2</v>
      </c>
      <c r="D51" s="73" t="str">
        <f t="shared" si="0"/>
        <v/>
      </c>
    </row>
    <row r="52" spans="1:4" x14ac:dyDescent="0.3">
      <c r="A52" s="71" t="s">
        <v>198</v>
      </c>
      <c r="B52" s="80">
        <f t="shared" si="0"/>
        <v>2.7874110321200556</v>
      </c>
      <c r="C52" s="80">
        <f t="shared" si="0"/>
        <v>2.9198785076674665</v>
      </c>
      <c r="D52" s="80" t="str">
        <f t="shared" si="0"/>
        <v/>
      </c>
    </row>
    <row r="53" spans="1:4" x14ac:dyDescent="0.3">
      <c r="A53" s="71" t="s">
        <v>201</v>
      </c>
      <c r="B53" s="80">
        <f>IFERROR('1C-Analiza_fin_extinsa'!B21/'1C-Analiza_fin_extinsa'!B20,"")</f>
        <v>1.0391209216399937</v>
      </c>
      <c r="C53" s="80">
        <f>IFERROR('1C-Analiza_fin_extinsa'!C21/'1C-Analiza_fin_extinsa'!C20,"")</f>
        <v>1.0753433394834659</v>
      </c>
      <c r="D53" s="80" t="str">
        <f>IFERROR('1C-Analiza_fin_extinsa'!D21/'1C-Analiza_fin_extinsa'!D20,"")</f>
        <v/>
      </c>
    </row>
    <row r="54" spans="1:4" ht="27.6" customHeight="1" x14ac:dyDescent="0.3">
      <c r="A54" s="248" t="s">
        <v>202</v>
      </c>
      <c r="B54" s="73">
        <f>IF(B44&lt;0,"nu se calculeaza",IFERROR(('1C-Analiza_fin_extinsa'!B49-'1C-Analiza_fin_extinsa'!B45)/('1C-Analiza_fin_extinsa'!B20+'1C-Analiza_fin_extinsa'!B16),""))</f>
        <v>0.26918877048002599</v>
      </c>
      <c r="C54" s="73">
        <f>IF(C44&lt;0,"nu se calculeaza",IFERROR(('1C-Analiza_fin_extinsa'!C49-'1C-Analiza_fin_extinsa'!C45)/('1C-Analiza_fin_extinsa'!C20+'1C-Analiza_fin_extinsa'!C16),""))</f>
        <v>0.2352258815316727</v>
      </c>
      <c r="D54" s="73" t="str">
        <f>IF(D44&lt;0,"nu se calculeaza",IFERROR(('1C-Analiza_fin_extinsa'!D49-'1C-Analiza_fin_extinsa'!D45)/('1C-Analiza_fin_extinsa'!D20+'1C-Analiza_fin_extinsa'!D16),""))</f>
        <v/>
      </c>
    </row>
    <row r="55" spans="1:4" ht="27.6" customHeight="1" x14ac:dyDescent="0.3">
      <c r="A55" s="71" t="s">
        <v>203</v>
      </c>
      <c r="B55" s="72"/>
      <c r="C55" s="72"/>
      <c r="D55" s="72"/>
    </row>
    <row r="56" spans="1:4" s="63" customFormat="1" ht="15" customHeight="1" x14ac:dyDescent="0.3">
      <c r="A56" s="71" t="s">
        <v>204</v>
      </c>
      <c r="B56" s="73">
        <f>IF(B44&lt;0,"nu se calculeaza",IFERROR(('1C-Analiza_fin_extinsa'!B49-'1C-Analiza_fin_extinsa'!B45)/'1C-Analiza_fin_extinsa'!B25,""))</f>
        <v>9.2937253777215872E-2</v>
      </c>
      <c r="C56" s="73">
        <f>IF(C44&lt;0,"nu se calculeaza",IFERROR(('1C-Analiza_fin_extinsa'!C49-'1C-Analiza_fin_extinsa'!C45)/'1C-Analiza_fin_extinsa'!C25,""))</f>
        <v>7.4915757274376715E-2</v>
      </c>
      <c r="D56" s="73" t="str">
        <f>IF(D44&lt;0,"nu se calculeaza",IFERROR(('1C-Analiza_fin_extinsa'!D49-'1C-Analiza_fin_extinsa'!D45)/'1C-Analiza_fin_extinsa'!D25,""))</f>
        <v/>
      </c>
    </row>
    <row r="57" spans="1:4" x14ac:dyDescent="0.3">
      <c r="A57" s="71" t="s">
        <v>198</v>
      </c>
      <c r="B57" s="80">
        <f>B48</f>
        <v>2.7874110321200556</v>
      </c>
      <c r="C57" s="80">
        <f>C48</f>
        <v>2.9198785076674665</v>
      </c>
      <c r="D57" s="80" t="str">
        <f>D48</f>
        <v/>
      </c>
    </row>
    <row r="58" spans="1:4" x14ac:dyDescent="0.3">
      <c r="A58" s="71" t="s">
        <v>205</v>
      </c>
      <c r="B58" s="80">
        <f>IFERROR(('1C-Analiza_fin_extinsa'!B21/('1C-Analiza_fin_extinsa'!B20+'1C-Analiza_fin_extinsa'!B16)),"")</f>
        <v>1.0391209216399937</v>
      </c>
      <c r="C58" s="80">
        <f>IFERROR(('1C-Analiza_fin_extinsa'!C21/('1C-Analiza_fin_extinsa'!C20+'1C-Analiza_fin_extinsa'!C16)),"")</f>
        <v>1.0753433394834659</v>
      </c>
      <c r="D58" s="80" t="str">
        <f>IFERROR(('1C-Analiza_fin_extinsa'!D21/('1C-Analiza_fin_extinsa'!D20+'1C-Analiza_fin_extinsa'!D16)),"")</f>
        <v/>
      </c>
    </row>
    <row r="59" spans="1:4" x14ac:dyDescent="0.3">
      <c r="A59" s="248" t="s">
        <v>206</v>
      </c>
      <c r="B59" s="74">
        <f>IFERROR(B49-B54,"")</f>
        <v>-1.0659128067966317E-3</v>
      </c>
      <c r="C59" s="74">
        <f>IFERROR(C49-C54,"")</f>
        <v>-1.3148349807720616E-4</v>
      </c>
      <c r="D59" s="74" t="str">
        <f>IFERROR(D49-D54,"")</f>
        <v/>
      </c>
    </row>
    <row r="60" spans="1:4" s="63" customFormat="1" ht="15" customHeight="1" x14ac:dyDescent="0.3">
      <c r="A60" s="107"/>
      <c r="B60" s="246"/>
      <c r="C60" s="246"/>
      <c r="D60" s="246"/>
    </row>
    <row r="61" spans="1:4" x14ac:dyDescent="0.3">
      <c r="A61" s="248" t="s">
        <v>207</v>
      </c>
      <c r="B61" s="271">
        <f>'1A-Bilant'!B5</f>
        <v>2018</v>
      </c>
      <c r="C61" s="271">
        <f>'1A-Bilant'!C5</f>
        <v>2019</v>
      </c>
      <c r="D61" s="271" t="str">
        <f>'1A-Bilant'!D5</f>
        <v>AN</v>
      </c>
    </row>
    <row r="62" spans="1:4" x14ac:dyDescent="0.3">
      <c r="A62" s="71" t="s">
        <v>208</v>
      </c>
      <c r="B62" s="75">
        <f>IFERROR(('1C-Analiza_fin_extinsa'!B21*360)/'1C-Analiza_fin_extinsa'!B25,"")</f>
        <v>129.15210417538972</v>
      </c>
      <c r="C62" s="75">
        <f>IFERROR(('1C-Analiza_fin_extinsa'!C21*360)/'1C-Analiza_fin_extinsa'!C25,"")</f>
        <v>123.29280107191329</v>
      </c>
      <c r="D62" s="75" t="str">
        <f>IFERROR(('1C-Analiza_fin_extinsa'!D21*360)/'1C-Analiza_fin_extinsa'!D25,"")</f>
        <v/>
      </c>
    </row>
    <row r="63" spans="1:4" s="63" customFormat="1" ht="27.6" customHeight="1" x14ac:dyDescent="0.3">
      <c r="A63" s="71" t="s">
        <v>209</v>
      </c>
      <c r="B63" s="75">
        <f>IFERROR(('1C-Analiza_fin_extinsa'!B4*360)/'1C-Analiza_fin_extinsa'!B25,"")</f>
        <v>34.660189030775584</v>
      </c>
      <c r="C63" s="75">
        <f>IFERROR(('1C-Analiza_fin_extinsa'!C4*360)/'1C-Analiza_fin_extinsa'!C25,"")</f>
        <v>24.478297659080724</v>
      </c>
      <c r="D63" s="75" t="str">
        <f>IFERROR(('1C-Analiza_fin_extinsa'!D4*360)/'1C-Analiza_fin_extinsa'!D25,"")</f>
        <v/>
      </c>
    </row>
    <row r="64" spans="1:4" x14ac:dyDescent="0.3">
      <c r="A64" s="71" t="s">
        <v>210</v>
      </c>
      <c r="B64" s="75">
        <f>IFERROR(('1C-Analiza_fin_extinsa'!B5*360)/'1C-Analiza_fin_extinsa'!B25,"")</f>
        <v>94.49191514461414</v>
      </c>
      <c r="C64" s="75">
        <f>IFERROR(('1C-Analiza_fin_extinsa'!C5*360)/'1C-Analiza_fin_extinsa'!C25,"")</f>
        <v>98.814503412832565</v>
      </c>
      <c r="D64" s="75" t="str">
        <f>IFERROR(('1C-Analiza_fin_extinsa'!D5*360)/'1C-Analiza_fin_extinsa'!D25,"")</f>
        <v/>
      </c>
    </row>
    <row r="65" spans="1:4" x14ac:dyDescent="0.3">
      <c r="A65" s="71" t="s">
        <v>211</v>
      </c>
      <c r="B65" s="75">
        <f>IFERROR(('1C-Analiza_fin_extinsa'!B6*360)/'1C-Analiza_fin_extinsa'!B25,"")</f>
        <v>35.670974311680844</v>
      </c>
      <c r="C65" s="75">
        <f>IFERROR(('1C-Analiza_fin_extinsa'!C6*360)/'1C-Analiza_fin_extinsa'!C25,"")</f>
        <v>35.092164925998617</v>
      </c>
      <c r="D65" s="75" t="str">
        <f>IFERROR(('1C-Analiza_fin_extinsa'!D6*360)/'1C-Analiza_fin_extinsa'!D25,"")</f>
        <v/>
      </c>
    </row>
    <row r="66" spans="1:4" x14ac:dyDescent="0.3">
      <c r="A66" s="71" t="s">
        <v>212</v>
      </c>
      <c r="B66" s="75">
        <f>IFERROR(('1C-Analiza_fin_extinsa'!B7*360)/'1C-Analiza_fin_extinsa'!B25,"")</f>
        <v>32.618666151037459</v>
      </c>
      <c r="C66" s="75">
        <f>IFERROR(('1C-Analiza_fin_extinsa'!C7*360)/'1C-Analiza_fin_extinsa'!C25,"")</f>
        <v>60.119256956189645</v>
      </c>
      <c r="D66" s="75" t="str">
        <f>IFERROR(('1C-Analiza_fin_extinsa'!D7*360)/'1C-Analiza_fin_extinsa'!D25,"")</f>
        <v/>
      </c>
    </row>
    <row r="67" spans="1:4" x14ac:dyDescent="0.3">
      <c r="A67" s="71" t="s">
        <v>213</v>
      </c>
      <c r="B67" s="75">
        <f>IFERROR(('1C-Analiza_fin_extinsa'!B13*360)/'1C-Analiza_fin_extinsa'!B25,"")</f>
        <v>1.3361642818925712</v>
      </c>
      <c r="C67" s="75">
        <f>IFERROR(('1C-Analiza_fin_extinsa'!C13*360)/'1C-Analiza_fin_extinsa'!C25,"")</f>
        <v>-2.6570696323358312</v>
      </c>
      <c r="D67" s="75" t="str">
        <f>IFERROR(('1C-Analiza_fin_extinsa'!D13*360)/'1C-Analiza_fin_extinsa'!D25,"")</f>
        <v/>
      </c>
    </row>
    <row r="68" spans="1:4" s="76" customFormat="1" ht="15.6" customHeight="1" x14ac:dyDescent="0.3">
      <c r="A68" s="248" t="s">
        <v>214</v>
      </c>
      <c r="B68" s="271">
        <f>'1A-Bilant'!B5</f>
        <v>2018</v>
      </c>
      <c r="C68" s="271">
        <f>'1A-Bilant'!C5</f>
        <v>2019</v>
      </c>
      <c r="D68" s="271" t="str">
        <f>'1A-Bilant'!D5</f>
        <v>AN</v>
      </c>
    </row>
    <row r="69" spans="1:4" x14ac:dyDescent="0.3">
      <c r="A69" s="71" t="s">
        <v>215</v>
      </c>
      <c r="B69" s="80">
        <f>IFERROR('1C-Analiza_fin_extinsa'!B25/'1C-Analiza_fin_extinsa'!B21,"")</f>
        <v>2.7874110321200556</v>
      </c>
      <c r="C69" s="80">
        <f>IFERROR('1C-Analiza_fin_extinsa'!C25/'1C-Analiza_fin_extinsa'!C21,"")</f>
        <v>2.9198785076674665</v>
      </c>
      <c r="D69" s="80" t="str">
        <f>IFERROR('1C-Analiza_fin_extinsa'!D25/'1C-Analiza_fin_extinsa'!D21,"")</f>
        <v/>
      </c>
    </row>
    <row r="70" spans="1:4" s="63" customFormat="1" ht="15" customHeight="1" x14ac:dyDescent="0.3">
      <c r="A70" s="71" t="s">
        <v>216</v>
      </c>
      <c r="B70" s="80">
        <f>IFERROR('1C-Analiza_fin_extinsa'!B25/'1C-Analiza_fin_extinsa'!B4,"")</f>
        <v>10.386556163336202</v>
      </c>
      <c r="C70" s="80">
        <f>IFERROR('1C-Analiza_fin_extinsa'!C25/'1C-Analiza_fin_extinsa'!C4,"")</f>
        <v>14.706905072152788</v>
      </c>
      <c r="D70" s="80" t="str">
        <f>IFERROR('1C-Analiza_fin_extinsa'!D25/'1C-Analiza_fin_extinsa'!D4,"")</f>
        <v/>
      </c>
    </row>
    <row r="71" spans="1:4" s="63" customFormat="1" ht="15" customHeight="1" x14ac:dyDescent="0.3">
      <c r="A71" s="71" t="s">
        <v>217</v>
      </c>
      <c r="B71" s="80">
        <f>IFERROR('1C-Analiza_fin_extinsa'!B25/'1C-Analiza_fin_extinsa'!B5,"")</f>
        <v>3.809849757506151</v>
      </c>
      <c r="C71" s="80">
        <f>IFERROR('1C-Analiza_fin_extinsa'!C25/'1C-Analiza_fin_extinsa'!C5,"")</f>
        <v>3.6431898918316934</v>
      </c>
      <c r="D71" s="80" t="str">
        <f>IFERROR('1C-Analiza_fin_extinsa'!D25/'1C-Analiza_fin_extinsa'!D5,"")</f>
        <v/>
      </c>
    </row>
    <row r="72" spans="1:4" s="63" customFormat="1" ht="15" customHeight="1" x14ac:dyDescent="0.3">
      <c r="A72" s="71" t="s">
        <v>218</v>
      </c>
      <c r="B72" s="80">
        <f>IFERROR('1C-Analiza_fin_extinsa'!B25/'1C-Analiza_fin_extinsa'!B6,"")</f>
        <v>10.09223905280642</v>
      </c>
      <c r="C72" s="80">
        <f>IFERROR('1C-Analiza_fin_extinsa'!C25/'1C-Analiza_fin_extinsa'!C6,"")</f>
        <v>10.258700218671546</v>
      </c>
      <c r="D72" s="80" t="str">
        <f>IFERROR('1C-Analiza_fin_extinsa'!D25/'1C-Analiza_fin_extinsa'!D6,"")</f>
        <v/>
      </c>
    </row>
    <row r="73" spans="1:4" s="63" customFormat="1" ht="15" customHeight="1" x14ac:dyDescent="0.3">
      <c r="A73" s="71" t="s">
        <v>219</v>
      </c>
      <c r="B73" s="80">
        <f>IFERROR('1C-Analiza_fin_extinsa'!B25/'1C-Analiza_fin_extinsa'!B7,"")</f>
        <v>11.036625419723055</v>
      </c>
      <c r="C73" s="80">
        <f>IFERROR('1C-Analiza_fin_extinsa'!C25/'1C-Analiza_fin_extinsa'!C7,"")</f>
        <v>5.9880979610633025</v>
      </c>
      <c r="D73" s="80" t="str">
        <f>IFERROR('1C-Analiza_fin_extinsa'!D25/'1C-Analiza_fin_extinsa'!D7,"")</f>
        <v/>
      </c>
    </row>
    <row r="74" spans="1:4" s="63" customFormat="1" ht="15" customHeight="1" x14ac:dyDescent="0.3">
      <c r="A74" s="71" t="s">
        <v>220</v>
      </c>
      <c r="B74" s="80">
        <f>IFERROR('1C-Analiza_fin_extinsa'!B25/'1C-Analiza_fin_extinsa'!B13,"")</f>
        <v>269.42794750514395</v>
      </c>
      <c r="C74" s="80">
        <f>IFERROR('1C-Analiza_fin_extinsa'!C25/'1C-Analiza_fin_extinsa'!C13,"")</f>
        <v>-135.48760469763221</v>
      </c>
      <c r="D74" s="80" t="str">
        <f>IFERROR('1C-Analiza_fin_extinsa'!D25/'1C-Analiza_fin_extinsa'!D13,"")</f>
        <v/>
      </c>
    </row>
    <row r="75" spans="1:4" s="63" customFormat="1" ht="15" hidden="1" customHeight="1" x14ac:dyDescent="0.3">
      <c r="A75" s="77" t="s">
        <v>221</v>
      </c>
      <c r="B75" s="246"/>
      <c r="C75" s="246"/>
      <c r="D75" s="246"/>
    </row>
    <row r="76" spans="1:4" s="63" customFormat="1" ht="15" hidden="1" customHeight="1" x14ac:dyDescent="0.3">
      <c r="A76" s="107" t="s">
        <v>222</v>
      </c>
      <c r="B76" s="108">
        <f>'1C-Analiza_fin_extinsa'!B21/'1C-Analiza_fin_extinsa'!B25</f>
        <v>0.35875584493163815</v>
      </c>
      <c r="C76" s="108">
        <f>'1C-Analiza_fin_extinsa'!C21/'1C-Analiza_fin_extinsa'!C25</f>
        <v>0.34248000297753695</v>
      </c>
      <c r="D76" s="108" t="e">
        <f>'1C-Analiza_fin_extinsa'!D21/'1C-Analiza_fin_extinsa'!D25</f>
        <v>#DIV/0!</v>
      </c>
    </row>
    <row r="77" spans="1:4" s="63" customFormat="1" ht="15" hidden="1" customHeight="1" x14ac:dyDescent="0.3">
      <c r="A77" s="107" t="s">
        <v>223</v>
      </c>
      <c r="B77" s="108">
        <f>'1C-Analiza_fin_extinsa'!B4/'1C-Analiza_fin_extinsa'!B25</f>
        <v>9.6278302863265511E-2</v>
      </c>
      <c r="C77" s="108">
        <f>'1C-Analiza_fin_extinsa'!C4/'1C-Analiza_fin_extinsa'!C25</f>
        <v>6.7995271275224228E-2</v>
      </c>
      <c r="D77" s="108" t="e">
        <f>'1C-Analiza_fin_extinsa'!D4/'1C-Analiza_fin_extinsa'!D25</f>
        <v>#DIV/0!</v>
      </c>
    </row>
    <row r="78" spans="1:4" s="63" customFormat="1" ht="15" hidden="1" customHeight="1" x14ac:dyDescent="0.3">
      <c r="A78" s="107" t="s">
        <v>224</v>
      </c>
      <c r="B78" s="108">
        <f>'1C-Analiza_fin_extinsa'!B5/'1C-Analiza_fin_extinsa'!B25</f>
        <v>0.26247754206837259</v>
      </c>
      <c r="C78" s="108">
        <f>'1C-Analiza_fin_extinsa'!C5/'1C-Analiza_fin_extinsa'!C25</f>
        <v>0.27448473170231269</v>
      </c>
      <c r="D78" s="108" t="e">
        <f>'1C-Analiza_fin_extinsa'!D5/'1C-Analiza_fin_extinsa'!D25</f>
        <v>#DIV/0!</v>
      </c>
    </row>
    <row r="79" spans="1:4" s="63" customFormat="1" ht="15" hidden="1" customHeight="1" x14ac:dyDescent="0.3">
      <c r="A79" s="107" t="s">
        <v>225</v>
      </c>
      <c r="B79" s="108">
        <f>'1C-Analiza_fin_extinsa'!B6/'1C-Analiza_fin_extinsa'!B25</f>
        <v>9.9086039754669009E-2</v>
      </c>
      <c r="C79" s="108">
        <f>'1C-Analiza_fin_extinsa'!C6/'1C-Analiza_fin_extinsa'!C25</f>
        <v>9.7478235905551727E-2</v>
      </c>
      <c r="D79" s="108" t="e">
        <f>'1C-Analiza_fin_extinsa'!D6/'1C-Analiza_fin_extinsa'!D25</f>
        <v>#DIV/0!</v>
      </c>
    </row>
    <row r="80" spans="1:4" s="63" customFormat="1" ht="15" hidden="1" customHeight="1" x14ac:dyDescent="0.3">
      <c r="A80" s="107" t="s">
        <v>226</v>
      </c>
      <c r="B80" s="108">
        <f>'1C-Analiza_fin_extinsa'!B7/'1C-Analiza_fin_extinsa'!B25</f>
        <v>9.0607405975104055E-2</v>
      </c>
      <c r="C80" s="108">
        <f>'1C-Analiza_fin_extinsa'!C7/'1C-Analiza_fin_extinsa'!C25</f>
        <v>0.16699793598941567</v>
      </c>
      <c r="D80" s="108" t="e">
        <f>'1C-Analiza_fin_extinsa'!D7/'1C-Analiza_fin_extinsa'!D25</f>
        <v>#DIV/0!</v>
      </c>
    </row>
    <row r="81" spans="1:6" s="63" customFormat="1" ht="15" hidden="1" customHeight="1" x14ac:dyDescent="0.3">
      <c r="A81" s="107" t="s">
        <v>227</v>
      </c>
      <c r="B81" s="108">
        <f>'1C-Analiza_fin_extinsa'!B13/'1C-Analiza_fin_extinsa'!B25</f>
        <v>3.7115674497015866E-3</v>
      </c>
      <c r="C81" s="108">
        <f>'1C-Analiza_fin_extinsa'!C13/'1C-Analiza_fin_extinsa'!C25</f>
        <v>-7.3807489787106415E-3</v>
      </c>
      <c r="D81" s="108" t="e">
        <f>'1C-Analiza_fin_extinsa'!D13/'1C-Analiza_fin_extinsa'!D25</f>
        <v>#DIV/0!</v>
      </c>
    </row>
    <row r="82" spans="1:6" s="63" customFormat="1" ht="15" hidden="1" customHeight="1" x14ac:dyDescent="0.3">
      <c r="A82" s="78" t="s">
        <v>228</v>
      </c>
      <c r="B82" s="79">
        <f>'1C-Analiza_fin_extinsa'!B9/'1C-Analiza_fin_extinsa'!B25</f>
        <v>7.2784096338599558E-2</v>
      </c>
      <c r="C82" s="79">
        <f>'1C-Analiza_fin_extinsa'!C9/'1C-Analiza_fin_extinsa'!C25</f>
        <v>1.0008559807345292E-2</v>
      </c>
      <c r="D82" s="79" t="e">
        <f>'1C-Analiza_fin_extinsa'!D9/'1C-Analiza_fin_extinsa'!D25</f>
        <v>#DIV/0!</v>
      </c>
    </row>
    <row r="84" spans="1:6" x14ac:dyDescent="0.3">
      <c r="A84" s="248" t="s">
        <v>229</v>
      </c>
      <c r="B84" s="271">
        <f>'1A-Bilant'!B5</f>
        <v>2018</v>
      </c>
      <c r="C84" s="271">
        <f>'1A-Bilant'!C5</f>
        <v>2019</v>
      </c>
      <c r="D84" s="271" t="str">
        <f>'1A-Bilant'!D5</f>
        <v>AN</v>
      </c>
    </row>
    <row r="85" spans="1:6" x14ac:dyDescent="0.3">
      <c r="A85" s="232" t="s">
        <v>230</v>
      </c>
      <c r="B85" s="233">
        <f>IFERROR('1C-Analiza_fin_extinsa'!B5/'1C-Analiza_fin_extinsa'!B11,"")</f>
        <v>19.433462042134067</v>
      </c>
      <c r="C85" s="233">
        <f>IFERROR('1C-Analiza_fin_extinsa'!C5/'1C-Analiza_fin_extinsa'!C11,"")</f>
        <v>11.438926166802469</v>
      </c>
      <c r="D85" s="233" t="str">
        <f>IFERROR('1C-Analiza_fin_extinsa'!D5/'1C-Analiza_fin_extinsa'!D11,"")</f>
        <v/>
      </c>
      <c r="F85" s="231"/>
    </row>
    <row r="86" spans="1:6" x14ac:dyDescent="0.3">
      <c r="A86" s="71" t="s">
        <v>231</v>
      </c>
      <c r="B86" s="80">
        <f>IFERROR(('1C-Analiza_fin_extinsa'!B5-'1C-Analiza_fin_extinsa'!B6)/'1C-Analiza_fin_extinsa'!B11,"")</f>
        <v>12.097273287455188</v>
      </c>
      <c r="C86" s="80">
        <f>IFERROR(('1C-Analiza_fin_extinsa'!C5-'1C-Analiza_fin_extinsa'!C6)/'1C-Analiza_fin_extinsa'!C11,"")</f>
        <v>7.3766005996264328</v>
      </c>
      <c r="D86" s="80" t="str">
        <f>IFERROR(('1C-Analiza_fin_extinsa'!D5-'1C-Analiza_fin_extinsa'!D6)/'1C-Analiza_fin_extinsa'!D11,"")</f>
        <v/>
      </c>
    </row>
    <row r="87" spans="1:6" x14ac:dyDescent="0.3">
      <c r="A87" s="71" t="s">
        <v>232</v>
      </c>
      <c r="B87" s="80">
        <f>IFERROR('1C-Analiza_fin_extinsa'!B9/'1C-Analiza_fin_extinsa'!B11,"")</f>
        <v>5.388830458869335</v>
      </c>
      <c r="C87" s="80">
        <f>IFERROR('1C-Analiza_fin_extinsa'!C9/'1C-Analiza_fin_extinsa'!C11,"")</f>
        <v>0.41709852479668874</v>
      </c>
      <c r="D87" s="80" t="str">
        <f>IFERROR('1C-Analiza_fin_extinsa'!D9/'1C-Analiza_fin_extinsa'!D11,"")</f>
        <v/>
      </c>
    </row>
    <row r="89" spans="1:6" x14ac:dyDescent="0.3">
      <c r="A89" s="109" t="s">
        <v>233</v>
      </c>
      <c r="B89" s="271">
        <f>'1A-Bilant'!B5</f>
        <v>2018</v>
      </c>
      <c r="C89" s="271">
        <f>'1A-Bilant'!C5</f>
        <v>2019</v>
      </c>
      <c r="D89" s="271" t="str">
        <f>'1A-Bilant'!D5</f>
        <v>AN</v>
      </c>
    </row>
    <row r="90" spans="1:6" x14ac:dyDescent="0.3">
      <c r="A90" s="71" t="s">
        <v>234</v>
      </c>
      <c r="B90" s="80">
        <f>IFERROR('1C-Analiza_fin_extinsa'!B10/'1C-Analiza_fin_extinsa'!B11,"")</f>
        <v>26.561769970615721</v>
      </c>
      <c r="C90" s="80">
        <f>IFERROR('1C-Analiza_fin_extinsa'!C10/'1C-Analiza_fin_extinsa'!C11,"")</f>
        <v>14.272573353606781</v>
      </c>
      <c r="D90" s="80" t="str">
        <f>IFERROR('1C-Analiza_fin_extinsa'!D10/'1C-Analiza_fin_extinsa'!D11,"")</f>
        <v/>
      </c>
    </row>
    <row r="91" spans="1:6" x14ac:dyDescent="0.3">
      <c r="A91" s="232" t="s">
        <v>235</v>
      </c>
      <c r="B91" s="233">
        <f>IFERROR('1C-Analiza_fin_extinsa'!B10/('1C-Analiza_fin_extinsa'!B11+'1C-Analiza_fin_extinsa'!B16),"")</f>
        <v>26.561769970615721</v>
      </c>
      <c r="C91" s="233">
        <f>IFERROR('1C-Analiza_fin_extinsa'!C10/('1C-Analiza_fin_extinsa'!C11+'1C-Analiza_fin_extinsa'!C16),"")</f>
        <v>14.272573353606781</v>
      </c>
      <c r="D91" s="233" t="str">
        <f>IFERROR('1C-Analiza_fin_extinsa'!D10/('1C-Analiza_fin_extinsa'!D11+'1C-Analiza_fin_extinsa'!D16),"")</f>
        <v/>
      </c>
    </row>
    <row r="92" spans="1:6" ht="27.6" customHeight="1" x14ac:dyDescent="0.3">
      <c r="A92" s="71" t="s">
        <v>236</v>
      </c>
      <c r="B92" s="80">
        <f>IFERROR('1C-Analiza_fin_extinsa'!B20/('1C-Analiza_fin_extinsa'!B20+'1C-Analiza_fin_extinsa'!B16),"")</f>
        <v>1</v>
      </c>
      <c r="C92" s="80">
        <f>IFERROR('1C-Analiza_fin_extinsa'!C20/('1C-Analiza_fin_extinsa'!C20+'1C-Analiza_fin_extinsa'!C16),"")</f>
        <v>1</v>
      </c>
      <c r="D92" s="80" t="str">
        <f>IFERROR('1C-Analiza_fin_extinsa'!D20/('1C-Analiza_fin_extinsa'!D20+'1C-Analiza_fin_extinsa'!D16),"")</f>
        <v/>
      </c>
    </row>
    <row r="93" spans="1:6" x14ac:dyDescent="0.3">
      <c r="A93" s="71" t="s">
        <v>237</v>
      </c>
      <c r="B93" s="73">
        <f>IFERROR('1C-Analiza_fin_extinsa'!B20/'1C-Analiza_fin_extinsa'!B21,"")</f>
        <v>0.96235190647662927</v>
      </c>
      <c r="C93" s="73">
        <f>IFERROR('1C-Analiza_fin_extinsa'!C20/'1C-Analiza_fin_extinsa'!C21,"")</f>
        <v>0.92993555014749374</v>
      </c>
      <c r="D93" s="73" t="str">
        <f>IFERROR('1C-Analiza_fin_extinsa'!D20/'1C-Analiza_fin_extinsa'!D21,"")</f>
        <v/>
      </c>
    </row>
    <row r="94" spans="1:6" x14ac:dyDescent="0.3">
      <c r="A94" s="71" t="s">
        <v>238</v>
      </c>
      <c r="B94" s="73">
        <f>IFERROR('1C-Analiza_fin_extinsa'!B16/'1C-Analiza_fin_extinsa'!B20,"")</f>
        <v>0</v>
      </c>
      <c r="C94" s="73">
        <f>IFERROR('1C-Analiza_fin_extinsa'!C16/'1C-Analiza_fin_extinsa'!C20,"")</f>
        <v>0</v>
      </c>
      <c r="D94" s="73" t="str">
        <f>IFERROR('1C-Analiza_fin_extinsa'!D16/'1C-Analiza_fin_extinsa'!D20,"")</f>
        <v/>
      </c>
    </row>
    <row r="95" spans="1:6" x14ac:dyDescent="0.3">
      <c r="A95" s="71" t="s">
        <v>239</v>
      </c>
      <c r="B95" s="73">
        <f>IFERROR('1C-Analiza_fin_extinsa'!B16/'1C-Analiza_fin_extinsa'!B21,"")</f>
        <v>0</v>
      </c>
      <c r="C95" s="73">
        <f>IFERROR('1C-Analiza_fin_extinsa'!C16/'1C-Analiza_fin_extinsa'!C21,"")</f>
        <v>0</v>
      </c>
      <c r="D95" s="73" t="str">
        <f>IFERROR('1C-Analiza_fin_extinsa'!D16/'1C-Analiza_fin_extinsa'!D21,"")</f>
        <v/>
      </c>
    </row>
    <row r="96" spans="1:6" ht="15" customHeight="1" x14ac:dyDescent="0.3">
      <c r="A96" s="71" t="s">
        <v>240</v>
      </c>
      <c r="B96" s="73">
        <f>IFERROR('1C-Analiza_fin_extinsa'!B11/'1C-Analiza_fin_extinsa'!B21,"")</f>
        <v>3.7648093523370695E-2</v>
      </c>
      <c r="C96" s="73">
        <f>IFERROR('1C-Analiza_fin_extinsa'!C11/'1C-Analiza_fin_extinsa'!C21,"")</f>
        <v>7.0064449852506303E-2</v>
      </c>
      <c r="D96" s="73" t="str">
        <f>IFERROR('1C-Analiza_fin_extinsa'!D11/'1C-Analiza_fin_extinsa'!D21,"")</f>
        <v/>
      </c>
    </row>
    <row r="97" spans="1:4" x14ac:dyDescent="0.3">
      <c r="A97" s="234" t="s">
        <v>241</v>
      </c>
      <c r="B97" s="235">
        <f>IFERROR(('1C-Analiza_fin_extinsa'!B11+'1C-Analiza_fin_extinsa'!B16)/'1C-Analiza_fin_extinsa'!B21,"")</f>
        <v>3.7648093523370695E-2</v>
      </c>
      <c r="C97" s="235">
        <f>IFERROR(('1C-Analiza_fin_extinsa'!C11+'1C-Analiza_fin_extinsa'!C16)/'1C-Analiza_fin_extinsa'!C21,"")</f>
        <v>7.0064449852506303E-2</v>
      </c>
      <c r="D97" s="235" t="str">
        <f>IFERROR(('1C-Analiza_fin_extinsa'!D11+'1C-Analiza_fin_extinsa'!D16)/'1C-Analiza_fin_extinsa'!D21,"")</f>
        <v/>
      </c>
    </row>
  </sheetData>
  <mergeCells count="3">
    <mergeCell ref="A1:D1"/>
    <mergeCell ref="A2:D2"/>
    <mergeCell ref="A3:D3"/>
  </mergeCells>
  <conditionalFormatting sqref="B43:D44">
    <cfRule type="cellIs" dxfId="8" priority="1" operator="lessThan">
      <formula>0</formula>
    </cfRule>
  </conditionalFormatting>
  <pageMargins left="0.7" right="0.7" top="0.75" bottom="0.75" header="0.3" footer="0.3"/>
  <pageSetup paperSize="9" fitToHeight="0" orientation="portrait" blackAndWhite="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F27"/>
  <sheetViews>
    <sheetView topLeftCell="A15" workbookViewId="0">
      <selection activeCell="F10" sqref="F10"/>
    </sheetView>
  </sheetViews>
  <sheetFormatPr defaultColWidth="9.109375" defaultRowHeight="13.8" x14ac:dyDescent="0.3"/>
  <cols>
    <col min="1" max="1" width="3.5546875" style="270" customWidth="1"/>
    <col min="2" max="4" width="9.109375" style="270" customWidth="1"/>
    <col min="5" max="5" width="15.5546875" style="270" customWidth="1"/>
    <col min="6" max="6" width="49.6640625" style="270" customWidth="1"/>
    <col min="7" max="7" width="9.109375" style="270" customWidth="1"/>
    <col min="8" max="16384" width="9.109375" style="270"/>
  </cols>
  <sheetData>
    <row r="1" spans="1:6" ht="14.4" customHeight="1" x14ac:dyDescent="0.3">
      <c r="A1" s="273" t="s">
        <v>242</v>
      </c>
      <c r="B1" s="273"/>
      <c r="C1" s="273"/>
      <c r="D1" s="273"/>
      <c r="E1" s="81"/>
      <c r="F1" s="81"/>
    </row>
    <row r="2" spans="1:6" x14ac:dyDescent="0.3">
      <c r="A2" s="1"/>
      <c r="B2" s="1"/>
      <c r="C2" s="1"/>
      <c r="D2" s="1"/>
      <c r="E2" s="1"/>
      <c r="F2" s="1"/>
    </row>
    <row r="3" spans="1:6" x14ac:dyDescent="0.3">
      <c r="A3" s="327" t="s">
        <v>243</v>
      </c>
      <c r="B3" s="322"/>
      <c r="C3" s="322"/>
      <c r="D3" s="322"/>
      <c r="E3" s="322"/>
      <c r="F3" s="322"/>
    </row>
    <row r="4" spans="1:6" ht="39" customHeight="1" x14ac:dyDescent="0.3">
      <c r="A4" s="327" t="s">
        <v>244</v>
      </c>
      <c r="B4" s="322"/>
      <c r="C4" s="322"/>
      <c r="D4" s="322"/>
      <c r="E4" s="322"/>
      <c r="F4" s="322"/>
    </row>
    <row r="5" spans="1:6" x14ac:dyDescent="0.3">
      <c r="A5" s="276"/>
      <c r="B5" s="276"/>
      <c r="C5" s="276"/>
      <c r="D5" s="276"/>
      <c r="E5" s="276"/>
      <c r="F5" s="276"/>
    </row>
    <row r="6" spans="1:6" x14ac:dyDescent="0.3">
      <c r="A6" s="331" t="s">
        <v>245</v>
      </c>
      <c r="B6" s="322"/>
      <c r="C6" s="322"/>
      <c r="D6" s="322"/>
      <c r="E6" s="322"/>
      <c r="F6" s="322"/>
    </row>
    <row r="8" spans="1:6" ht="54" customHeight="1" x14ac:dyDescent="0.3">
      <c r="A8" s="2" t="s">
        <v>246</v>
      </c>
      <c r="B8" s="328" t="s">
        <v>247</v>
      </c>
      <c r="C8" s="329"/>
      <c r="D8" s="329"/>
      <c r="E8" s="329"/>
      <c r="F8" s="330"/>
    </row>
    <row r="9" spans="1:6" x14ac:dyDescent="0.3">
      <c r="A9" s="82"/>
      <c r="B9" s="332" t="s">
        <v>248</v>
      </c>
      <c r="C9" s="322"/>
      <c r="D9" s="322"/>
      <c r="E9" s="322"/>
      <c r="F9" s="333"/>
    </row>
    <row r="10" spans="1:6" x14ac:dyDescent="0.3">
      <c r="A10" s="82"/>
      <c r="B10" s="335" t="s">
        <v>249</v>
      </c>
      <c r="C10" s="322"/>
      <c r="D10" s="322"/>
      <c r="E10" s="322"/>
      <c r="F10" s="255">
        <f>'1A-Bilant'!C82</f>
        <v>45999447</v>
      </c>
    </row>
    <row r="11" spans="1:6" x14ac:dyDescent="0.3">
      <c r="A11" s="82"/>
      <c r="B11" s="335" t="s">
        <v>250</v>
      </c>
      <c r="C11" s="322"/>
      <c r="D11" s="322"/>
      <c r="E11" s="322"/>
      <c r="F11" s="255">
        <f>'1A-Bilant'!C85</f>
        <v>14697479</v>
      </c>
    </row>
    <row r="12" spans="1:6" x14ac:dyDescent="0.3">
      <c r="A12" s="82"/>
      <c r="B12" s="337" t="s">
        <v>251</v>
      </c>
      <c r="C12" s="322"/>
      <c r="D12" s="322"/>
      <c r="E12" s="322"/>
      <c r="F12" s="256">
        <f>F10+F11</f>
        <v>60696926</v>
      </c>
    </row>
    <row r="13" spans="1:6" ht="27" customHeight="1" x14ac:dyDescent="0.3">
      <c r="A13" s="82"/>
      <c r="B13" s="341" t="s">
        <v>252</v>
      </c>
      <c r="C13" s="322"/>
      <c r="D13" s="322"/>
      <c r="E13" s="322"/>
      <c r="F13" s="333"/>
    </row>
    <row r="14" spans="1:6" ht="25.5" customHeight="1" x14ac:dyDescent="0.3">
      <c r="A14" s="82"/>
      <c r="B14" s="338" t="s">
        <v>253</v>
      </c>
      <c r="C14" s="339"/>
      <c r="D14" s="339"/>
      <c r="E14" s="339"/>
      <c r="F14" s="340"/>
    </row>
    <row r="15" spans="1:6" x14ac:dyDescent="0.3">
      <c r="A15" s="82"/>
      <c r="B15" s="335" t="s">
        <v>254</v>
      </c>
      <c r="C15" s="322"/>
      <c r="D15" s="322"/>
      <c r="E15" s="322"/>
      <c r="F15" s="255">
        <f>'1A-Bilant'!C69</f>
        <v>200</v>
      </c>
    </row>
    <row r="16" spans="1:6" x14ac:dyDescent="0.3">
      <c r="A16" s="82"/>
      <c r="B16" s="335" t="s">
        <v>255</v>
      </c>
      <c r="C16" s="322"/>
      <c r="D16" s="322"/>
      <c r="E16" s="322"/>
      <c r="F16" s="255">
        <f>'1A-Bilant'!C74</f>
        <v>0</v>
      </c>
    </row>
    <row r="17" spans="1:6" x14ac:dyDescent="0.3">
      <c r="A17" s="82"/>
      <c r="B17" s="336" t="s">
        <v>256</v>
      </c>
      <c r="C17" s="322"/>
      <c r="D17" s="322"/>
      <c r="E17" s="322"/>
      <c r="F17" s="255">
        <f>'1A-Bilant'!C75</f>
        <v>1801772</v>
      </c>
    </row>
    <row r="18" spans="1:6" x14ac:dyDescent="0.3">
      <c r="A18" s="82"/>
      <c r="B18" s="336" t="s">
        <v>257</v>
      </c>
      <c r="C18" s="322"/>
      <c r="D18" s="322"/>
      <c r="E18" s="322"/>
      <c r="F18" s="255">
        <f>'1A-Bilant'!C78</f>
        <v>18453</v>
      </c>
    </row>
    <row r="19" spans="1:6" x14ac:dyDescent="0.3">
      <c r="A19" s="82"/>
      <c r="B19" s="334" t="s">
        <v>258</v>
      </c>
      <c r="C19" s="322"/>
      <c r="D19" s="322"/>
      <c r="E19" s="322"/>
      <c r="F19" s="256">
        <f>F12+SUM(F16:F18)</f>
        <v>62517151</v>
      </c>
    </row>
    <row r="20" spans="1:6" ht="29.25" customHeight="1" x14ac:dyDescent="0.3">
      <c r="A20" s="82"/>
      <c r="B20" s="344" t="s">
        <v>259</v>
      </c>
      <c r="C20" s="339"/>
      <c r="D20" s="339"/>
      <c r="E20" s="339"/>
      <c r="F20" s="340"/>
    </row>
    <row r="21" spans="1:6" ht="18" customHeight="1" x14ac:dyDescent="0.3">
      <c r="A21" s="82"/>
      <c r="B21" s="275" t="s">
        <v>260</v>
      </c>
      <c r="C21" s="342" t="str">
        <f>CONCATENATE("Solicitantul ",IF(F12&gt;=0,"nu ",IF(F19&gt;=0,"nu ", IF(ABS(F19)&gt;F15/2,"","nu "))),"se încadrează în categoria întreprinderilor în dificultate")</f>
        <v>Solicitantul nu se încadrează în categoria întreprinderilor în dificultate</v>
      </c>
      <c r="D21" s="322"/>
      <c r="E21" s="322"/>
      <c r="F21" s="333"/>
    </row>
    <row r="22" spans="1:6" x14ac:dyDescent="0.3">
      <c r="A22" s="82"/>
      <c r="B22" s="83"/>
      <c r="C22" s="83"/>
      <c r="D22" s="83"/>
      <c r="E22" s="83"/>
      <c r="F22" s="84"/>
    </row>
    <row r="23" spans="1:6" ht="39" customHeight="1" x14ac:dyDescent="0.3">
      <c r="A23" s="3" t="s">
        <v>261</v>
      </c>
      <c r="B23" s="343" t="s">
        <v>262</v>
      </c>
      <c r="C23" s="329"/>
      <c r="D23" s="329"/>
      <c r="E23" s="329"/>
      <c r="F23" s="329"/>
    </row>
    <row r="24" spans="1:6" ht="26.25" customHeight="1" x14ac:dyDescent="0.3">
      <c r="A24" s="3" t="s">
        <v>263</v>
      </c>
      <c r="B24" s="343" t="s">
        <v>264</v>
      </c>
      <c r="C24" s="329"/>
      <c r="D24" s="329"/>
      <c r="E24" s="329"/>
      <c r="F24" s="329"/>
    </row>
    <row r="27" spans="1:6" ht="25.5" customHeight="1" x14ac:dyDescent="0.3">
      <c r="A27" s="327" t="s">
        <v>265</v>
      </c>
      <c r="B27" s="322"/>
      <c r="C27" s="322"/>
      <c r="D27" s="322"/>
      <c r="E27" s="322"/>
      <c r="F27" s="322"/>
    </row>
  </sheetData>
  <mergeCells count="20">
    <mergeCell ref="A27:F27"/>
    <mergeCell ref="C21:F21"/>
    <mergeCell ref="B24:F24"/>
    <mergeCell ref="B23:F23"/>
    <mergeCell ref="B20:F20"/>
    <mergeCell ref="B10:E10"/>
    <mergeCell ref="B11:E11"/>
    <mergeCell ref="B12:E12"/>
    <mergeCell ref="B14:F14"/>
    <mergeCell ref="B13:F13"/>
    <mergeCell ref="B19:E19"/>
    <mergeCell ref="B15:E15"/>
    <mergeCell ref="B16:E16"/>
    <mergeCell ref="B17:E17"/>
    <mergeCell ref="B18:E18"/>
    <mergeCell ref="A3:F3"/>
    <mergeCell ref="B8:F8"/>
    <mergeCell ref="A4:F4"/>
    <mergeCell ref="A6:F6"/>
    <mergeCell ref="B9:F9"/>
  </mergeCells>
  <pageMargins left="0.42708333333333331" right="0.70866141732283472" top="0.74803149606299213" bottom="0.74803149606299213" header="0.31496062992125978" footer="0.31496062992125978"/>
  <pageSetup paperSize="9" orientation="portrait" blackAndWhite="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N57"/>
  <sheetViews>
    <sheetView workbookViewId="0">
      <selection activeCell="J29" sqref="J29"/>
    </sheetView>
  </sheetViews>
  <sheetFormatPr defaultColWidth="9.109375" defaultRowHeight="13.8" x14ac:dyDescent="0.3"/>
  <cols>
    <col min="1" max="1" width="6.6640625" style="200" customWidth="1"/>
    <col min="2" max="2" width="65" style="107" customWidth="1"/>
    <col min="3" max="3" width="12.33203125" style="201" customWidth="1"/>
    <col min="4" max="4" width="12.33203125" style="202" customWidth="1"/>
    <col min="5" max="5" width="11.77734375" style="203" customWidth="1"/>
    <col min="6" max="7" width="12.33203125" style="203" customWidth="1"/>
    <col min="8" max="13" width="11.44140625" style="246" customWidth="1"/>
    <col min="14" max="14" width="11.5546875" style="246" customWidth="1"/>
    <col min="15" max="15" width="11.5546875" style="270" customWidth="1"/>
    <col min="16" max="16" width="9.109375" style="270" customWidth="1"/>
    <col min="17" max="16384" width="9.109375" style="270"/>
  </cols>
  <sheetData>
    <row r="1" spans="1:14" x14ac:dyDescent="0.3">
      <c r="A1" s="348" t="s">
        <v>266</v>
      </c>
      <c r="B1" s="322"/>
      <c r="C1" s="322"/>
      <c r="D1" s="322"/>
      <c r="E1" s="322"/>
      <c r="F1" s="322"/>
      <c r="G1" s="322"/>
    </row>
    <row r="2" spans="1:14" ht="40.5" customHeight="1" x14ac:dyDescent="0.3">
      <c r="A2" s="318" t="s">
        <v>267</v>
      </c>
      <c r="B2" s="322"/>
      <c r="C2" s="322"/>
      <c r="D2" s="322"/>
      <c r="E2" s="322"/>
      <c r="F2" s="322"/>
      <c r="G2" s="322"/>
    </row>
    <row r="3" spans="1:14" x14ac:dyDescent="0.3">
      <c r="B3" s="326"/>
      <c r="C3" s="322"/>
    </row>
    <row r="4" spans="1:14" ht="13.8" customHeight="1" x14ac:dyDescent="0.3">
      <c r="A4" s="349" t="s">
        <v>268</v>
      </c>
      <c r="B4" s="352" t="s">
        <v>269</v>
      </c>
      <c r="C4" s="352" t="s">
        <v>270</v>
      </c>
      <c r="D4" s="352" t="s">
        <v>271</v>
      </c>
      <c r="E4" s="264" t="s">
        <v>272</v>
      </c>
      <c r="F4" s="246"/>
      <c r="G4" s="246"/>
      <c r="L4" s="270"/>
      <c r="M4" s="270"/>
      <c r="N4" s="270"/>
    </row>
    <row r="5" spans="1:14" s="198" customFormat="1" ht="15" customHeight="1" x14ac:dyDescent="0.3">
      <c r="A5" s="350"/>
      <c r="B5" s="350"/>
      <c r="C5" s="350"/>
      <c r="D5" s="350"/>
      <c r="E5" s="189" t="s">
        <v>273</v>
      </c>
      <c r="F5" s="179"/>
      <c r="G5" s="179"/>
      <c r="H5" s="179"/>
      <c r="I5" s="179"/>
      <c r="J5" s="179"/>
      <c r="K5" s="179"/>
    </row>
    <row r="6" spans="1:14" s="210" customFormat="1" ht="14.4" customHeight="1" x14ac:dyDescent="0.3">
      <c r="A6" s="180" t="str">
        <f>'2A-Buget_cerere'!A5</f>
        <v>1.1</v>
      </c>
      <c r="B6" s="181" t="str">
        <f>'2A-Buget_cerere'!B5</f>
        <v>Cheltuieli cu realizarea/achizitia constructiilor</v>
      </c>
      <c r="C6" s="191">
        <f>'2A-Buget_cerere'!I5</f>
        <v>0</v>
      </c>
      <c r="D6" s="42" t="str">
        <f t="shared" ref="D6:D19" si="0">IF(E6&lt;&gt;C6,"Eroare!","")</f>
        <v/>
      </c>
      <c r="E6" s="34">
        <v>0</v>
      </c>
      <c r="F6" s="209"/>
      <c r="G6" s="209"/>
      <c r="H6" s="209"/>
      <c r="I6" s="209"/>
      <c r="J6" s="209"/>
      <c r="K6" s="209"/>
    </row>
    <row r="7" spans="1:14" s="210" customFormat="1" ht="27.6" customHeight="1" x14ac:dyDescent="0.3">
      <c r="A7" s="180" t="str">
        <f>'2A-Buget_cerere'!A6</f>
        <v>1.2</v>
      </c>
      <c r="B7" s="181" t="str">
        <f>'2A-Buget_cerere'!B6</f>
        <v>Echipamente, inclusiv IT&amp;C, tehnologii software, utilaje, instalatii, tehnologii, dotari independente</v>
      </c>
      <c r="C7" s="191">
        <f>'2A-Buget_cerere'!I6</f>
        <v>2409227.9107050002</v>
      </c>
      <c r="D7" s="42" t="str">
        <f t="shared" si="0"/>
        <v/>
      </c>
      <c r="E7" s="317">
        <v>2409227.9107050002</v>
      </c>
      <c r="F7" s="209"/>
      <c r="G7" s="209"/>
      <c r="H7" s="209"/>
      <c r="I7" s="209"/>
      <c r="J7" s="209"/>
      <c r="K7" s="209"/>
    </row>
    <row r="8" spans="1:14" s="215" customFormat="1" ht="14.4" customHeight="1" x14ac:dyDescent="0.3">
      <c r="A8" s="180" t="str">
        <f>'2A-Buget_cerere'!A7</f>
        <v>1.3</v>
      </c>
      <c r="B8" s="181" t="str">
        <f>'2A-Buget_cerere'!B7</f>
        <v>Mobilier de birou si mobilier specific</v>
      </c>
      <c r="C8" s="191">
        <f>'2A-Buget_cerere'!I7</f>
        <v>0</v>
      </c>
      <c r="D8" s="42" t="str">
        <f t="shared" si="0"/>
        <v/>
      </c>
      <c r="E8" s="34">
        <v>0</v>
      </c>
      <c r="F8" s="214"/>
      <c r="G8" s="209"/>
      <c r="H8" s="214"/>
      <c r="I8" s="214"/>
      <c r="J8" s="214"/>
      <c r="K8" s="214"/>
    </row>
    <row r="9" spans="1:14" s="210" customFormat="1" ht="14.4" customHeight="1" x14ac:dyDescent="0.3">
      <c r="A9" s="180" t="str">
        <f>'2A-Buget_cerere'!A8</f>
        <v>1.4</v>
      </c>
      <c r="B9" s="181" t="str">
        <f>'2A-Buget_cerere'!B8</f>
        <v>Terenuri in limita a 10% din valoarea eligibila a proiectului</v>
      </c>
      <c r="C9" s="191">
        <f>'2A-Buget_cerere'!I8</f>
        <v>0</v>
      </c>
      <c r="D9" s="42" t="str">
        <f t="shared" si="0"/>
        <v/>
      </c>
      <c r="E9" s="34">
        <v>0</v>
      </c>
      <c r="F9" s="209"/>
      <c r="G9" s="209"/>
      <c r="H9" s="316"/>
      <c r="I9" s="209"/>
      <c r="J9" s="209"/>
      <c r="K9" s="209"/>
    </row>
    <row r="10" spans="1:14" s="210" customFormat="1" ht="27.6" customHeight="1" x14ac:dyDescent="0.3">
      <c r="A10" s="180" t="str">
        <f>'2A-Buget_cerere'!A9</f>
        <v>1.5</v>
      </c>
      <c r="B10" s="181" t="str">
        <f>'2A-Buget_cerere'!B9</f>
        <v>Cheltuieli de sistemizare si amenajare teritoriale a terenurilor, cheltuieli de mediu, cheltuieli cu racordarea la utilitati, cheltuieli privind accesibilitatea</v>
      </c>
      <c r="C10" s="191">
        <f>'2A-Buget_cerere'!I9</f>
        <v>0</v>
      </c>
      <c r="D10" s="42" t="str">
        <f t="shared" si="0"/>
        <v/>
      </c>
      <c r="E10" s="34">
        <v>0</v>
      </c>
      <c r="F10" s="209"/>
      <c r="G10" s="209"/>
      <c r="H10" s="209"/>
      <c r="I10" s="209"/>
      <c r="J10" s="209"/>
      <c r="K10" s="209"/>
    </row>
    <row r="11" spans="1:14" s="210" customFormat="1" ht="27.6" customHeight="1" x14ac:dyDescent="0.3">
      <c r="A11" s="180" t="str">
        <f>'2A-Buget_cerere'!A10</f>
        <v>1.6</v>
      </c>
      <c r="B11" s="181" t="str">
        <f>'2A-Buget_cerere'!B10</f>
        <v>Cheltuieli cu consultanta si proiectarea, managementul de proiect, asistenta tehnica, dirigentia de santier</v>
      </c>
      <c r="C11" s="191">
        <f>'2A-Buget_cerere'!I10</f>
        <v>0</v>
      </c>
      <c r="D11" s="42" t="str">
        <f t="shared" si="0"/>
        <v/>
      </c>
      <c r="E11" s="34">
        <v>0</v>
      </c>
      <c r="F11" s="209"/>
      <c r="G11" s="209"/>
      <c r="H11" s="209"/>
      <c r="I11" s="209"/>
      <c r="J11" s="209"/>
      <c r="K11" s="209"/>
    </row>
    <row r="12" spans="1:14" s="210" customFormat="1" ht="27.6" customHeight="1" x14ac:dyDescent="0.3">
      <c r="A12" s="180" t="str">
        <f>'2A-Buget_cerere'!A11</f>
        <v>1.7</v>
      </c>
      <c r="B12" s="181" t="str">
        <f>'2A-Buget_cerere'!B11</f>
        <v>Cheltuieli de promovare, participare la targuri, evenimente, conferinte, cheltuieli privind studiile</v>
      </c>
      <c r="C12" s="191">
        <f>'2A-Buget_cerere'!I11</f>
        <v>0</v>
      </c>
      <c r="D12" s="42" t="str">
        <f t="shared" si="0"/>
        <v/>
      </c>
      <c r="E12" s="34">
        <v>0</v>
      </c>
      <c r="F12" s="209"/>
      <c r="G12" s="209"/>
      <c r="H12" s="209"/>
      <c r="I12" s="209"/>
      <c r="J12" s="209"/>
      <c r="K12" s="209"/>
    </row>
    <row r="13" spans="1:14" s="210" customFormat="1" ht="14.4" customHeight="1" x14ac:dyDescent="0.3">
      <c r="A13" s="180" t="str">
        <f>'2A-Buget_cerere'!A12</f>
        <v>1.8</v>
      </c>
      <c r="B13" s="181" t="str">
        <f>'2A-Buget_cerere'!B12</f>
        <v>Cheltuieli privind drepturile de proprietate intelectuala</v>
      </c>
      <c r="C13" s="191">
        <f>'2A-Buget_cerere'!I12</f>
        <v>0</v>
      </c>
      <c r="D13" s="42" t="str">
        <f t="shared" si="0"/>
        <v/>
      </c>
      <c r="E13" s="34">
        <v>0</v>
      </c>
      <c r="F13" s="209"/>
      <c r="G13" s="209"/>
      <c r="H13" s="209"/>
      <c r="I13" s="209"/>
      <c r="J13" s="209"/>
      <c r="K13" s="209"/>
    </row>
    <row r="14" spans="1:14" s="210" customFormat="1" ht="27.6" customHeight="1" x14ac:dyDescent="0.3">
      <c r="A14" s="180" t="str">
        <f>'2A-Buget_cerere'!A13</f>
        <v>1.9</v>
      </c>
      <c r="B14" s="181" t="str">
        <f>'2A-Buget_cerere'!B13</f>
        <v>Active necorporale referitoare la brevete de inventie, marci de produse, software necesar activitatii</v>
      </c>
      <c r="C14" s="191">
        <f>'2A-Buget_cerere'!I13</f>
        <v>0</v>
      </c>
      <c r="D14" s="42" t="str">
        <f t="shared" si="0"/>
        <v/>
      </c>
      <c r="E14" s="34">
        <v>0</v>
      </c>
      <c r="F14" s="209"/>
      <c r="G14" s="209"/>
      <c r="H14" s="209"/>
      <c r="I14" s="209"/>
      <c r="J14" s="209"/>
      <c r="K14" s="209"/>
    </row>
    <row r="15" spans="1:14" s="210" customFormat="1" ht="27.6" customHeight="1" x14ac:dyDescent="0.3">
      <c r="A15" s="180" t="str">
        <f>'2A-Buget_cerere'!A14</f>
        <v>2.1</v>
      </c>
      <c r="B15" s="181" t="str">
        <f>'2A-Buget_cerere'!B14</f>
        <v>Cheltuieli pentru realizare de depozite de echipamente medicale, medicamente, materiale sanitare, destinate interventiei pentru situatii de urgenta</v>
      </c>
      <c r="C15" s="191">
        <f>'2A-Buget_cerere'!I14</f>
        <v>0</v>
      </c>
      <c r="D15" s="42" t="str">
        <f t="shared" si="0"/>
        <v/>
      </c>
      <c r="E15" s="34"/>
      <c r="F15" s="209"/>
      <c r="G15" s="209"/>
      <c r="H15" s="209"/>
      <c r="I15" s="209"/>
      <c r="J15" s="209"/>
      <c r="K15" s="209"/>
    </row>
    <row r="16" spans="1:14" s="210" customFormat="1" ht="27.6" customHeight="1" x14ac:dyDescent="0.3">
      <c r="A16" s="122" t="s">
        <v>274</v>
      </c>
      <c r="B16" s="85" t="s">
        <v>275</v>
      </c>
      <c r="C16" s="191">
        <f>'2A-Buget_cerere'!I15</f>
        <v>0</v>
      </c>
      <c r="D16" s="42" t="str">
        <f t="shared" si="0"/>
        <v/>
      </c>
      <c r="E16" s="34"/>
      <c r="F16" s="209"/>
      <c r="G16" s="209"/>
      <c r="H16" s="209"/>
      <c r="I16" s="209"/>
      <c r="J16" s="209"/>
      <c r="K16" s="209"/>
    </row>
    <row r="17" spans="1:14" s="210" customFormat="1" ht="27.6" customHeight="1" x14ac:dyDescent="0.3">
      <c r="A17" s="122" t="s">
        <v>276</v>
      </c>
      <c r="B17" s="85" t="s">
        <v>277</v>
      </c>
      <c r="C17" s="191">
        <f>'2A-Buget_cerere'!I16</f>
        <v>0</v>
      </c>
      <c r="D17" s="42" t="str">
        <f t="shared" si="0"/>
        <v/>
      </c>
      <c r="E17" s="34">
        <v>0</v>
      </c>
      <c r="F17" s="209"/>
      <c r="G17" s="209"/>
      <c r="H17" s="209"/>
      <c r="I17" s="209"/>
      <c r="J17" s="209"/>
      <c r="K17" s="209"/>
    </row>
    <row r="18" spans="1:14" s="210" customFormat="1" ht="41.4" customHeight="1" x14ac:dyDescent="0.3">
      <c r="A18" s="180" t="str">
        <f>'2A-Buget_cerere'!A17</f>
        <v>3.3</v>
      </c>
      <c r="B18" s="181" t="str">
        <f>'2A-Buget_cerere'!B17</f>
        <v>Cheltuieli privind dotarea mijloacelor de transport existente cu echipamente si tehnologii care conduc la imbunatatirea confortului/calitatii serviciilor de transport persoane si marfuri prestate</v>
      </c>
      <c r="C18" s="191">
        <f>'2A-Buget_cerere'!I17</f>
        <v>0</v>
      </c>
      <c r="D18" s="42" t="str">
        <f t="shared" si="0"/>
        <v/>
      </c>
      <c r="E18" s="34">
        <v>0</v>
      </c>
      <c r="F18" s="209"/>
      <c r="G18" s="209"/>
      <c r="H18" s="209"/>
      <c r="I18" s="209"/>
      <c r="J18" s="209"/>
      <c r="K18" s="209"/>
    </row>
    <row r="19" spans="1:14" s="185" customFormat="1" ht="14.4" customHeight="1" x14ac:dyDescent="0.3">
      <c r="A19" s="183"/>
      <c r="B19" s="184" t="str">
        <f>'2A-Buget_cerere'!B18</f>
        <v>TOTAL GENERAL</v>
      </c>
      <c r="C19" s="191">
        <f>'2A-Buget_cerere'!I18</f>
        <v>2409227.9107050002</v>
      </c>
      <c r="D19" s="42" t="str">
        <f t="shared" si="0"/>
        <v/>
      </c>
      <c r="E19" s="182">
        <f>SUM(E6:E18)</f>
        <v>2409227.9107050002</v>
      </c>
      <c r="F19" s="214"/>
      <c r="G19" s="209"/>
      <c r="H19" s="214"/>
      <c r="I19" s="214"/>
      <c r="J19" s="214"/>
      <c r="K19" s="214"/>
    </row>
    <row r="20" spans="1:14" s="187" customFormat="1" x14ac:dyDescent="0.3">
      <c r="A20" s="278"/>
      <c r="B20" s="186"/>
      <c r="C20" s="201"/>
      <c r="D20" s="202"/>
      <c r="E20" s="203"/>
      <c r="F20" s="203"/>
      <c r="G20" s="203"/>
      <c r="H20" s="209"/>
      <c r="I20" s="209"/>
      <c r="J20" s="209"/>
      <c r="K20" s="209"/>
      <c r="L20" s="209"/>
      <c r="M20" s="209"/>
      <c r="N20" s="209"/>
    </row>
    <row r="21" spans="1:14" s="187" customFormat="1" x14ac:dyDescent="0.3">
      <c r="A21" s="278"/>
      <c r="B21" s="188"/>
      <c r="C21" s="201"/>
      <c r="D21" s="202"/>
      <c r="E21" s="203"/>
      <c r="F21" s="203"/>
      <c r="G21" s="203"/>
      <c r="H21" s="209"/>
      <c r="I21" s="209"/>
      <c r="J21" s="209"/>
      <c r="K21" s="209"/>
      <c r="L21" s="209"/>
      <c r="M21" s="209"/>
      <c r="N21" s="209"/>
    </row>
    <row r="22" spans="1:14" s="225" customFormat="1" x14ac:dyDescent="0.3">
      <c r="A22" s="353" t="s">
        <v>278</v>
      </c>
      <c r="B22" s="340"/>
      <c r="C22" s="351" t="s">
        <v>270</v>
      </c>
      <c r="D22" s="352" t="s">
        <v>271</v>
      </c>
      <c r="E22" s="265" t="s">
        <v>272</v>
      </c>
      <c r="F22" s="246"/>
      <c r="G22" s="209"/>
      <c r="H22" s="246"/>
      <c r="I22" s="246"/>
      <c r="J22" s="246"/>
      <c r="K22" s="246"/>
    </row>
    <row r="23" spans="1:14" s="190" customFormat="1" x14ac:dyDescent="0.3">
      <c r="A23" s="354"/>
      <c r="B23" s="355"/>
      <c r="C23" s="350"/>
      <c r="D23" s="350"/>
      <c r="E23" s="189" t="s">
        <v>273</v>
      </c>
      <c r="F23" s="179"/>
      <c r="G23" s="209"/>
      <c r="H23" s="179"/>
      <c r="I23" s="179"/>
      <c r="J23" s="179"/>
      <c r="K23" s="179"/>
    </row>
    <row r="24" spans="1:14" s="193" customFormat="1" x14ac:dyDescent="0.3">
      <c r="A24" s="345" t="s">
        <v>279</v>
      </c>
      <c r="B24" s="330"/>
      <c r="C24" s="191">
        <f>'2A-Buget_cerere'!C23</f>
        <v>2409227.9107050002</v>
      </c>
      <c r="D24" s="42" t="str">
        <f>IF(E24&lt;&gt;C24,"Eroare!","")</f>
        <v/>
      </c>
      <c r="E24" s="39">
        <f>E19</f>
        <v>2409227.9107050002</v>
      </c>
      <c r="F24" s="192"/>
      <c r="G24" s="209"/>
      <c r="H24" s="192"/>
      <c r="I24" s="192"/>
      <c r="J24" s="192"/>
      <c r="K24" s="192"/>
    </row>
    <row r="25" spans="1:14" s="193" customFormat="1" x14ac:dyDescent="0.3">
      <c r="A25" s="347" t="s">
        <v>280</v>
      </c>
      <c r="B25" s="330"/>
      <c r="C25" s="251">
        <f>'2A-Buget_cerere'!G18</f>
        <v>384666.64120499999</v>
      </c>
      <c r="D25" s="42" t="str">
        <f>IF(E25&lt;&gt;C25,"Eroare!","")</f>
        <v/>
      </c>
      <c r="E25" s="259">
        <v>384666.64120499999</v>
      </c>
      <c r="F25" s="192"/>
      <c r="G25" s="209"/>
      <c r="H25" s="192"/>
      <c r="I25" s="192"/>
      <c r="J25" s="192"/>
      <c r="K25" s="192"/>
    </row>
    <row r="26" spans="1:14" s="193" customFormat="1" x14ac:dyDescent="0.3">
      <c r="A26" s="345" t="s">
        <v>281</v>
      </c>
      <c r="B26" s="330"/>
      <c r="C26" s="191">
        <f>'2A-Buget_cerere'!C26</f>
        <v>1457684.1140399999</v>
      </c>
      <c r="D26" s="42" t="str">
        <f>IF(E26&lt;&gt;C26,"Eroare!","")</f>
        <v/>
      </c>
      <c r="E26" s="39">
        <v>1457684.1140399999</v>
      </c>
      <c r="F26" s="192"/>
      <c r="G26" s="209"/>
      <c r="H26" s="192"/>
      <c r="I26" s="192"/>
      <c r="J26" s="192"/>
      <c r="K26" s="192"/>
    </row>
    <row r="27" spans="1:14" s="190" customFormat="1" x14ac:dyDescent="0.3">
      <c r="A27" s="346" t="s">
        <v>282</v>
      </c>
      <c r="B27" s="330"/>
      <c r="C27" s="191"/>
      <c r="D27" s="42"/>
      <c r="E27" s="34">
        <v>1457684.1140399999</v>
      </c>
      <c r="F27" s="179"/>
      <c r="G27" s="209"/>
      <c r="H27" s="179"/>
      <c r="I27" s="179"/>
      <c r="J27" s="179"/>
      <c r="K27" s="179"/>
    </row>
    <row r="28" spans="1:14" s="190" customFormat="1" x14ac:dyDescent="0.3">
      <c r="A28" s="346" t="s">
        <v>283</v>
      </c>
      <c r="B28" s="330"/>
      <c r="C28" s="191"/>
      <c r="D28" s="42"/>
      <c r="E28" s="34">
        <v>0</v>
      </c>
      <c r="F28" s="179"/>
      <c r="G28" s="209"/>
      <c r="H28" s="179"/>
      <c r="I28" s="179"/>
      <c r="J28" s="179"/>
      <c r="K28" s="179"/>
    </row>
    <row r="29" spans="1:14" s="193" customFormat="1" x14ac:dyDescent="0.3">
      <c r="A29" s="345" t="str">
        <f>'2A-Buget_cerere'!B29</f>
        <v>ASISTENŢĂ FINANCIARĂ NERAMBURSABILĂ SOLICITATĂ</v>
      </c>
      <c r="B29" s="330"/>
      <c r="C29" s="191">
        <f>'2A-Buget_cerere'!C29</f>
        <v>951543.79666500026</v>
      </c>
      <c r="D29" s="42" t="str">
        <f>IF(E29&lt;&gt;C29,"Eroare!","")</f>
        <v/>
      </c>
      <c r="E29" s="34">
        <v>951543.79666500003</v>
      </c>
      <c r="F29" s="192"/>
      <c r="G29" s="209"/>
      <c r="H29" s="192"/>
      <c r="I29" s="192"/>
      <c r="J29" s="192"/>
      <c r="K29" s="192"/>
    </row>
    <row r="30" spans="1:14" s="199" customFormat="1" ht="14.4" customHeight="1" x14ac:dyDescent="0.3">
      <c r="A30" s="194"/>
      <c r="B30" s="195"/>
      <c r="C30" s="201"/>
      <c r="D30" s="202"/>
      <c r="E30" s="203"/>
      <c r="F30" s="203"/>
      <c r="G30" s="203"/>
      <c r="H30" s="192"/>
      <c r="I30" s="209"/>
      <c r="J30" s="192"/>
      <c r="K30" s="192"/>
      <c r="L30" s="192"/>
      <c r="M30" s="192"/>
      <c r="N30" s="192"/>
    </row>
    <row r="31" spans="1:14" s="199" customFormat="1" ht="14.4" customHeight="1" x14ac:dyDescent="0.3">
      <c r="A31" s="194"/>
      <c r="B31" s="196"/>
      <c r="C31" s="201"/>
      <c r="D31" s="202"/>
      <c r="E31" s="203"/>
      <c r="F31" s="203"/>
      <c r="G31" s="203"/>
      <c r="H31" s="192"/>
      <c r="I31" s="192"/>
      <c r="J31" s="192"/>
      <c r="K31" s="192"/>
      <c r="L31" s="192"/>
      <c r="M31" s="192"/>
      <c r="N31" s="192"/>
    </row>
    <row r="32" spans="1:14" s="198" customFormat="1" ht="14.4" customHeight="1" x14ac:dyDescent="0.3">
      <c r="A32" s="356" t="s">
        <v>284</v>
      </c>
      <c r="B32" s="357"/>
      <c r="C32" s="357"/>
      <c r="D32" s="202"/>
      <c r="E32" s="203"/>
      <c r="F32" s="203"/>
      <c r="G32" s="203"/>
      <c r="H32" s="179"/>
      <c r="I32" s="179"/>
      <c r="J32" s="179"/>
      <c r="K32" s="179"/>
      <c r="L32" s="179"/>
      <c r="M32" s="179"/>
      <c r="N32" s="179"/>
    </row>
    <row r="33" spans="1:14" s="198" customFormat="1" ht="15" customHeight="1" x14ac:dyDescent="0.3">
      <c r="A33" s="360" t="s">
        <v>285</v>
      </c>
      <c r="B33" s="330"/>
      <c r="C33" s="197" t="s">
        <v>286</v>
      </c>
      <c r="D33" s="189" t="s">
        <v>273</v>
      </c>
      <c r="E33" s="189" t="s">
        <v>287</v>
      </c>
      <c r="F33" s="189" t="s">
        <v>288</v>
      </c>
      <c r="G33" s="189" t="s">
        <v>289</v>
      </c>
      <c r="N33" s="179"/>
    </row>
    <row r="34" spans="1:14" s="198" customFormat="1" ht="15" customHeight="1" x14ac:dyDescent="0.3">
      <c r="A34" s="359" t="s">
        <v>290</v>
      </c>
      <c r="B34" s="330"/>
      <c r="C34" s="42">
        <f>SUM(D34:G34)</f>
        <v>0</v>
      </c>
      <c r="D34" s="39">
        <f>E28</f>
        <v>0</v>
      </c>
      <c r="E34" s="39"/>
      <c r="F34" s="39"/>
      <c r="G34" s="39"/>
      <c r="N34" s="179"/>
    </row>
    <row r="35" spans="1:14" s="198" customFormat="1" ht="15" customHeight="1" x14ac:dyDescent="0.3">
      <c r="A35" s="359" t="s">
        <v>291</v>
      </c>
      <c r="B35" s="330"/>
      <c r="C35" s="42">
        <f>SUM(D35:G35)</f>
        <v>0</v>
      </c>
      <c r="D35" s="34">
        <v>0</v>
      </c>
      <c r="E35" s="34">
        <v>0</v>
      </c>
      <c r="F35" s="34">
        <v>0</v>
      </c>
      <c r="G35" s="34">
        <v>0</v>
      </c>
      <c r="N35" s="179"/>
    </row>
    <row r="36" spans="1:14" s="198" customFormat="1" ht="15" customHeight="1" x14ac:dyDescent="0.3">
      <c r="A36" s="359" t="s">
        <v>292</v>
      </c>
      <c r="B36" s="330"/>
      <c r="C36" s="42">
        <f>SUM(D36:G36)</f>
        <v>0</v>
      </c>
      <c r="D36" s="34">
        <v>0</v>
      </c>
      <c r="E36" s="34">
        <v>0</v>
      </c>
      <c r="F36" s="34">
        <v>0</v>
      </c>
      <c r="G36" s="34">
        <v>0</v>
      </c>
      <c r="N36" s="179"/>
    </row>
    <row r="37" spans="1:14" s="199" customFormat="1" ht="15" customHeight="1" x14ac:dyDescent="0.3">
      <c r="A37" s="358" t="s">
        <v>293</v>
      </c>
      <c r="B37" s="330"/>
      <c r="C37" s="42">
        <f>SUM(D37:G37)</f>
        <v>0</v>
      </c>
      <c r="D37" s="39">
        <f>D36+D35</f>
        <v>0</v>
      </c>
      <c r="E37" s="39">
        <f>E36+E35</f>
        <v>0</v>
      </c>
      <c r="F37" s="39">
        <f>F36+F35</f>
        <v>0</v>
      </c>
      <c r="G37" s="39">
        <f>G36+G35</f>
        <v>0</v>
      </c>
      <c r="N37" s="192"/>
    </row>
    <row r="38" spans="1:14" s="198" customFormat="1" ht="14.4" customHeight="1" x14ac:dyDescent="0.3">
      <c r="A38" s="278"/>
      <c r="B38" s="274"/>
      <c r="C38" s="201"/>
      <c r="D38" s="202"/>
      <c r="G38" s="230"/>
      <c r="H38" s="179"/>
      <c r="I38" s="179"/>
      <c r="J38" s="179"/>
      <c r="K38" s="179"/>
      <c r="L38" s="179"/>
      <c r="M38" s="179"/>
      <c r="N38" s="179"/>
    </row>
    <row r="39" spans="1:14" s="198" customFormat="1" ht="14.4" customHeight="1" x14ac:dyDescent="0.3">
      <c r="A39" s="278"/>
      <c r="B39" s="274"/>
      <c r="C39" s="201"/>
      <c r="D39" s="202"/>
      <c r="E39" s="203"/>
      <c r="F39" s="203"/>
      <c r="G39" s="203"/>
      <c r="H39" s="179"/>
      <c r="I39" s="179"/>
      <c r="J39" s="179"/>
      <c r="K39" s="179"/>
      <c r="L39" s="179"/>
      <c r="M39" s="179"/>
      <c r="N39" s="179"/>
    </row>
    <row r="40" spans="1:14" s="198" customFormat="1" ht="14.4" customHeight="1" x14ac:dyDescent="0.3">
      <c r="A40" s="361" t="s">
        <v>294</v>
      </c>
      <c r="B40" s="357"/>
      <c r="C40" s="333"/>
      <c r="D40" s="189" t="s">
        <v>273</v>
      </c>
      <c r="E40" s="263" t="s">
        <v>287</v>
      </c>
      <c r="F40" s="189" t="s">
        <v>288</v>
      </c>
      <c r="G40" s="189" t="s">
        <v>289</v>
      </c>
      <c r="H40" s="179"/>
      <c r="I40" s="179"/>
      <c r="J40" s="179"/>
      <c r="K40" s="179"/>
      <c r="L40" s="179"/>
      <c r="M40" s="179"/>
      <c r="N40" s="179"/>
    </row>
    <row r="41" spans="1:14" s="198" customFormat="1" ht="14.4" customHeight="1" x14ac:dyDescent="0.3">
      <c r="A41" s="359" t="s">
        <v>156</v>
      </c>
      <c r="B41" s="329"/>
      <c r="C41" s="330"/>
      <c r="D41" s="34">
        <v>0</v>
      </c>
      <c r="E41" s="34">
        <v>0</v>
      </c>
      <c r="F41" s="34">
        <v>0</v>
      </c>
      <c r="G41" s="34">
        <v>0</v>
      </c>
      <c r="H41" s="179"/>
      <c r="I41" s="179"/>
      <c r="J41" s="179"/>
      <c r="K41" s="179"/>
      <c r="L41" s="179"/>
      <c r="M41" s="179"/>
      <c r="N41" s="179"/>
    </row>
    <row r="42" spans="1:14" s="198" customFormat="1" ht="14.4" customHeight="1" x14ac:dyDescent="0.3">
      <c r="A42" s="359" t="s">
        <v>295</v>
      </c>
      <c r="B42" s="329"/>
      <c r="C42" s="330"/>
      <c r="D42" s="39">
        <f>D34-D35</f>
        <v>0</v>
      </c>
      <c r="E42" s="176">
        <f>D42+E34-E35</f>
        <v>0</v>
      </c>
      <c r="F42" s="39">
        <f>E42+F34-F35</f>
        <v>0</v>
      </c>
      <c r="G42" s="39">
        <f>F42+G34-G35</f>
        <v>0</v>
      </c>
      <c r="H42" s="278"/>
      <c r="I42" s="179"/>
      <c r="J42" s="179"/>
      <c r="K42" s="179"/>
      <c r="L42" s="179"/>
      <c r="M42" s="179"/>
      <c r="N42" s="179"/>
    </row>
    <row r="43" spans="1:14" s="198" customFormat="1" ht="14.4" customHeight="1" x14ac:dyDescent="0.3">
      <c r="A43" s="359" t="s">
        <v>296</v>
      </c>
      <c r="B43" s="329"/>
      <c r="C43" s="330"/>
      <c r="D43" s="34">
        <v>0</v>
      </c>
      <c r="E43" s="34">
        <v>0</v>
      </c>
      <c r="F43" s="34">
        <v>0</v>
      </c>
      <c r="G43" s="34">
        <v>0</v>
      </c>
      <c r="H43" s="179"/>
      <c r="I43" s="179"/>
      <c r="J43" s="179"/>
      <c r="K43" s="179"/>
      <c r="L43" s="179"/>
      <c r="M43" s="179"/>
      <c r="N43" s="179"/>
    </row>
    <row r="44" spans="1:14" s="198" customFormat="1" ht="14.4" customHeight="1" x14ac:dyDescent="0.3">
      <c r="A44" s="359" t="s">
        <v>297</v>
      </c>
      <c r="B44" s="329"/>
      <c r="C44" s="330"/>
      <c r="D44" s="34">
        <v>0</v>
      </c>
      <c r="E44" s="34">
        <v>0</v>
      </c>
      <c r="F44" s="34">
        <v>0</v>
      </c>
      <c r="G44" s="34">
        <v>0</v>
      </c>
      <c r="H44" s="179"/>
      <c r="I44" s="179"/>
      <c r="J44" s="179"/>
      <c r="K44" s="179"/>
      <c r="L44" s="179"/>
      <c r="M44" s="179"/>
      <c r="N44" s="179"/>
    </row>
    <row r="45" spans="1:14" s="198" customFormat="1" ht="14.4" customHeight="1" x14ac:dyDescent="0.3">
      <c r="A45" s="359" t="s">
        <v>298</v>
      </c>
      <c r="B45" s="329"/>
      <c r="C45" s="330"/>
      <c r="D45" s="182" t="str">
        <f>IFERROR(SUM(D42:D44)/(SUM(D42:D44)+D41),"")</f>
        <v/>
      </c>
      <c r="E45" s="175" t="str">
        <f>IFERROR(SUM(E42:E44)/(SUM(E42:E44)+E41),"")</f>
        <v/>
      </c>
      <c r="F45" s="182" t="str">
        <f>IFERROR(SUM(F42:F44)/(SUM(F42:F44)+F41),"")</f>
        <v/>
      </c>
      <c r="G45" s="182" t="str">
        <f>IFERROR(SUM(G42:G44)/(SUM(G42:G44)+G41),"")</f>
        <v/>
      </c>
      <c r="H45" s="179"/>
      <c r="I45" s="179"/>
      <c r="J45" s="179"/>
      <c r="K45" s="179"/>
      <c r="L45" s="179"/>
      <c r="M45" s="179"/>
      <c r="N45" s="179"/>
    </row>
    <row r="46" spans="1:14" s="198" customFormat="1" ht="14.4" customHeight="1" x14ac:dyDescent="0.3">
      <c r="A46" s="278"/>
      <c r="B46" s="274"/>
      <c r="C46" s="201"/>
      <c r="D46" s="202"/>
      <c r="E46" s="203"/>
      <c r="F46" s="203"/>
      <c r="G46" s="203"/>
      <c r="H46" s="179"/>
      <c r="I46" s="179"/>
      <c r="J46" s="179"/>
      <c r="K46" s="179"/>
      <c r="L46" s="179"/>
      <c r="M46" s="179"/>
      <c r="N46" s="179"/>
    </row>
    <row r="47" spans="1:14" s="198" customFormat="1" ht="14.4" customHeight="1" x14ac:dyDescent="0.3">
      <c r="A47" s="278"/>
      <c r="B47" s="274"/>
      <c r="C47" s="201"/>
      <c r="D47" s="202"/>
      <c r="E47" s="203"/>
      <c r="F47" s="203"/>
      <c r="G47" s="203"/>
      <c r="H47" s="179"/>
      <c r="I47" s="179"/>
      <c r="J47" s="179"/>
      <c r="K47" s="179"/>
      <c r="L47" s="179"/>
      <c r="M47" s="179"/>
      <c r="N47" s="179"/>
    </row>
    <row r="48" spans="1:14" s="198" customFormat="1" ht="14.4" customHeight="1" x14ac:dyDescent="0.3">
      <c r="A48" s="278"/>
      <c r="B48" s="274"/>
      <c r="C48" s="201"/>
      <c r="D48" s="202"/>
      <c r="E48" s="203"/>
      <c r="F48" s="203"/>
      <c r="G48" s="203"/>
      <c r="H48" s="179"/>
      <c r="I48" s="179"/>
      <c r="J48" s="179"/>
      <c r="K48" s="179"/>
      <c r="L48" s="179"/>
      <c r="M48" s="179"/>
      <c r="N48" s="179"/>
    </row>
    <row r="49" spans="1:14" s="198" customFormat="1" ht="14.4" customHeight="1" x14ac:dyDescent="0.3">
      <c r="A49" s="278"/>
      <c r="B49" s="274"/>
      <c r="C49" s="201"/>
      <c r="D49" s="202"/>
      <c r="E49" s="203"/>
      <c r="F49" s="203"/>
      <c r="G49" s="203"/>
      <c r="H49" s="179"/>
      <c r="I49" s="179"/>
      <c r="J49" s="179"/>
      <c r="K49" s="179"/>
      <c r="L49" s="179"/>
      <c r="M49" s="179"/>
      <c r="N49" s="179"/>
    </row>
    <row r="50" spans="1:14" s="198" customFormat="1" ht="14.4" customHeight="1" x14ac:dyDescent="0.3">
      <c r="A50" s="278"/>
      <c r="B50" s="274"/>
      <c r="C50" s="201"/>
      <c r="D50" s="202"/>
      <c r="E50" s="203"/>
      <c r="F50" s="203"/>
      <c r="G50" s="203"/>
      <c r="H50" s="179"/>
      <c r="I50" s="179"/>
      <c r="J50" s="179"/>
      <c r="K50" s="179"/>
      <c r="L50" s="179"/>
      <c r="M50" s="179"/>
      <c r="N50" s="179"/>
    </row>
    <row r="51" spans="1:14" s="198" customFormat="1" ht="14.4" customHeight="1" x14ac:dyDescent="0.3">
      <c r="A51" s="278"/>
      <c r="B51" s="274"/>
      <c r="C51" s="201"/>
      <c r="D51" s="202"/>
      <c r="E51" s="203"/>
      <c r="F51" s="203"/>
      <c r="G51" s="203"/>
      <c r="H51" s="179"/>
      <c r="I51" s="179"/>
      <c r="J51" s="179"/>
      <c r="K51" s="179"/>
      <c r="L51" s="179"/>
      <c r="M51" s="179"/>
      <c r="N51" s="179"/>
    </row>
    <row r="52" spans="1:14" s="198" customFormat="1" ht="14.4" customHeight="1" x14ac:dyDescent="0.3">
      <c r="A52" s="278"/>
      <c r="B52" s="274"/>
      <c r="C52" s="201"/>
      <c r="D52" s="202"/>
      <c r="E52" s="203"/>
      <c r="F52" s="203"/>
      <c r="G52" s="203"/>
      <c r="H52" s="179"/>
      <c r="I52" s="179"/>
      <c r="J52" s="179"/>
      <c r="K52" s="179"/>
      <c r="L52" s="179"/>
      <c r="M52" s="179"/>
      <c r="N52" s="179"/>
    </row>
    <row r="53" spans="1:14" s="198" customFormat="1" ht="14.4" customHeight="1" x14ac:dyDescent="0.3">
      <c r="A53" s="278"/>
      <c r="B53" s="274"/>
      <c r="C53" s="201"/>
      <c r="D53" s="202"/>
      <c r="E53" s="203"/>
      <c r="F53" s="203"/>
      <c r="G53" s="203"/>
      <c r="H53" s="179"/>
      <c r="I53" s="179"/>
      <c r="J53" s="179"/>
      <c r="K53" s="179"/>
      <c r="L53" s="179"/>
      <c r="M53" s="179"/>
      <c r="N53" s="179"/>
    </row>
    <row r="54" spans="1:14" s="198" customFormat="1" ht="14.4" customHeight="1" x14ac:dyDescent="0.3">
      <c r="A54" s="278"/>
      <c r="B54" s="274"/>
      <c r="C54" s="201"/>
      <c r="D54" s="202"/>
      <c r="E54" s="203"/>
      <c r="F54" s="203"/>
      <c r="G54" s="203"/>
      <c r="H54" s="179"/>
      <c r="I54" s="179"/>
      <c r="J54" s="179"/>
      <c r="K54" s="179"/>
      <c r="L54" s="179"/>
      <c r="M54" s="179"/>
      <c r="N54" s="179"/>
    </row>
    <row r="55" spans="1:14" s="198" customFormat="1" ht="14.4" customHeight="1" x14ac:dyDescent="0.3">
      <c r="A55" s="278"/>
      <c r="B55" s="274"/>
      <c r="C55" s="201"/>
      <c r="D55" s="202"/>
      <c r="E55" s="203"/>
      <c r="F55" s="203"/>
      <c r="G55" s="203"/>
      <c r="H55" s="179"/>
      <c r="I55" s="179"/>
      <c r="J55" s="179"/>
      <c r="K55" s="179"/>
      <c r="L55" s="179"/>
      <c r="M55" s="179"/>
      <c r="N55" s="179"/>
    </row>
    <row r="56" spans="1:14" s="198" customFormat="1" ht="14.4" customHeight="1" x14ac:dyDescent="0.3">
      <c r="A56" s="278"/>
      <c r="B56" s="274"/>
      <c r="C56" s="201"/>
      <c r="D56" s="202"/>
      <c r="E56" s="203"/>
      <c r="F56" s="203"/>
      <c r="G56" s="203"/>
      <c r="H56" s="179"/>
      <c r="I56" s="179"/>
      <c r="J56" s="179"/>
      <c r="K56" s="179"/>
      <c r="L56" s="179"/>
      <c r="M56" s="179"/>
      <c r="N56" s="179"/>
    </row>
    <row r="57" spans="1:14" s="198" customFormat="1" ht="14.4" customHeight="1" x14ac:dyDescent="0.3">
      <c r="A57" s="278"/>
      <c r="B57" s="274"/>
      <c r="C57" s="201"/>
      <c r="D57" s="202"/>
      <c r="E57" s="203"/>
      <c r="F57" s="203"/>
      <c r="G57" s="203"/>
      <c r="H57" s="179"/>
      <c r="I57" s="179"/>
      <c r="J57" s="179"/>
      <c r="K57" s="179"/>
      <c r="L57" s="179"/>
      <c r="M57" s="179"/>
      <c r="N57" s="179"/>
    </row>
  </sheetData>
  <mergeCells count="28">
    <mergeCell ref="A40:C40"/>
    <mergeCell ref="A45:C45"/>
    <mergeCell ref="A44:C44"/>
    <mergeCell ref="A43:C43"/>
    <mergeCell ref="A42:C42"/>
    <mergeCell ref="A41:C41"/>
    <mergeCell ref="A32:C32"/>
    <mergeCell ref="A37:B37"/>
    <mergeCell ref="A36:B36"/>
    <mergeCell ref="A35:B35"/>
    <mergeCell ref="A34:B34"/>
    <mergeCell ref="A33:B33"/>
    <mergeCell ref="A1:G1"/>
    <mergeCell ref="A2:G2"/>
    <mergeCell ref="A4:A5"/>
    <mergeCell ref="C22:C23"/>
    <mergeCell ref="D22:D23"/>
    <mergeCell ref="B3:C3"/>
    <mergeCell ref="B4:B5"/>
    <mergeCell ref="C4:C5"/>
    <mergeCell ref="D4:D5"/>
    <mergeCell ref="A22:B23"/>
    <mergeCell ref="A29:B29"/>
    <mergeCell ref="A28:B28"/>
    <mergeCell ref="A27:B27"/>
    <mergeCell ref="A26:B26"/>
    <mergeCell ref="A24:B24"/>
    <mergeCell ref="A25:B25"/>
  </mergeCells>
  <conditionalFormatting sqref="C31:G31">
    <cfRule type="containsText" dxfId="7" priority="16" operator="containsText" text="nu">
      <formula>NOT(ISERROR(SEARCH("nu",C31)))</formula>
    </cfRule>
    <cfRule type="containsText" dxfId="6" priority="10" operator="containsText" text="NU">
      <formula>NOT(ISERROR(SEARCH("NU",C31)))</formula>
    </cfRule>
    <cfRule type="containsText" dxfId="5" priority="11" operator="containsText" text="DA">
      <formula>NOT(ISERROR(SEARCH("DA",C31)))</formula>
    </cfRule>
  </conditionalFormatting>
  <conditionalFormatting sqref="D45:G45">
    <cfRule type="cellIs" dxfId="4" priority="4" operator="greaterThanOrEqual">
      <formula>0.67</formula>
    </cfRule>
    <cfRule type="cellIs" dxfId="3" priority="6" operator="lessThan">
      <formula>0.67</formula>
    </cfRule>
  </conditionalFormatting>
  <pageMargins left="0.70866141732283472" right="0.70866141732283472" top="0.55118110236220474" bottom="0.90625" header="0.31496062992125978" footer="0.31496062992125978"/>
  <pageSetup paperSize="9" fitToHeight="0" orientation="landscape" blackAndWhite="1" horizontalDpi="300" verticalDpi="300"/>
  <rowBreaks count="1" manualBreakCount="1">
    <brk id="31"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I31"/>
  <sheetViews>
    <sheetView workbookViewId="0">
      <selection activeCell="C26" sqref="C26"/>
    </sheetView>
  </sheetViews>
  <sheetFormatPr defaultColWidth="9.109375" defaultRowHeight="14.4" x14ac:dyDescent="0.3"/>
  <cols>
    <col min="1" max="1" width="6.6640625" style="121" customWidth="1"/>
    <col min="2" max="2" width="56.109375" style="116" customWidth="1"/>
    <col min="3" max="3" width="12.6640625" style="139" customWidth="1"/>
    <col min="4" max="4" width="12.5546875" style="139" customWidth="1"/>
    <col min="5" max="5" width="12.5546875" style="140" customWidth="1"/>
    <col min="6" max="7" width="12.6640625" style="139" customWidth="1"/>
    <col min="8" max="9" width="12.6640625" style="140" customWidth="1"/>
    <col min="10" max="10" width="9.109375" style="103" customWidth="1"/>
    <col min="11" max="16384" width="9.109375" style="103"/>
  </cols>
  <sheetData>
    <row r="1" spans="1:9" x14ac:dyDescent="0.3">
      <c r="A1" s="365" t="s">
        <v>299</v>
      </c>
      <c r="B1" s="366"/>
      <c r="C1" s="364"/>
      <c r="D1" s="364"/>
      <c r="E1" s="363"/>
      <c r="F1" s="364"/>
      <c r="G1" s="364"/>
      <c r="H1" s="363"/>
      <c r="I1" s="363"/>
    </row>
    <row r="2" spans="1:9" x14ac:dyDescent="0.3">
      <c r="A2" s="117"/>
      <c r="B2" s="113"/>
      <c r="C2" s="130"/>
      <c r="D2" s="130"/>
      <c r="E2" s="130"/>
      <c r="F2" s="130"/>
      <c r="G2" s="130"/>
      <c r="H2" s="130"/>
      <c r="I2" s="130"/>
    </row>
    <row r="3" spans="1:9" x14ac:dyDescent="0.3">
      <c r="A3" s="369" t="s">
        <v>300</v>
      </c>
      <c r="B3" s="368" t="s">
        <v>301</v>
      </c>
      <c r="C3" s="367" t="s">
        <v>302</v>
      </c>
      <c r="D3" s="330"/>
      <c r="E3" s="367" t="s">
        <v>303</v>
      </c>
      <c r="F3" s="367" t="s">
        <v>304</v>
      </c>
      <c r="G3" s="330"/>
      <c r="H3" s="367" t="s">
        <v>305</v>
      </c>
      <c r="I3" s="367" t="s">
        <v>306</v>
      </c>
    </row>
    <row r="4" spans="1:9" ht="69" customHeight="1" x14ac:dyDescent="0.3">
      <c r="A4" s="350"/>
      <c r="B4" s="350"/>
      <c r="C4" s="279" t="s">
        <v>307</v>
      </c>
      <c r="D4" s="279" t="s">
        <v>308</v>
      </c>
      <c r="E4" s="350"/>
      <c r="F4" s="279" t="s">
        <v>309</v>
      </c>
      <c r="G4" s="279" t="s">
        <v>310</v>
      </c>
      <c r="H4" s="350"/>
      <c r="I4" s="350"/>
    </row>
    <row r="5" spans="1:9" x14ac:dyDescent="0.3">
      <c r="A5" s="118" t="s">
        <v>311</v>
      </c>
      <c r="B5" s="111" t="s">
        <v>312</v>
      </c>
      <c r="C5" s="131">
        <v>0</v>
      </c>
      <c r="D5" s="131">
        <v>0</v>
      </c>
      <c r="E5" s="132">
        <f t="shared" ref="E5:E17" si="0">C5+D5</f>
        <v>0</v>
      </c>
      <c r="F5" s="131">
        <v>0</v>
      </c>
      <c r="G5" s="131">
        <v>0</v>
      </c>
      <c r="H5" s="132">
        <f t="shared" ref="H5:H17" si="1">F5+G5</f>
        <v>0</v>
      </c>
      <c r="I5" s="132">
        <f t="shared" ref="I5:I17" si="2">E5+H5</f>
        <v>0</v>
      </c>
    </row>
    <row r="6" spans="1:9" ht="27.6" customHeight="1" x14ac:dyDescent="0.3">
      <c r="A6" s="118" t="s">
        <v>313</v>
      </c>
      <c r="B6" s="111" t="s">
        <v>314</v>
      </c>
      <c r="C6" s="131">
        <v>2024561.2694999999</v>
      </c>
      <c r="D6" s="131">
        <v>0</v>
      </c>
      <c r="E6" s="132">
        <f t="shared" si="0"/>
        <v>2024561.2694999999</v>
      </c>
      <c r="F6" s="131">
        <v>0</v>
      </c>
      <c r="G6" s="131">
        <v>384666.64120499999</v>
      </c>
      <c r="H6" s="132">
        <f t="shared" si="1"/>
        <v>384666.64120499999</v>
      </c>
      <c r="I6" s="132">
        <f t="shared" si="2"/>
        <v>2409227.9107050002</v>
      </c>
    </row>
    <row r="7" spans="1:9" x14ac:dyDescent="0.3">
      <c r="A7" s="118" t="s">
        <v>315</v>
      </c>
      <c r="B7" s="112" t="s">
        <v>316</v>
      </c>
      <c r="C7" s="131">
        <v>0</v>
      </c>
      <c r="D7" s="131">
        <v>0</v>
      </c>
      <c r="E7" s="132">
        <f t="shared" si="0"/>
        <v>0</v>
      </c>
      <c r="F7" s="131">
        <v>0</v>
      </c>
      <c r="G7" s="131">
        <v>0</v>
      </c>
      <c r="H7" s="132">
        <f t="shared" si="1"/>
        <v>0</v>
      </c>
      <c r="I7" s="132">
        <f t="shared" si="2"/>
        <v>0</v>
      </c>
    </row>
    <row r="8" spans="1:9" x14ac:dyDescent="0.3">
      <c r="A8" s="118" t="s">
        <v>317</v>
      </c>
      <c r="B8" s="112" t="s">
        <v>318</v>
      </c>
      <c r="C8" s="131">
        <v>0</v>
      </c>
      <c r="D8" s="131">
        <v>0</v>
      </c>
      <c r="E8" s="132">
        <f t="shared" si="0"/>
        <v>0</v>
      </c>
      <c r="F8" s="131">
        <v>0</v>
      </c>
      <c r="G8" s="131">
        <v>0</v>
      </c>
      <c r="H8" s="132">
        <f t="shared" si="1"/>
        <v>0</v>
      </c>
      <c r="I8" s="132">
        <f t="shared" si="2"/>
        <v>0</v>
      </c>
    </row>
    <row r="9" spans="1:9" ht="41.4" customHeight="1" x14ac:dyDescent="0.3">
      <c r="A9" s="118" t="s">
        <v>319</v>
      </c>
      <c r="B9" s="111" t="s">
        <v>320</v>
      </c>
      <c r="C9" s="131">
        <v>0</v>
      </c>
      <c r="D9" s="131">
        <v>0</v>
      </c>
      <c r="E9" s="132">
        <f t="shared" si="0"/>
        <v>0</v>
      </c>
      <c r="F9" s="131">
        <v>0</v>
      </c>
      <c r="G9" s="131">
        <v>0</v>
      </c>
      <c r="H9" s="132">
        <f t="shared" si="1"/>
        <v>0</v>
      </c>
      <c r="I9" s="132">
        <f t="shared" si="2"/>
        <v>0</v>
      </c>
    </row>
    <row r="10" spans="1:9" ht="27.6" customHeight="1" x14ac:dyDescent="0.3">
      <c r="A10" s="118" t="s">
        <v>321</v>
      </c>
      <c r="B10" s="111" t="s">
        <v>322</v>
      </c>
      <c r="C10" s="131">
        <v>0</v>
      </c>
      <c r="D10" s="131">
        <v>0</v>
      </c>
      <c r="E10" s="132">
        <f t="shared" si="0"/>
        <v>0</v>
      </c>
      <c r="F10" s="131">
        <v>0</v>
      </c>
      <c r="G10" s="131">
        <v>0</v>
      </c>
      <c r="H10" s="132">
        <f t="shared" si="1"/>
        <v>0</v>
      </c>
      <c r="I10" s="132">
        <f t="shared" si="2"/>
        <v>0</v>
      </c>
    </row>
    <row r="11" spans="1:9" ht="27.6" customHeight="1" x14ac:dyDescent="0.3">
      <c r="A11" s="118" t="s">
        <v>323</v>
      </c>
      <c r="B11" s="111" t="s">
        <v>324</v>
      </c>
      <c r="C11" s="131">
        <v>0</v>
      </c>
      <c r="D11" s="131">
        <v>0</v>
      </c>
      <c r="E11" s="132">
        <f t="shared" si="0"/>
        <v>0</v>
      </c>
      <c r="F11" s="131">
        <v>0</v>
      </c>
      <c r="G11" s="131">
        <v>0</v>
      </c>
      <c r="H11" s="132">
        <f t="shared" si="1"/>
        <v>0</v>
      </c>
      <c r="I11" s="132">
        <f t="shared" si="2"/>
        <v>0</v>
      </c>
    </row>
    <row r="12" spans="1:9" x14ac:dyDescent="0.3">
      <c r="A12" s="118" t="s">
        <v>325</v>
      </c>
      <c r="B12" s="111" t="s">
        <v>326</v>
      </c>
      <c r="C12" s="131">
        <v>0</v>
      </c>
      <c r="D12" s="131">
        <v>0</v>
      </c>
      <c r="E12" s="132">
        <f t="shared" si="0"/>
        <v>0</v>
      </c>
      <c r="F12" s="131">
        <v>0</v>
      </c>
      <c r="G12" s="131">
        <v>0</v>
      </c>
      <c r="H12" s="132">
        <f t="shared" si="1"/>
        <v>0</v>
      </c>
      <c r="I12" s="132">
        <f t="shared" si="2"/>
        <v>0</v>
      </c>
    </row>
    <row r="13" spans="1:9" ht="27.6" customHeight="1" x14ac:dyDescent="0.3">
      <c r="A13" s="118" t="s">
        <v>327</v>
      </c>
      <c r="B13" s="111" t="s">
        <v>328</v>
      </c>
      <c r="C13" s="131">
        <v>0</v>
      </c>
      <c r="D13" s="131">
        <v>0</v>
      </c>
      <c r="E13" s="132">
        <f t="shared" si="0"/>
        <v>0</v>
      </c>
      <c r="F13" s="131">
        <v>0</v>
      </c>
      <c r="G13" s="131">
        <v>0</v>
      </c>
      <c r="H13" s="132">
        <f t="shared" si="1"/>
        <v>0</v>
      </c>
      <c r="I13" s="132">
        <f t="shared" si="2"/>
        <v>0</v>
      </c>
    </row>
    <row r="14" spans="1:9" ht="41.4" customHeight="1" x14ac:dyDescent="0.3">
      <c r="A14" s="118" t="s">
        <v>329</v>
      </c>
      <c r="B14" s="111" t="s">
        <v>330</v>
      </c>
      <c r="C14" s="131">
        <v>0</v>
      </c>
      <c r="D14" s="131">
        <f>D15+D16</f>
        <v>0</v>
      </c>
      <c r="E14" s="132">
        <f t="shared" si="0"/>
        <v>0</v>
      </c>
      <c r="F14" s="131">
        <f>F15+F16</f>
        <v>0</v>
      </c>
      <c r="G14" s="131">
        <v>0</v>
      </c>
      <c r="H14" s="132">
        <f t="shared" si="1"/>
        <v>0</v>
      </c>
      <c r="I14" s="132">
        <f t="shared" si="2"/>
        <v>0</v>
      </c>
    </row>
    <row r="15" spans="1:9" ht="41.4" customHeight="1" x14ac:dyDescent="0.3">
      <c r="A15" s="118" t="s">
        <v>331</v>
      </c>
      <c r="B15" s="111" t="s">
        <v>332</v>
      </c>
      <c r="C15" s="131"/>
      <c r="D15" s="131">
        <v>0</v>
      </c>
      <c r="E15" s="132">
        <f t="shared" si="0"/>
        <v>0</v>
      </c>
      <c r="F15" s="131">
        <v>0</v>
      </c>
      <c r="G15" s="131"/>
      <c r="H15" s="132">
        <f t="shared" si="1"/>
        <v>0</v>
      </c>
      <c r="I15" s="132">
        <f t="shared" si="2"/>
        <v>0</v>
      </c>
    </row>
    <row r="16" spans="1:9" ht="69" customHeight="1" x14ac:dyDescent="0.3">
      <c r="A16" s="118" t="s">
        <v>333</v>
      </c>
      <c r="B16" s="111" t="s">
        <v>334</v>
      </c>
      <c r="C16" s="131">
        <v>0</v>
      </c>
      <c r="D16" s="131">
        <v>0</v>
      </c>
      <c r="E16" s="132">
        <f t="shared" si="0"/>
        <v>0</v>
      </c>
      <c r="F16" s="131">
        <v>0</v>
      </c>
      <c r="G16" s="131">
        <v>0</v>
      </c>
      <c r="H16" s="132">
        <f t="shared" si="1"/>
        <v>0</v>
      </c>
      <c r="I16" s="132">
        <f t="shared" si="2"/>
        <v>0</v>
      </c>
    </row>
    <row r="17" spans="1:9" ht="55.2" customHeight="1" x14ac:dyDescent="0.3">
      <c r="A17" s="118" t="s">
        <v>335</v>
      </c>
      <c r="B17" s="111" t="s">
        <v>336</v>
      </c>
      <c r="C17" s="131">
        <v>0</v>
      </c>
      <c r="D17" s="131">
        <v>0</v>
      </c>
      <c r="E17" s="132">
        <f t="shared" si="0"/>
        <v>0</v>
      </c>
      <c r="F17" s="131">
        <v>0</v>
      </c>
      <c r="G17" s="131">
        <v>0</v>
      </c>
      <c r="H17" s="132">
        <f t="shared" si="1"/>
        <v>0</v>
      </c>
      <c r="I17" s="132">
        <f t="shared" si="2"/>
        <v>0</v>
      </c>
    </row>
    <row r="18" spans="1:9" s="117" customFormat="1" x14ac:dyDescent="0.3">
      <c r="A18" s="118"/>
      <c r="B18" s="123" t="s">
        <v>337</v>
      </c>
      <c r="C18" s="133">
        <f t="shared" ref="C18:I18" si="3">SUM(C5:C17)</f>
        <v>2024561.2694999999</v>
      </c>
      <c r="D18" s="133">
        <f t="shared" si="3"/>
        <v>0</v>
      </c>
      <c r="E18" s="133">
        <f t="shared" si="3"/>
        <v>2024561.2694999999</v>
      </c>
      <c r="F18" s="133">
        <f t="shared" si="3"/>
        <v>0</v>
      </c>
      <c r="G18" s="133">
        <f t="shared" si="3"/>
        <v>384666.64120499999</v>
      </c>
      <c r="H18" s="133">
        <f t="shared" si="3"/>
        <v>384666.64120499999</v>
      </c>
      <c r="I18" s="133">
        <f t="shared" si="3"/>
        <v>2409227.9107050002</v>
      </c>
    </row>
    <row r="19" spans="1:9" s="86" customFormat="1" ht="13.8" customHeight="1" x14ac:dyDescent="0.3">
      <c r="A19" s="119"/>
      <c r="B19" s="124" t="s">
        <v>338</v>
      </c>
      <c r="C19" s="134">
        <v>0</v>
      </c>
      <c r="D19" s="134">
        <v>0</v>
      </c>
      <c r="E19" s="135">
        <f>C19+D19</f>
        <v>0</v>
      </c>
      <c r="F19" s="134">
        <v>0</v>
      </c>
      <c r="G19" s="134">
        <v>0</v>
      </c>
      <c r="H19" s="135">
        <f>F19+G19</f>
        <v>0</v>
      </c>
      <c r="I19" s="136">
        <f>E19+H19</f>
        <v>0</v>
      </c>
    </row>
    <row r="20" spans="1:9" s="87" customFormat="1" ht="13.8" customHeight="1" x14ac:dyDescent="0.3">
      <c r="A20" s="246"/>
      <c r="B20" s="114"/>
      <c r="C20" s="137"/>
      <c r="D20" s="137"/>
      <c r="E20" s="137"/>
      <c r="F20" s="137"/>
      <c r="G20" s="137"/>
      <c r="H20" s="137"/>
      <c r="I20" s="137"/>
    </row>
    <row r="21" spans="1:9" x14ac:dyDescent="0.3">
      <c r="A21" s="120"/>
      <c r="B21" s="115"/>
      <c r="C21" s="137"/>
      <c r="D21" s="137"/>
      <c r="E21" s="137"/>
      <c r="F21" s="137"/>
      <c r="G21" s="137"/>
      <c r="H21" s="137"/>
      <c r="I21" s="137"/>
    </row>
    <row r="22" spans="1:9" x14ac:dyDescent="0.3">
      <c r="A22" s="89" t="s">
        <v>339</v>
      </c>
      <c r="B22" s="88" t="s">
        <v>340</v>
      </c>
      <c r="C22" s="178" t="s">
        <v>341</v>
      </c>
      <c r="D22" s="137"/>
      <c r="E22" s="137"/>
      <c r="F22" s="137"/>
      <c r="G22" s="137"/>
      <c r="H22" s="137"/>
      <c r="I22" s="137"/>
    </row>
    <row r="23" spans="1:9" x14ac:dyDescent="0.3">
      <c r="A23" s="85" t="s">
        <v>342</v>
      </c>
      <c r="B23" s="89" t="s">
        <v>343</v>
      </c>
      <c r="C23" s="249">
        <f>I18</f>
        <v>2409227.9107050002</v>
      </c>
      <c r="D23" s="137"/>
      <c r="E23" s="137"/>
      <c r="F23" s="137"/>
      <c r="G23" s="137"/>
      <c r="H23" s="137"/>
      <c r="I23" s="137"/>
    </row>
    <row r="24" spans="1:9" x14ac:dyDescent="0.3">
      <c r="A24" s="85" t="s">
        <v>344</v>
      </c>
      <c r="B24" s="85" t="s">
        <v>345</v>
      </c>
      <c r="C24" s="250">
        <f>H18</f>
        <v>384666.64120499999</v>
      </c>
      <c r="D24" s="137"/>
      <c r="E24" s="137"/>
      <c r="F24" s="137"/>
      <c r="G24" s="137"/>
      <c r="H24" s="137"/>
      <c r="I24" s="137"/>
    </row>
    <row r="25" spans="1:9" x14ac:dyDescent="0.3">
      <c r="A25" s="85" t="s">
        <v>346</v>
      </c>
      <c r="B25" s="85" t="s">
        <v>347</v>
      </c>
      <c r="C25" s="250">
        <f>C23-C24</f>
        <v>2024561.2695000002</v>
      </c>
      <c r="D25" s="137"/>
      <c r="E25" s="137"/>
      <c r="F25" s="137"/>
      <c r="G25" s="137"/>
      <c r="H25" s="137"/>
      <c r="I25" s="137"/>
    </row>
    <row r="26" spans="1:9" x14ac:dyDescent="0.3">
      <c r="A26" s="85" t="s">
        <v>348</v>
      </c>
      <c r="B26" s="89" t="s">
        <v>349</v>
      </c>
      <c r="C26" s="249">
        <f>SUM(C27:C28)</f>
        <v>1457684.1140399999</v>
      </c>
      <c r="D26" s="137"/>
      <c r="E26" s="137"/>
      <c r="F26" s="137"/>
      <c r="G26" s="137"/>
      <c r="H26" s="137"/>
      <c r="I26" s="137"/>
    </row>
    <row r="27" spans="1:9" x14ac:dyDescent="0.3">
      <c r="A27" s="85" t="s">
        <v>350</v>
      </c>
      <c r="B27" s="85" t="s">
        <v>351</v>
      </c>
      <c r="C27" s="138">
        <v>1073017.4728349999</v>
      </c>
      <c r="D27" s="362" t="str">
        <f>IF(C27&lt;C25*0.1,"!!! Contribuția la cheltuielile eligibile nu este de minimum 10%","")</f>
        <v/>
      </c>
      <c r="E27" s="363"/>
      <c r="F27" s="364"/>
      <c r="G27" s="364"/>
      <c r="H27" s="363"/>
      <c r="I27" s="363"/>
    </row>
    <row r="28" spans="1:9" x14ac:dyDescent="0.3">
      <c r="A28" s="85" t="s">
        <v>352</v>
      </c>
      <c r="B28" s="85" t="s">
        <v>353</v>
      </c>
      <c r="C28" s="250">
        <f>H18</f>
        <v>384666.64120499999</v>
      </c>
      <c r="D28" s="137"/>
      <c r="E28" s="137"/>
      <c r="F28" s="137"/>
      <c r="G28" s="137"/>
      <c r="H28" s="137"/>
      <c r="I28" s="137"/>
    </row>
    <row r="29" spans="1:9" x14ac:dyDescent="0.3">
      <c r="A29" s="85" t="s">
        <v>354</v>
      </c>
      <c r="B29" s="89" t="s">
        <v>355</v>
      </c>
      <c r="C29" s="249">
        <f>C23-C26</f>
        <v>951543.79666500026</v>
      </c>
      <c r="D29" s="137"/>
      <c r="E29" s="137"/>
      <c r="F29" s="137"/>
      <c r="G29" s="137"/>
      <c r="H29" s="137"/>
      <c r="I29" s="137"/>
    </row>
    <row r="30" spans="1:9" x14ac:dyDescent="0.3">
      <c r="A30" s="120"/>
      <c r="B30" s="114"/>
      <c r="C30" s="137"/>
      <c r="D30" s="137"/>
      <c r="E30" s="137"/>
      <c r="F30" s="137"/>
      <c r="G30" s="137"/>
      <c r="H30" s="137"/>
      <c r="I30" s="137"/>
    </row>
    <row r="31" spans="1:9" x14ac:dyDescent="0.3">
      <c r="A31" s="120"/>
      <c r="B31" s="114"/>
      <c r="C31" s="137"/>
      <c r="D31" s="137"/>
      <c r="E31" s="137"/>
      <c r="F31" s="137"/>
      <c r="G31" s="137"/>
      <c r="H31" s="137"/>
      <c r="I31" s="137"/>
    </row>
  </sheetData>
  <mergeCells count="9">
    <mergeCell ref="D27:I27"/>
    <mergeCell ref="A1:I1"/>
    <mergeCell ref="C3:D3"/>
    <mergeCell ref="F3:G3"/>
    <mergeCell ref="E3:E4"/>
    <mergeCell ref="H3:H4"/>
    <mergeCell ref="I3:I4"/>
    <mergeCell ref="B3:B4"/>
    <mergeCell ref="A3:A4"/>
  </mergeCells>
  <pageMargins left="0.48007246376811602" right="0.43478260869565222" top="0.55118110236220474" bottom="0.79710144927536231" header="0.31496062992125978" footer="0.31496062992125978"/>
  <pageSetup paperSize="9" fitToHeight="0" orientation="landscape" blackAndWhite="1"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M195"/>
  <sheetViews>
    <sheetView topLeftCell="A57" workbookViewId="0">
      <selection activeCell="E74" sqref="E74"/>
    </sheetView>
  </sheetViews>
  <sheetFormatPr defaultColWidth="9.109375" defaultRowHeight="13.8" x14ac:dyDescent="0.3"/>
  <cols>
    <col min="1" max="1" width="4.44140625" style="28" customWidth="1"/>
    <col min="2" max="2" width="33" style="143" customWidth="1"/>
    <col min="3" max="3" width="10.44140625" style="129" customWidth="1"/>
    <col min="4" max="13" width="10.44140625" style="238" customWidth="1"/>
    <col min="14" max="14" width="9.109375" style="93" customWidth="1"/>
    <col min="15" max="16384" width="9.109375" style="93"/>
  </cols>
  <sheetData>
    <row r="1" spans="1:13" x14ac:dyDescent="0.3">
      <c r="A1" s="348" t="s">
        <v>356</v>
      </c>
      <c r="B1" s="382"/>
      <c r="C1" s="383"/>
      <c r="D1" s="384"/>
      <c r="E1" s="384"/>
      <c r="F1" s="384"/>
      <c r="G1" s="384"/>
    </row>
    <row r="2" spans="1:13" x14ac:dyDescent="0.3">
      <c r="A2" s="277"/>
      <c r="B2" s="141"/>
      <c r="C2" s="125"/>
      <c r="D2" s="125"/>
      <c r="E2" s="125"/>
      <c r="F2" s="125"/>
      <c r="G2" s="125"/>
    </row>
    <row r="3" spans="1:13" ht="189" customHeight="1" x14ac:dyDescent="0.3">
      <c r="A3" s="93"/>
      <c r="B3" s="387" t="s">
        <v>357</v>
      </c>
      <c r="C3" s="383"/>
      <c r="D3" s="384"/>
      <c r="E3" s="384"/>
      <c r="F3" s="384"/>
      <c r="G3" s="384"/>
      <c r="H3" s="384"/>
      <c r="I3" s="384"/>
      <c r="J3" s="384"/>
      <c r="K3" s="384"/>
      <c r="L3" s="384"/>
      <c r="M3" s="384"/>
    </row>
    <row r="4" spans="1:13" s="90" customFormat="1" ht="14.4" customHeight="1" x14ac:dyDescent="0.3">
      <c r="A4" s="388" t="s">
        <v>358</v>
      </c>
      <c r="B4" s="373"/>
      <c r="C4" s="373"/>
      <c r="D4" s="373"/>
      <c r="E4" s="373"/>
      <c r="F4" s="373"/>
      <c r="G4" s="373"/>
    </row>
    <row r="5" spans="1:13" s="90" customFormat="1" ht="14.4" customHeight="1" x14ac:dyDescent="0.3">
      <c r="A5" s="377" t="s">
        <v>359</v>
      </c>
      <c r="B5" s="378"/>
      <c r="C5" s="379" t="s">
        <v>286</v>
      </c>
      <c r="D5" s="374" t="s">
        <v>360</v>
      </c>
      <c r="E5" s="329"/>
      <c r="F5" s="329"/>
      <c r="G5" s="330"/>
    </row>
    <row r="6" spans="1:13" s="90" customFormat="1" ht="30.6" customHeight="1" x14ac:dyDescent="0.3">
      <c r="A6" s="350"/>
      <c r="B6" s="350"/>
      <c r="C6" s="350"/>
      <c r="D6" s="266" t="s">
        <v>361</v>
      </c>
      <c r="E6" s="281" t="s">
        <v>362</v>
      </c>
      <c r="F6" s="281" t="s">
        <v>363</v>
      </c>
      <c r="G6" s="281" t="s">
        <v>364</v>
      </c>
    </row>
    <row r="7" spans="1:13" s="90" customFormat="1" ht="14.4" customHeight="1" x14ac:dyDescent="0.3">
      <c r="A7" s="370" t="s">
        <v>365</v>
      </c>
      <c r="B7" s="329"/>
      <c r="C7" s="329"/>
      <c r="D7" s="329"/>
      <c r="E7" s="329"/>
      <c r="F7" s="329"/>
      <c r="G7" s="330"/>
    </row>
    <row r="8" spans="1:13" s="90" customFormat="1" ht="14.4" customHeight="1" x14ac:dyDescent="0.3">
      <c r="A8" s="371" t="s">
        <v>366</v>
      </c>
      <c r="B8" s="329"/>
      <c r="C8" s="329"/>
      <c r="D8" s="329"/>
      <c r="E8" s="329"/>
      <c r="F8" s="329"/>
      <c r="G8" s="330"/>
    </row>
    <row r="9" spans="1:13" s="90" customFormat="1" ht="14.4" customHeight="1" x14ac:dyDescent="0.3">
      <c r="A9" s="4">
        <v>1</v>
      </c>
      <c r="B9" s="280" t="s">
        <v>367</v>
      </c>
      <c r="C9" s="128">
        <f>SUM(D9:G9)</f>
        <v>0</v>
      </c>
      <c r="D9" s="127">
        <f>D10*D11</f>
        <v>0</v>
      </c>
      <c r="E9" s="127">
        <f>E10*E11</f>
        <v>0</v>
      </c>
      <c r="F9" s="127">
        <f>F10*F11</f>
        <v>0</v>
      </c>
      <c r="G9" s="127">
        <f>G10*G11</f>
        <v>0</v>
      </c>
    </row>
    <row r="10" spans="1:13" s="91" customFormat="1" ht="14.4" customHeight="1" x14ac:dyDescent="0.3">
      <c r="A10" s="5"/>
      <c r="B10" s="280" t="s">
        <v>368</v>
      </c>
      <c r="C10" s="128"/>
      <c r="D10" s="126">
        <v>0</v>
      </c>
      <c r="E10" s="126">
        <v>0</v>
      </c>
      <c r="F10" s="126">
        <v>0</v>
      </c>
      <c r="G10" s="126">
        <v>0</v>
      </c>
    </row>
    <row r="11" spans="1:13" s="91" customFormat="1" ht="14.4" customHeight="1" x14ac:dyDescent="0.3">
      <c r="A11" s="5"/>
      <c r="B11" s="280" t="s">
        <v>369</v>
      </c>
      <c r="C11" s="128"/>
      <c r="D11" s="126">
        <v>0</v>
      </c>
      <c r="E11" s="126">
        <v>0</v>
      </c>
      <c r="F11" s="126">
        <v>0</v>
      </c>
      <c r="G11" s="126">
        <v>0</v>
      </c>
    </row>
    <row r="12" spans="1:13" s="90" customFormat="1" ht="14.4" customHeight="1" x14ac:dyDescent="0.3">
      <c r="A12" s="4">
        <v>2</v>
      </c>
      <c r="B12" s="280" t="s">
        <v>370</v>
      </c>
      <c r="C12" s="128">
        <f>SUM(D12:G12)</f>
        <v>0</v>
      </c>
      <c r="D12" s="127">
        <f>D13*D14</f>
        <v>0</v>
      </c>
      <c r="E12" s="127">
        <f>E13*E14</f>
        <v>0</v>
      </c>
      <c r="F12" s="127">
        <f>F13*F14</f>
        <v>0</v>
      </c>
      <c r="G12" s="127">
        <f>G13*G14</f>
        <v>0</v>
      </c>
    </row>
    <row r="13" spans="1:13" s="91" customFormat="1" ht="14.4" customHeight="1" x14ac:dyDescent="0.3">
      <c r="A13" s="5"/>
      <c r="B13" s="280" t="s">
        <v>371</v>
      </c>
      <c r="C13" s="128"/>
      <c r="D13" s="126"/>
      <c r="E13" s="126"/>
      <c r="F13" s="126"/>
      <c r="G13" s="126"/>
      <c r="K13" s="236"/>
    </row>
    <row r="14" spans="1:13" s="91" customFormat="1" ht="14.4" customHeight="1" x14ac:dyDescent="0.3">
      <c r="A14" s="5"/>
      <c r="B14" s="280" t="s">
        <v>372</v>
      </c>
      <c r="C14" s="128"/>
      <c r="D14" s="126">
        <f>'1B-ContPP'!D13*1.03*1.19</f>
        <v>0</v>
      </c>
      <c r="E14" s="126">
        <f>D14*1.03</f>
        <v>0</v>
      </c>
      <c r="F14" s="126">
        <f>E14</f>
        <v>0</v>
      </c>
      <c r="G14" s="126">
        <f>F14</f>
        <v>0</v>
      </c>
    </row>
    <row r="15" spans="1:13" s="90" customFormat="1" ht="14.4" customHeight="1" x14ac:dyDescent="0.3">
      <c r="A15" s="4">
        <v>3</v>
      </c>
      <c r="B15" s="280" t="s">
        <v>373</v>
      </c>
      <c r="C15" s="128">
        <f>SUM(D15:G15)</f>
        <v>941860201.53816354</v>
      </c>
      <c r="D15" s="127">
        <f>D16*D17</f>
        <v>234760768.0803</v>
      </c>
      <c r="E15" s="127">
        <f>E16*E17</f>
        <v>235230289.61646059</v>
      </c>
      <c r="F15" s="127">
        <f>F16*F17</f>
        <v>235699811.15262118</v>
      </c>
      <c r="G15" s="127">
        <f>G16*G17</f>
        <v>236169332.68878177</v>
      </c>
    </row>
    <row r="16" spans="1:13" s="91" customFormat="1" ht="14.4" customHeight="1" x14ac:dyDescent="0.3">
      <c r="A16" s="5"/>
      <c r="B16" s="280" t="s">
        <v>374</v>
      </c>
      <c r="C16" s="128"/>
      <c r="D16" s="126">
        <v>1</v>
      </c>
      <c r="E16" s="126">
        <v>1</v>
      </c>
      <c r="F16" s="126">
        <v>1</v>
      </c>
      <c r="G16" s="126">
        <v>1</v>
      </c>
    </row>
    <row r="17" spans="1:7" s="91" customFormat="1" ht="14.4" customHeight="1" x14ac:dyDescent="0.3">
      <c r="A17" s="5"/>
      <c r="B17" s="280" t="s">
        <v>375</v>
      </c>
      <c r="C17" s="128"/>
      <c r="D17" s="126">
        <f>'1B-ContPP'!C6*1.19*0.005+ '1B-ContPP'!C6*1.19</f>
        <v>234760768.0803</v>
      </c>
      <c r="E17" s="126">
        <f>D17*0.002 + D17</f>
        <v>235230289.61646059</v>
      </c>
      <c r="F17" s="126">
        <f>D17*0.002 + E17</f>
        <v>235699811.15262118</v>
      </c>
      <c r="G17" s="126">
        <f>D17*0.002 +F17</f>
        <v>236169332.68878177</v>
      </c>
    </row>
    <row r="18" spans="1:7" s="92" customFormat="1" ht="24" customHeight="1" x14ac:dyDescent="0.3">
      <c r="A18" s="147"/>
      <c r="B18" s="287" t="s">
        <v>376</v>
      </c>
      <c r="C18" s="128">
        <f>SUM(D18:G18)</f>
        <v>941860201.53816354</v>
      </c>
      <c r="D18" s="128">
        <f>D9+D12+D15</f>
        <v>234760768.0803</v>
      </c>
      <c r="E18" s="128">
        <f>E9+E12+E15</f>
        <v>235230289.61646059</v>
      </c>
      <c r="F18" s="128">
        <f>F9+F12+F15</f>
        <v>235699811.15262118</v>
      </c>
      <c r="G18" s="128">
        <f>G9+G12+G15</f>
        <v>236169332.68878177</v>
      </c>
    </row>
    <row r="19" spans="1:7" s="92" customFormat="1" ht="14.4" customHeight="1" x14ac:dyDescent="0.3">
      <c r="A19" s="370" t="s">
        <v>377</v>
      </c>
      <c r="B19" s="329"/>
      <c r="C19" s="329"/>
      <c r="D19" s="329"/>
      <c r="E19" s="329"/>
      <c r="F19" s="329"/>
      <c r="G19" s="330"/>
    </row>
    <row r="20" spans="1:7" s="92" customFormat="1" ht="14.4" customHeight="1" x14ac:dyDescent="0.3">
      <c r="A20" s="371" t="s">
        <v>378</v>
      </c>
      <c r="B20" s="329"/>
      <c r="C20" s="329"/>
      <c r="D20" s="329"/>
      <c r="E20" s="329"/>
      <c r="F20" s="329"/>
      <c r="G20" s="330"/>
    </row>
    <row r="21" spans="1:7" s="90" customFormat="1" ht="24" customHeight="1" x14ac:dyDescent="0.3">
      <c r="A21" s="4">
        <v>5</v>
      </c>
      <c r="B21" s="6" t="s">
        <v>379</v>
      </c>
      <c r="C21" s="128">
        <f>SUM(D21:G21)</f>
        <v>4562830.2486008201</v>
      </c>
      <c r="D21" s="127">
        <f>SUM(D22*D23)+SUM(D24*D25)</f>
        <v>1125513.1348299999</v>
      </c>
      <c r="E21" s="127">
        <f>SUM(E22*E23)+SUM(E24*E25)</f>
        <v>1135642.75304347</v>
      </c>
      <c r="F21" s="127">
        <f>SUM(F22*F23)+SUM(F24*F25)</f>
        <v>1145772.3712569401</v>
      </c>
      <c r="G21" s="127">
        <f>SUM(G22*G23)+SUM(G24*G25)</f>
        <v>1155901.9894704102</v>
      </c>
    </row>
    <row r="22" spans="1:7" s="92" customFormat="1" ht="14.4" customHeight="1" x14ac:dyDescent="0.3">
      <c r="A22" s="4"/>
      <c r="B22" s="280" t="s">
        <v>380</v>
      </c>
      <c r="C22" s="128"/>
      <c r="D22" s="126">
        <v>1</v>
      </c>
      <c r="E22" s="126">
        <v>1</v>
      </c>
      <c r="F22" s="126">
        <v>1</v>
      </c>
      <c r="G22" s="126">
        <v>1</v>
      </c>
    </row>
    <row r="23" spans="1:7" s="92" customFormat="1" ht="14.4" customHeight="1" x14ac:dyDescent="0.3">
      <c r="A23" s="4"/>
      <c r="B23" s="280" t="s">
        <v>381</v>
      </c>
      <c r="C23" s="128"/>
      <c r="D23" s="126">
        <f>('1B-ContPP'!C14 +'1B-ContPP'!C15)*1.19*0.009 + ('1B-ContPP'!C14 +'1B-ContPP'!C15)*1.19</f>
        <v>1125513.1348299999</v>
      </c>
      <c r="E23" s="126">
        <f>D23*0.009 + D23</f>
        <v>1135642.75304347</v>
      </c>
      <c r="F23" s="126">
        <f>D23*0.009 +E23</f>
        <v>1145772.3712569401</v>
      </c>
      <c r="G23" s="126">
        <f>D23*0.009 +F23</f>
        <v>1155901.9894704102</v>
      </c>
    </row>
    <row r="24" spans="1:7" s="92" customFormat="1" ht="14.4" customHeight="1" x14ac:dyDescent="0.3">
      <c r="A24" s="4"/>
      <c r="B24" s="280" t="s">
        <v>382</v>
      </c>
      <c r="C24" s="128"/>
      <c r="D24" s="126">
        <v>1</v>
      </c>
      <c r="E24" s="126">
        <v>1</v>
      </c>
      <c r="F24" s="126">
        <v>1</v>
      </c>
      <c r="G24" s="126">
        <v>1</v>
      </c>
    </row>
    <row r="25" spans="1:7" s="92" customFormat="1" ht="14.4" customHeight="1" x14ac:dyDescent="0.3">
      <c r="A25" s="4"/>
      <c r="B25" s="280" t="s">
        <v>383</v>
      </c>
      <c r="C25" s="128"/>
      <c r="D25" s="126">
        <v>0</v>
      </c>
      <c r="E25" s="126">
        <f>D25*1.05</f>
        <v>0</v>
      </c>
      <c r="F25" s="126">
        <f>E25*1.05</f>
        <v>0</v>
      </c>
      <c r="G25" s="126">
        <f>F25*1.05</f>
        <v>0</v>
      </c>
    </row>
    <row r="26" spans="1:7" s="90" customFormat="1" ht="14.4" customHeight="1" x14ac:dyDescent="0.3">
      <c r="A26" s="4">
        <v>6</v>
      </c>
      <c r="B26" s="6" t="s">
        <v>384</v>
      </c>
      <c r="C26" s="128">
        <f>SUM(D26:G26)</f>
        <v>848744283.46450186</v>
      </c>
      <c r="D26" s="127">
        <f>D27*D28</f>
        <v>209359714.71744001</v>
      </c>
      <c r="E26" s="127">
        <f>E27*E28</f>
        <v>211243952.14989698</v>
      </c>
      <c r="F26" s="127">
        <f>F27*F28</f>
        <v>213128189.58235395</v>
      </c>
      <c r="G26" s="127">
        <f>G27*G28</f>
        <v>215012427.01481092</v>
      </c>
    </row>
    <row r="27" spans="1:7" s="92" customFormat="1" ht="14.4" customHeight="1" x14ac:dyDescent="0.3">
      <c r="A27" s="4"/>
      <c r="B27" s="280" t="s">
        <v>374</v>
      </c>
      <c r="C27" s="128"/>
      <c r="D27" s="126">
        <v>1</v>
      </c>
      <c r="E27" s="126">
        <v>1</v>
      </c>
      <c r="F27" s="126">
        <v>1</v>
      </c>
      <c r="G27" s="126">
        <v>1</v>
      </c>
    </row>
    <row r="28" spans="1:7" s="92" customFormat="1" ht="14.4" customHeight="1" x14ac:dyDescent="0.3">
      <c r="A28" s="4"/>
      <c r="B28" s="280" t="s">
        <v>385</v>
      </c>
      <c r="C28" s="128"/>
      <c r="D28" s="126">
        <f>'1B-ContPP'!C17*1.19*0.009 + '1B-ContPP'!C17*1.19</f>
        <v>209359714.71744001</v>
      </c>
      <c r="E28" s="126">
        <f>D28*0.009+ D28</f>
        <v>211243952.14989698</v>
      </c>
      <c r="F28" s="126">
        <f>D28*0.009+E28</f>
        <v>213128189.58235395</v>
      </c>
      <c r="G28" s="126">
        <f>D28*0.009 +F28</f>
        <v>215012427.01481092</v>
      </c>
    </row>
    <row r="29" spans="1:7" s="92" customFormat="1" ht="24" customHeight="1" x14ac:dyDescent="0.3">
      <c r="A29" s="4">
        <v>7</v>
      </c>
      <c r="B29" s="280" t="s">
        <v>386</v>
      </c>
      <c r="C29" s="128">
        <f>SUM(D29:G29)</f>
        <v>0</v>
      </c>
      <c r="D29" s="126">
        <v>0</v>
      </c>
      <c r="E29" s="126">
        <f>D29*1.01</f>
        <v>0</v>
      </c>
      <c r="F29" s="126">
        <f>E29*1.01</f>
        <v>0</v>
      </c>
      <c r="G29" s="126">
        <f>F29*1.01</f>
        <v>0</v>
      </c>
    </row>
    <row r="30" spans="1:7" s="92" customFormat="1" ht="14.4" customHeight="1" x14ac:dyDescent="0.3">
      <c r="A30" s="4">
        <v>8</v>
      </c>
      <c r="B30" s="280" t="s">
        <v>387</v>
      </c>
      <c r="C30" s="128">
        <f>SUM(D30:G30)</f>
        <v>822195.73581600003</v>
      </c>
      <c r="D30" s="127">
        <f>D31*D32</f>
        <v>199562.07180000001</v>
      </c>
      <c r="E30" s="127">
        <f>E31*E32</f>
        <v>203553.31323600002</v>
      </c>
      <c r="F30" s="127">
        <f>F31*F32</f>
        <v>207544.55467200003</v>
      </c>
      <c r="G30" s="127">
        <f>G31*G32</f>
        <v>211535.79610800004</v>
      </c>
    </row>
    <row r="31" spans="1:7" s="92" customFormat="1" ht="24" customHeight="1" x14ac:dyDescent="0.3">
      <c r="A31" s="4"/>
      <c r="B31" s="280" t="s">
        <v>388</v>
      </c>
      <c r="C31" s="128"/>
      <c r="D31" s="126">
        <v>1</v>
      </c>
      <c r="E31" s="126">
        <v>1</v>
      </c>
      <c r="F31" s="126">
        <v>1</v>
      </c>
      <c r="G31" s="126">
        <v>1</v>
      </c>
    </row>
    <row r="32" spans="1:7" s="92" customFormat="1" ht="14.4" customHeight="1" x14ac:dyDescent="0.3">
      <c r="A32" s="4"/>
      <c r="B32" s="280" t="s">
        <v>389</v>
      </c>
      <c r="C32" s="128"/>
      <c r="D32" s="126">
        <f>'1B-ContPP'!C16*1.19*0.02 + '1B-ContPP'!C16*1.19</f>
        <v>199562.07180000001</v>
      </c>
      <c r="E32" s="126">
        <f>D32*0.02 + D32</f>
        <v>203553.31323600002</v>
      </c>
      <c r="F32" s="126">
        <f>D32*0.02 + E32</f>
        <v>207544.55467200003</v>
      </c>
      <c r="G32" s="126">
        <f>D32*0.02 + F32</f>
        <v>211535.79610800004</v>
      </c>
    </row>
    <row r="33" spans="1:7" s="92" customFormat="1" ht="14.4" customHeight="1" x14ac:dyDescent="0.3">
      <c r="A33" s="4">
        <v>9</v>
      </c>
      <c r="B33" s="280" t="s">
        <v>390</v>
      </c>
      <c r="C33" s="128">
        <f>SUM(D33:G33)</f>
        <v>0</v>
      </c>
      <c r="D33" s="127">
        <f>D34*D35</f>
        <v>0</v>
      </c>
      <c r="E33" s="127">
        <f>E34*E35</f>
        <v>0</v>
      </c>
      <c r="F33" s="127">
        <f>F34*F35</f>
        <v>0</v>
      </c>
      <c r="G33" s="127">
        <f>G34*G35</f>
        <v>0</v>
      </c>
    </row>
    <row r="34" spans="1:7" s="92" customFormat="1" ht="24" customHeight="1" x14ac:dyDescent="0.3">
      <c r="A34" s="4"/>
      <c r="B34" s="280" t="s">
        <v>388</v>
      </c>
      <c r="C34" s="128"/>
      <c r="D34" s="126">
        <v>0</v>
      </c>
      <c r="E34" s="126">
        <v>0</v>
      </c>
      <c r="F34" s="126">
        <v>0</v>
      </c>
      <c r="G34" s="126">
        <v>0</v>
      </c>
    </row>
    <row r="35" spans="1:7" s="92" customFormat="1" ht="14.4" customHeight="1" x14ac:dyDescent="0.3">
      <c r="A35" s="4"/>
      <c r="B35" s="280" t="s">
        <v>389</v>
      </c>
      <c r="C35" s="128"/>
      <c r="D35" s="126">
        <v>0</v>
      </c>
      <c r="E35" s="126">
        <v>0</v>
      </c>
      <c r="F35" s="126">
        <v>0</v>
      </c>
      <c r="G35" s="126">
        <v>0</v>
      </c>
    </row>
    <row r="36" spans="1:7" s="92" customFormat="1" ht="14.4" customHeight="1" x14ac:dyDescent="0.3">
      <c r="A36" s="4">
        <v>10</v>
      </c>
      <c r="B36" s="280" t="s">
        <v>391</v>
      </c>
      <c r="C36" s="128">
        <f>SUM(D36:G36)</f>
        <v>0</v>
      </c>
      <c r="D36" s="127">
        <f>D37*D38</f>
        <v>0</v>
      </c>
      <c r="E36" s="127">
        <f>E37*E38</f>
        <v>0</v>
      </c>
      <c r="F36" s="127">
        <f>F37*F38</f>
        <v>0</v>
      </c>
      <c r="G36" s="127">
        <f>G37*G38</f>
        <v>0</v>
      </c>
    </row>
    <row r="37" spans="1:7" s="92" customFormat="1" ht="24" customHeight="1" x14ac:dyDescent="0.3">
      <c r="A37" s="4"/>
      <c r="B37" s="280" t="s">
        <v>388</v>
      </c>
      <c r="C37" s="128"/>
      <c r="D37" s="126">
        <v>0</v>
      </c>
      <c r="E37" s="126">
        <v>0</v>
      </c>
      <c r="F37" s="126">
        <v>0</v>
      </c>
      <c r="G37" s="126">
        <v>0</v>
      </c>
    </row>
    <row r="38" spans="1:7" s="92" customFormat="1" ht="14.4" customHeight="1" x14ac:dyDescent="0.3">
      <c r="A38" s="4"/>
      <c r="B38" s="280" t="s">
        <v>389</v>
      </c>
      <c r="C38" s="128"/>
      <c r="D38" s="126">
        <v>0</v>
      </c>
      <c r="E38" s="126">
        <v>0</v>
      </c>
      <c r="F38" s="126">
        <v>0</v>
      </c>
      <c r="G38" s="126">
        <v>0</v>
      </c>
    </row>
    <row r="39" spans="1:7" s="90" customFormat="1" ht="14.4" customHeight="1" x14ac:dyDescent="0.3">
      <c r="A39" s="4"/>
      <c r="B39" s="287" t="s">
        <v>392</v>
      </c>
      <c r="C39" s="128">
        <f>SUM(D39:G39)</f>
        <v>854129309.44891858</v>
      </c>
      <c r="D39" s="128">
        <f>D21+D26+D29+D30+D33+D36</f>
        <v>210684789.92407</v>
      </c>
      <c r="E39" s="128">
        <f>E21+E26+E29+E30+E33+E36</f>
        <v>212583148.21617645</v>
      </c>
      <c r="F39" s="128">
        <f>F21+F26+F29+F30+F33+F36</f>
        <v>214481506.5082829</v>
      </c>
      <c r="G39" s="128">
        <f>G21+G26+G29+G30+G33+G36</f>
        <v>216379864.80038935</v>
      </c>
    </row>
    <row r="40" spans="1:7" s="90" customFormat="1" ht="14.4" customHeight="1" x14ac:dyDescent="0.3">
      <c r="A40" s="4">
        <v>11</v>
      </c>
      <c r="B40" s="280" t="s">
        <v>393</v>
      </c>
      <c r="C40" s="128">
        <f>SUM(D40:G40)</f>
        <v>19012744</v>
      </c>
      <c r="D40" s="128">
        <f>(D41*D42)*D43</f>
        <v>4753186</v>
      </c>
      <c r="E40" s="128">
        <f>(E41*E42)*E43</f>
        <v>4753186</v>
      </c>
      <c r="F40" s="128">
        <f>(F41*F42)*F43</f>
        <v>4753186</v>
      </c>
      <c r="G40" s="128">
        <f>(G41*G42)*G43</f>
        <v>4753186</v>
      </c>
    </row>
    <row r="41" spans="1:7" s="90" customFormat="1" ht="14.4" customHeight="1" x14ac:dyDescent="0.3">
      <c r="A41" s="4"/>
      <c r="B41" s="280" t="s">
        <v>394</v>
      </c>
      <c r="C41" s="128"/>
      <c r="D41" s="126">
        <v>1</v>
      </c>
      <c r="E41" s="126">
        <v>1</v>
      </c>
      <c r="F41" s="126">
        <v>1</v>
      </c>
      <c r="G41" s="126">
        <v>1</v>
      </c>
    </row>
    <row r="42" spans="1:7" s="90" customFormat="1" ht="14.4" customHeight="1" x14ac:dyDescent="0.3">
      <c r="A42" s="4"/>
      <c r="B42" s="280" t="s">
        <v>395</v>
      </c>
      <c r="C42" s="128"/>
      <c r="D42" s="126">
        <f>'1B-ContPP'!C19</f>
        <v>4753186</v>
      </c>
      <c r="E42" s="126">
        <f>D42*1</f>
        <v>4753186</v>
      </c>
      <c r="F42" s="126">
        <f>E42*1</f>
        <v>4753186</v>
      </c>
      <c r="G42" s="126">
        <f>F42*1</f>
        <v>4753186</v>
      </c>
    </row>
    <row r="43" spans="1:7" s="90" customFormat="1" ht="14.4" customHeight="1" x14ac:dyDescent="0.3">
      <c r="A43" s="4"/>
      <c r="B43" s="280" t="s">
        <v>396</v>
      </c>
      <c r="C43" s="128"/>
      <c r="D43" s="126">
        <v>1</v>
      </c>
      <c r="E43" s="126">
        <v>1</v>
      </c>
      <c r="F43" s="126">
        <v>1</v>
      </c>
      <c r="G43" s="126">
        <v>1</v>
      </c>
    </row>
    <row r="44" spans="1:7" s="90" customFormat="1" ht="14.4" customHeight="1" x14ac:dyDescent="0.3">
      <c r="A44" s="7">
        <v>12</v>
      </c>
      <c r="B44" s="6" t="s">
        <v>397</v>
      </c>
      <c r="C44" s="128">
        <f>SUM(D44:G44)</f>
        <v>427786.74</v>
      </c>
      <c r="D44" s="126">
        <f>'1B-ContPP'!C19*0.0225</f>
        <v>106946.685</v>
      </c>
      <c r="E44" s="126">
        <f>D44*1</f>
        <v>106946.685</v>
      </c>
      <c r="F44" s="126">
        <f>E44*1</f>
        <v>106946.685</v>
      </c>
      <c r="G44" s="126">
        <f>F44*1</f>
        <v>106946.685</v>
      </c>
    </row>
    <row r="45" spans="1:7" s="92" customFormat="1" ht="14.4" customHeight="1" x14ac:dyDescent="0.3">
      <c r="A45" s="4"/>
      <c r="B45" s="287" t="s">
        <v>398</v>
      </c>
      <c r="C45" s="128">
        <f>SUM(D45:G45)</f>
        <v>19440530.739999998</v>
      </c>
      <c r="D45" s="213">
        <f>D40+D44</f>
        <v>4860132.6849999996</v>
      </c>
      <c r="E45" s="213">
        <f>E40+E44</f>
        <v>4860132.6849999996</v>
      </c>
      <c r="F45" s="213">
        <f>F40+F44</f>
        <v>4860132.6849999996</v>
      </c>
      <c r="G45" s="213">
        <f>G40+G44</f>
        <v>4860132.6849999996</v>
      </c>
    </row>
    <row r="46" spans="1:7" s="92" customFormat="1" ht="36" customHeight="1" x14ac:dyDescent="0.3">
      <c r="A46" s="4">
        <v>13</v>
      </c>
      <c r="B46" s="6" t="s">
        <v>399</v>
      </c>
      <c r="C46" s="128">
        <f>SUM(D46:G46)</f>
        <v>43013180.537326999</v>
      </c>
      <c r="D46" s="126">
        <f>'1B-ContPP'!C22*1.19*0.01 + '1B-ContPP'!C22*1.19</f>
        <v>10673245.790899999</v>
      </c>
      <c r="E46" s="126">
        <f>D46*0.005 + D46</f>
        <v>10726612.019854499</v>
      </c>
      <c r="F46" s="126">
        <f>D46*0.005+E46</f>
        <v>10779978.248808999</v>
      </c>
      <c r="G46" s="126">
        <f>D46*0.005+F46</f>
        <v>10833344.477763498</v>
      </c>
    </row>
    <row r="47" spans="1:7" s="92" customFormat="1" ht="14.4" customHeight="1" x14ac:dyDescent="0.3">
      <c r="A47" s="4"/>
      <c r="B47" s="280" t="s">
        <v>400</v>
      </c>
      <c r="C47" s="128">
        <f>SUM(D47:G47)</f>
        <v>0</v>
      </c>
      <c r="D47" s="213">
        <f>D48*D49</f>
        <v>0</v>
      </c>
      <c r="E47" s="213">
        <f>E48*E49</f>
        <v>0</v>
      </c>
      <c r="F47" s="213">
        <f>F48*F49</f>
        <v>0</v>
      </c>
      <c r="G47" s="213">
        <f>G48*G49</f>
        <v>0</v>
      </c>
    </row>
    <row r="48" spans="1:7" s="92" customFormat="1" ht="14.4" customHeight="1" x14ac:dyDescent="0.3">
      <c r="A48" s="4"/>
      <c r="B48" s="280" t="s">
        <v>401</v>
      </c>
      <c r="C48" s="128"/>
      <c r="D48" s="126">
        <v>1</v>
      </c>
      <c r="E48" s="126">
        <v>1</v>
      </c>
      <c r="F48" s="126">
        <v>1</v>
      </c>
      <c r="G48" s="126">
        <v>1</v>
      </c>
    </row>
    <row r="49" spans="1:13" s="92" customFormat="1" ht="14.4" customHeight="1" x14ac:dyDescent="0.3">
      <c r="A49" s="4"/>
      <c r="B49" s="280" t="s">
        <v>372</v>
      </c>
      <c r="C49" s="128"/>
      <c r="D49" s="126">
        <v>0</v>
      </c>
      <c r="E49" s="126">
        <f>D49*1.01</f>
        <v>0</v>
      </c>
      <c r="F49" s="126">
        <f>E49*1.01</f>
        <v>0</v>
      </c>
      <c r="G49" s="126">
        <f>F49*1.01</f>
        <v>0</v>
      </c>
    </row>
    <row r="50" spans="1:13" ht="36" customHeight="1" x14ac:dyDescent="0.3">
      <c r="A50" s="7">
        <v>14</v>
      </c>
      <c r="B50" s="287" t="s">
        <v>402</v>
      </c>
      <c r="C50" s="128">
        <f t="shared" ref="C50:C57" si="0">SUM(D50:G50)</f>
        <v>966294.74655000004</v>
      </c>
      <c r="D50" s="126">
        <f>'1B-ContPP'!C36*0.005 +'1B-ContPP'!C36</f>
        <v>240491.47500000001</v>
      </c>
      <c r="E50" s="126">
        <f>D50*0.003 + D50</f>
        <v>241212.949425</v>
      </c>
      <c r="F50" s="126">
        <f>D50*0.003 + E50</f>
        <v>241934.42384999999</v>
      </c>
      <c r="G50" s="126">
        <f>D50*0.003 + F50</f>
        <v>242655.89827499999</v>
      </c>
      <c r="H50" s="93"/>
      <c r="I50" s="93"/>
      <c r="J50" s="93"/>
      <c r="K50" s="93"/>
      <c r="L50" s="93"/>
      <c r="M50" s="93"/>
    </row>
    <row r="51" spans="1:13" ht="24" customHeight="1" x14ac:dyDescent="0.3">
      <c r="A51" s="7"/>
      <c r="B51" s="287" t="s">
        <v>403</v>
      </c>
      <c r="C51" s="128">
        <f t="shared" si="0"/>
        <v>917549315.47279572</v>
      </c>
      <c r="D51" s="127">
        <f>D39+D45+D46+D50</f>
        <v>226458659.87496999</v>
      </c>
      <c r="E51" s="127">
        <f>E39+E45+E46+E50</f>
        <v>228411105.87045595</v>
      </c>
      <c r="F51" s="127">
        <f>F39+F45+F46+F50</f>
        <v>230363551.86594191</v>
      </c>
      <c r="G51" s="127">
        <f>G39+G45+G46+G50</f>
        <v>232315997.86142784</v>
      </c>
      <c r="H51" s="93"/>
      <c r="I51" s="93"/>
      <c r="J51" s="93"/>
      <c r="K51" s="93"/>
      <c r="L51" s="93"/>
      <c r="M51" s="93"/>
    </row>
    <row r="52" spans="1:13" ht="24" customHeight="1" x14ac:dyDescent="0.3">
      <c r="A52" s="7"/>
      <c r="B52" s="287" t="s">
        <v>404</v>
      </c>
      <c r="C52" s="128">
        <f t="shared" si="0"/>
        <v>24310886.065367848</v>
      </c>
      <c r="D52" s="127">
        <f>D18-D51</f>
        <v>8302108.2053300142</v>
      </c>
      <c r="E52" s="127">
        <f>E18-E51</f>
        <v>6819183.7460046411</v>
      </c>
      <c r="F52" s="127">
        <f>F18-F51</f>
        <v>5336259.2866792679</v>
      </c>
      <c r="G52" s="127">
        <f>G18-G51</f>
        <v>3853334.8273539245</v>
      </c>
      <c r="H52" s="93"/>
      <c r="I52" s="93"/>
      <c r="J52" s="93"/>
      <c r="K52" s="93"/>
      <c r="L52" s="93"/>
      <c r="M52" s="93"/>
    </row>
    <row r="53" spans="1:13" x14ac:dyDescent="0.3">
      <c r="A53" s="7">
        <v>15</v>
      </c>
      <c r="B53" s="8" t="s">
        <v>405</v>
      </c>
      <c r="C53" s="128">
        <f t="shared" si="0"/>
        <v>7139802.6847600043</v>
      </c>
      <c r="D53" s="126">
        <f>D18*0.19/1.19 - (D21+D26+D29+D30+D46)*0.19/1.19</f>
        <v>2139932.0583300069</v>
      </c>
      <c r="E53" s="126">
        <f>E18*0.19/1.19 - (E21+E26+E29+E30+E46)*0.19/1.19</f>
        <v>1903277.8002366722</v>
      </c>
      <c r="F53" s="126">
        <f>F18*0.19/1.19 - (F21+F26+F29+F30+F46)*0.19/1.19</f>
        <v>1666623.54214333</v>
      </c>
      <c r="G53" s="126">
        <f>G18*0.19/1.19 - (G21+G26+G29+G30+G46)*0.19/1.19</f>
        <v>1429969.2840499952</v>
      </c>
      <c r="H53" s="93"/>
      <c r="I53" s="93"/>
      <c r="J53" s="93"/>
      <c r="K53" s="93"/>
      <c r="L53" s="93"/>
      <c r="M53" s="93"/>
    </row>
    <row r="54" spans="1:13" x14ac:dyDescent="0.3">
      <c r="A54" s="7">
        <v>16</v>
      </c>
      <c r="B54" s="8" t="s">
        <v>406</v>
      </c>
      <c r="C54" s="128">
        <f t="shared" si="0"/>
        <v>0</v>
      </c>
      <c r="D54" s="126">
        <v>0</v>
      </c>
      <c r="E54" s="126">
        <v>0</v>
      </c>
      <c r="F54" s="126">
        <v>0</v>
      </c>
      <c r="G54" s="126">
        <v>0</v>
      </c>
      <c r="H54" s="93"/>
      <c r="I54" s="93"/>
      <c r="J54" s="93"/>
      <c r="K54" s="93"/>
      <c r="L54" s="93"/>
      <c r="M54" s="93"/>
    </row>
    <row r="55" spans="1:13" x14ac:dyDescent="0.3">
      <c r="A55" s="7">
        <v>17</v>
      </c>
      <c r="B55" s="8" t="s">
        <v>407</v>
      </c>
      <c r="C55" s="128">
        <f t="shared" si="0"/>
        <v>9043773.898278635</v>
      </c>
      <c r="D55" s="126">
        <f>(D18/1.19)*1/100</f>
        <v>1972779.5637000001</v>
      </c>
      <c r="E55" s="126">
        <f>E18*1/100</f>
        <v>2352302.8961646059</v>
      </c>
      <c r="F55" s="126">
        <f>F18*1/100</f>
        <v>2356998.1115262117</v>
      </c>
      <c r="G55" s="126">
        <f>G18*1/100</f>
        <v>2361693.3268878176</v>
      </c>
      <c r="H55" s="93"/>
      <c r="I55" s="93"/>
      <c r="J55" s="93"/>
      <c r="K55" s="93"/>
      <c r="L55" s="93"/>
      <c r="M55" s="93"/>
    </row>
    <row r="56" spans="1:13" ht="24" customHeight="1" x14ac:dyDescent="0.3">
      <c r="A56" s="7"/>
      <c r="B56" s="287" t="s">
        <v>408</v>
      </c>
      <c r="C56" s="128">
        <f t="shared" si="0"/>
        <v>16183576.583038639</v>
      </c>
      <c r="D56" s="127">
        <f>D53-D54+D55</f>
        <v>4112711.6220300067</v>
      </c>
      <c r="E56" s="127">
        <f>E53-E54+E55</f>
        <v>4255580.6964012776</v>
      </c>
      <c r="F56" s="127">
        <f>F53-F54+F55</f>
        <v>4023621.6536695417</v>
      </c>
      <c r="G56" s="127">
        <f>G53-G54+G55</f>
        <v>3791662.6109378128</v>
      </c>
      <c r="H56" s="93"/>
      <c r="I56" s="93"/>
      <c r="J56" s="93"/>
      <c r="K56" s="93"/>
      <c r="L56" s="93"/>
      <c r="M56" s="93"/>
    </row>
    <row r="57" spans="1:13" s="92" customFormat="1" ht="24" customHeight="1" x14ac:dyDescent="0.3">
      <c r="A57" s="25"/>
      <c r="B57" s="287" t="s">
        <v>409</v>
      </c>
      <c r="C57" s="128">
        <f t="shared" si="0"/>
        <v>8127309.4823292084</v>
      </c>
      <c r="D57" s="128">
        <f>D52-D56</f>
        <v>4189396.5833000075</v>
      </c>
      <c r="E57" s="128">
        <f>E52-E56</f>
        <v>2563603.0496033635</v>
      </c>
      <c r="F57" s="128">
        <f>F52-F56</f>
        <v>1312637.6330097262</v>
      </c>
      <c r="G57" s="128">
        <f>G52-G56</f>
        <v>61672.216416111682</v>
      </c>
    </row>
    <row r="58" spans="1:13" x14ac:dyDescent="0.3">
      <c r="A58" s="11"/>
      <c r="B58" s="280" t="s">
        <v>410</v>
      </c>
      <c r="C58" s="128">
        <f>'1A-Bilant'!D28</f>
        <v>0</v>
      </c>
      <c r="D58" s="127">
        <f>'1A-Bilant'!C28</f>
        <v>1964645</v>
      </c>
      <c r="E58" s="127">
        <f>D59</f>
        <v>6154041.5833000075</v>
      </c>
      <c r="F58" s="127">
        <f>E59</f>
        <v>8717644.632903371</v>
      </c>
      <c r="G58" s="127">
        <f>F59</f>
        <v>10030282.265913097</v>
      </c>
      <c r="H58" s="93"/>
      <c r="I58" s="93"/>
      <c r="J58" s="93"/>
      <c r="K58" s="93"/>
      <c r="L58" s="93"/>
      <c r="M58" s="93"/>
    </row>
    <row r="59" spans="1:13" x14ac:dyDescent="0.3">
      <c r="A59" s="9"/>
      <c r="B59" s="280" t="s">
        <v>411</v>
      </c>
      <c r="C59" s="128"/>
      <c r="D59" s="127">
        <f>D58+D57</f>
        <v>6154041.5833000075</v>
      </c>
      <c r="E59" s="127">
        <f>E58+E57</f>
        <v>8717644.632903371</v>
      </c>
      <c r="F59" s="127">
        <f>F58+F57</f>
        <v>10030282.265913097</v>
      </c>
      <c r="G59" s="127">
        <f>G58+G57</f>
        <v>10091954.482329208</v>
      </c>
      <c r="H59" s="93"/>
      <c r="I59" s="93"/>
      <c r="J59" s="93"/>
      <c r="K59" s="93"/>
      <c r="L59" s="93"/>
      <c r="M59" s="93"/>
    </row>
    <row r="60" spans="1:13" s="90" customFormat="1" ht="14.4" customHeight="1" x14ac:dyDescent="0.3">
      <c r="A60" s="381" t="s">
        <v>412</v>
      </c>
      <c r="B60" s="329"/>
      <c r="C60" s="329"/>
      <c r="D60" s="329"/>
      <c r="E60" s="329"/>
      <c r="F60" s="329"/>
      <c r="G60" s="329"/>
    </row>
    <row r="61" spans="1:13" s="90" customFormat="1" ht="14.4" customHeight="1" x14ac:dyDescent="0.3">
      <c r="A61" s="377" t="s">
        <v>359</v>
      </c>
      <c r="B61" s="378"/>
      <c r="C61" s="379" t="s">
        <v>286</v>
      </c>
      <c r="D61" s="374" t="s">
        <v>360</v>
      </c>
      <c r="E61" s="329"/>
      <c r="F61" s="329"/>
      <c r="G61" s="330"/>
    </row>
    <row r="62" spans="1:13" s="90" customFormat="1" ht="27" customHeight="1" x14ac:dyDescent="0.3">
      <c r="A62" s="350"/>
      <c r="B62" s="350"/>
      <c r="C62" s="350"/>
      <c r="D62" s="266" t="s">
        <v>361</v>
      </c>
      <c r="E62" s="281" t="s">
        <v>362</v>
      </c>
      <c r="F62" s="281" t="s">
        <v>363</v>
      </c>
      <c r="G62" s="281" t="s">
        <v>364</v>
      </c>
    </row>
    <row r="63" spans="1:13" s="90" customFormat="1" ht="14.4" customHeight="1" x14ac:dyDescent="0.3">
      <c r="A63" s="370" t="s">
        <v>413</v>
      </c>
      <c r="B63" s="329"/>
      <c r="C63" s="329"/>
      <c r="D63" s="329"/>
      <c r="E63" s="329"/>
      <c r="F63" s="329"/>
      <c r="G63" s="330"/>
    </row>
    <row r="64" spans="1:13" s="90" customFormat="1" ht="14.4" customHeight="1" x14ac:dyDescent="0.3">
      <c r="A64" s="371" t="s">
        <v>366</v>
      </c>
      <c r="B64" s="329"/>
      <c r="C64" s="329"/>
      <c r="D64" s="329"/>
      <c r="E64" s="329"/>
      <c r="F64" s="329"/>
      <c r="G64" s="330"/>
    </row>
    <row r="65" spans="1:9" s="90" customFormat="1" ht="14.4" customHeight="1" x14ac:dyDescent="0.3">
      <c r="A65" s="4">
        <v>1</v>
      </c>
      <c r="B65" s="280" t="s">
        <v>367</v>
      </c>
      <c r="C65" s="128">
        <f>SUM(D65:G65)</f>
        <v>0</v>
      </c>
      <c r="D65" s="127">
        <f>D66*D67</f>
        <v>0</v>
      </c>
      <c r="E65" s="127">
        <f>E66*E67</f>
        <v>0</v>
      </c>
      <c r="F65" s="127">
        <f>F66*F67</f>
        <v>0</v>
      </c>
      <c r="G65" s="127">
        <f>G66*G67</f>
        <v>0</v>
      </c>
    </row>
    <row r="66" spans="1:9" s="91" customFormat="1" ht="14.4" customHeight="1" x14ac:dyDescent="0.3">
      <c r="A66" s="5"/>
      <c r="B66" s="280" t="s">
        <v>368</v>
      </c>
      <c r="C66" s="128"/>
      <c r="D66" s="126">
        <v>0</v>
      </c>
      <c r="E66" s="126">
        <v>0</v>
      </c>
      <c r="F66" s="126">
        <v>0</v>
      </c>
      <c r="G66" s="126">
        <v>0</v>
      </c>
    </row>
    <row r="67" spans="1:9" s="91" customFormat="1" ht="14.4" customHeight="1" x14ac:dyDescent="0.3">
      <c r="A67" s="5"/>
      <c r="B67" s="280" t="s">
        <v>369</v>
      </c>
      <c r="C67" s="128"/>
      <c r="D67" s="126">
        <v>0</v>
      </c>
      <c r="E67" s="126">
        <v>0</v>
      </c>
      <c r="F67" s="126">
        <v>0</v>
      </c>
      <c r="G67" s="126">
        <v>0</v>
      </c>
      <c r="I67" s="236"/>
    </row>
    <row r="68" spans="1:9" s="90" customFormat="1" ht="14.4" customHeight="1" x14ac:dyDescent="0.3">
      <c r="A68" s="4">
        <v>2</v>
      </c>
      <c r="B68" s="280" t="s">
        <v>370</v>
      </c>
      <c r="C68" s="128">
        <f>SUM(D68:G68)</f>
        <v>0</v>
      </c>
      <c r="D68" s="127">
        <f>D69*D70</f>
        <v>0</v>
      </c>
      <c r="E68" s="127">
        <f>E69*E70</f>
        <v>0</v>
      </c>
      <c r="F68" s="127">
        <f>F69*F70</f>
        <v>0</v>
      </c>
      <c r="G68" s="127">
        <f>G69*G70</f>
        <v>0</v>
      </c>
    </row>
    <row r="69" spans="1:9" s="91" customFormat="1" ht="14.4" customHeight="1" x14ac:dyDescent="0.3">
      <c r="A69" s="5"/>
      <c r="B69" s="280" t="s">
        <v>371</v>
      </c>
      <c r="C69" s="128"/>
      <c r="D69" s="126">
        <v>1</v>
      </c>
      <c r="E69" s="126">
        <v>1</v>
      </c>
      <c r="F69" s="126">
        <v>1</v>
      </c>
      <c r="G69" s="126">
        <v>1</v>
      </c>
    </row>
    <row r="70" spans="1:9" s="91" customFormat="1" ht="14.4" customHeight="1" x14ac:dyDescent="0.3">
      <c r="A70" s="5"/>
      <c r="B70" s="280" t="s">
        <v>372</v>
      </c>
      <c r="C70" s="128"/>
      <c r="D70" s="126">
        <v>0</v>
      </c>
      <c r="E70" s="126">
        <v>0</v>
      </c>
      <c r="F70" s="126">
        <f>E70*1.02</f>
        <v>0</v>
      </c>
      <c r="G70" s="126">
        <f>F70*1.03</f>
        <v>0</v>
      </c>
    </row>
    <row r="71" spans="1:9" s="90" customFormat="1" ht="14.4" customHeight="1" x14ac:dyDescent="0.3">
      <c r="A71" s="4">
        <v>3</v>
      </c>
      <c r="B71" s="280" t="s">
        <v>373</v>
      </c>
      <c r="C71" s="128">
        <f>SUM(D71:G71)</f>
        <v>941860201.53816354</v>
      </c>
      <c r="D71" s="127">
        <f>D72*D73</f>
        <v>234760768.0803</v>
      </c>
      <c r="E71" s="127">
        <f>E72*E73</f>
        <v>234995528.8483803</v>
      </c>
      <c r="F71" s="127">
        <f>F72*F73</f>
        <v>235699811.15262121</v>
      </c>
      <c r="G71" s="127">
        <f>G72*G73</f>
        <v>236404093.45686212</v>
      </c>
    </row>
    <row r="72" spans="1:9" s="91" customFormat="1" ht="14.4" customHeight="1" x14ac:dyDescent="0.3">
      <c r="A72" s="5"/>
      <c r="B72" s="280" t="s">
        <v>374</v>
      </c>
      <c r="C72" s="128"/>
      <c r="D72" s="126">
        <v>1</v>
      </c>
      <c r="E72" s="126">
        <v>1</v>
      </c>
      <c r="F72" s="126">
        <v>1</v>
      </c>
      <c r="G72" s="126">
        <v>1</v>
      </c>
    </row>
    <row r="73" spans="1:9" s="91" customFormat="1" ht="14.4" customHeight="1" x14ac:dyDescent="0.3">
      <c r="A73" s="5"/>
      <c r="B73" s="280" t="s">
        <v>375</v>
      </c>
      <c r="C73" s="128"/>
      <c r="D73" s="126">
        <f>D17</f>
        <v>234760768.0803</v>
      </c>
      <c r="E73" s="126">
        <f>D73*0.001 + D73</f>
        <v>234995528.8483803</v>
      </c>
      <c r="F73" s="126">
        <f>D73*0.003 + E73</f>
        <v>235699811.15262121</v>
      </c>
      <c r="G73" s="126">
        <f>D73*0.003 + F73</f>
        <v>236404093.45686212</v>
      </c>
    </row>
    <row r="74" spans="1:9" s="92" customFormat="1" ht="24" customHeight="1" x14ac:dyDescent="0.3">
      <c r="A74" s="147"/>
      <c r="B74" s="287" t="s">
        <v>414</v>
      </c>
      <c r="C74" s="128">
        <f>SUM(D74:G74)</f>
        <v>941860201.53816354</v>
      </c>
      <c r="D74" s="128">
        <f>D65+D68+D71</f>
        <v>234760768.0803</v>
      </c>
      <c r="E74" s="128">
        <f>E65+E68+E71</f>
        <v>234995528.8483803</v>
      </c>
      <c r="F74" s="128">
        <f>F65+F68+F71</f>
        <v>235699811.15262121</v>
      </c>
      <c r="G74" s="128">
        <f>G65+G68+G71</f>
        <v>236404093.45686212</v>
      </c>
    </row>
    <row r="75" spans="1:9" s="92" customFormat="1" ht="14.4" customHeight="1" x14ac:dyDescent="0.3">
      <c r="A75" s="370" t="s">
        <v>415</v>
      </c>
      <c r="B75" s="329"/>
      <c r="C75" s="329"/>
      <c r="D75" s="329"/>
      <c r="E75" s="329"/>
      <c r="F75" s="329"/>
      <c r="G75" s="330"/>
    </row>
    <row r="76" spans="1:9" s="92" customFormat="1" ht="14.4" customHeight="1" x14ac:dyDescent="0.3">
      <c r="A76" s="371" t="s">
        <v>378</v>
      </c>
      <c r="B76" s="329"/>
      <c r="C76" s="329"/>
      <c r="D76" s="329"/>
      <c r="E76" s="329"/>
      <c r="F76" s="329"/>
      <c r="G76" s="330"/>
    </row>
    <row r="77" spans="1:9" s="90" customFormat="1" ht="24" customHeight="1" x14ac:dyDescent="0.3">
      <c r="A77" s="4">
        <v>5</v>
      </c>
      <c r="B77" s="6" t="s">
        <v>379</v>
      </c>
      <c r="C77" s="128">
        <f>SUM(D77:G77)</f>
        <v>4515558.6969379606</v>
      </c>
      <c r="D77" s="127">
        <f>SUM(D78*D79)+SUM(D80*D81)</f>
        <v>1125513.1348299999</v>
      </c>
      <c r="E77" s="127">
        <f>SUM(E78*E79)+SUM(E80*E81)</f>
        <v>1127764.16109966</v>
      </c>
      <c r="F77" s="127">
        <f>SUM(F78*F79)+SUM(F80*F81)</f>
        <v>1130015.1873693201</v>
      </c>
      <c r="G77" s="127">
        <f>SUM(G78*G79)+SUM(G80*G81)</f>
        <v>1132266.2136389802</v>
      </c>
    </row>
    <row r="78" spans="1:9" s="92" customFormat="1" ht="14.4" customHeight="1" x14ac:dyDescent="0.3">
      <c r="A78" s="4"/>
      <c r="B78" s="280" t="s">
        <v>380</v>
      </c>
      <c r="C78" s="128"/>
      <c r="D78" s="126">
        <v>1</v>
      </c>
      <c r="E78" s="126">
        <v>1</v>
      </c>
      <c r="F78" s="126">
        <v>1</v>
      </c>
      <c r="G78" s="126">
        <v>1</v>
      </c>
    </row>
    <row r="79" spans="1:9" s="92" customFormat="1" ht="14.4" customHeight="1" x14ac:dyDescent="0.3">
      <c r="A79" s="4"/>
      <c r="B79" s="280" t="s">
        <v>381</v>
      </c>
      <c r="C79" s="128"/>
      <c r="D79" s="126">
        <f>D23</f>
        <v>1125513.1348299999</v>
      </c>
      <c r="E79" s="126">
        <f>D79*0.002 + D79</f>
        <v>1127764.16109966</v>
      </c>
      <c r="F79" s="126">
        <f>D79*0.002 +E79</f>
        <v>1130015.1873693201</v>
      </c>
      <c r="G79" s="126">
        <f>D79*0.002 +F79</f>
        <v>1132266.2136389802</v>
      </c>
    </row>
    <row r="80" spans="1:9" s="92" customFormat="1" ht="14.4" customHeight="1" x14ac:dyDescent="0.3">
      <c r="A80" s="4"/>
      <c r="B80" s="280" t="s">
        <v>382</v>
      </c>
      <c r="C80" s="128"/>
      <c r="D80" s="126">
        <v>0</v>
      </c>
      <c r="E80" s="126">
        <v>0</v>
      </c>
      <c r="F80" s="126">
        <v>0</v>
      </c>
      <c r="G80" s="126">
        <v>0</v>
      </c>
    </row>
    <row r="81" spans="1:7" s="92" customFormat="1" ht="14.4" customHeight="1" x14ac:dyDescent="0.3">
      <c r="A81" s="4"/>
      <c r="B81" s="280" t="s">
        <v>383</v>
      </c>
      <c r="C81" s="128"/>
      <c r="D81" s="126">
        <f>'1B-ContPP'!D14*1.19*1.1</f>
        <v>0</v>
      </c>
      <c r="E81" s="126">
        <f>D81*1.05</f>
        <v>0</v>
      </c>
      <c r="F81" s="126">
        <f>E81*1.05</f>
        <v>0</v>
      </c>
      <c r="G81" s="126">
        <f>F81*1.05</f>
        <v>0</v>
      </c>
    </row>
    <row r="82" spans="1:7" s="90" customFormat="1" ht="14.4" customHeight="1" x14ac:dyDescent="0.3">
      <c r="A82" s="4">
        <v>6</v>
      </c>
      <c r="B82" s="6" t="s">
        <v>384</v>
      </c>
      <c r="C82" s="128">
        <f>SUM(D82:G82)</f>
        <v>843719650.31128335</v>
      </c>
      <c r="D82" s="127">
        <f>D83*D84</f>
        <v>209359714.71744001</v>
      </c>
      <c r="E82" s="127">
        <f>E83*E84</f>
        <v>210406513.29102722</v>
      </c>
      <c r="F82" s="127">
        <f>F83*F84</f>
        <v>211453311.86461443</v>
      </c>
      <c r="G82" s="127">
        <f>G83*G84</f>
        <v>212500110.43820164</v>
      </c>
    </row>
    <row r="83" spans="1:7" s="92" customFormat="1" ht="14.4" customHeight="1" x14ac:dyDescent="0.3">
      <c r="A83" s="4"/>
      <c r="B83" s="280" t="s">
        <v>374</v>
      </c>
      <c r="C83" s="128"/>
      <c r="D83" s="126">
        <v>1</v>
      </c>
      <c r="E83" s="126">
        <v>1</v>
      </c>
      <c r="F83" s="126">
        <v>1</v>
      </c>
      <c r="G83" s="126">
        <v>1</v>
      </c>
    </row>
    <row r="84" spans="1:7" s="92" customFormat="1" ht="14.4" customHeight="1" x14ac:dyDescent="0.3">
      <c r="A84" s="4"/>
      <c r="B84" s="280" t="s">
        <v>385</v>
      </c>
      <c r="C84" s="128"/>
      <c r="D84" s="126">
        <f>D28</f>
        <v>209359714.71744001</v>
      </c>
      <c r="E84" s="126">
        <f>D84*0.005 + D84</f>
        <v>210406513.29102722</v>
      </c>
      <c r="F84" s="126">
        <f>D84*0.005+E84</f>
        <v>211453311.86461443</v>
      </c>
      <c r="G84" s="126">
        <f>D84*0.005+F84</f>
        <v>212500110.43820164</v>
      </c>
    </row>
    <row r="85" spans="1:7" s="92" customFormat="1" ht="24" customHeight="1" x14ac:dyDescent="0.3">
      <c r="A85" s="4">
        <v>7</v>
      </c>
      <c r="B85" s="280" t="s">
        <v>386</v>
      </c>
      <c r="C85" s="128">
        <f>SUM(D85:G85)</f>
        <v>0</v>
      </c>
      <c r="D85" s="126">
        <f>D29</f>
        <v>0</v>
      </c>
      <c r="E85" s="126">
        <f>D85*0.002 + D85</f>
        <v>0</v>
      </c>
      <c r="F85" s="126">
        <f>D85*0.002 + E85</f>
        <v>0</v>
      </c>
      <c r="G85" s="126">
        <f>D85*0.002 +F85</f>
        <v>0</v>
      </c>
    </row>
    <row r="86" spans="1:7" s="92" customFormat="1" ht="14.4" customHeight="1" x14ac:dyDescent="0.3">
      <c r="A86" s="4">
        <v>8</v>
      </c>
      <c r="B86" s="280" t="s">
        <v>387</v>
      </c>
      <c r="C86" s="128">
        <f>SUM(D86:G86)</f>
        <v>800643.03206160001</v>
      </c>
      <c r="D86" s="127">
        <f>D87*D88</f>
        <v>199562.07180000001</v>
      </c>
      <c r="E86" s="127">
        <f>E87*E88</f>
        <v>199961.1959436</v>
      </c>
      <c r="F86" s="127">
        <f>F87*F88</f>
        <v>200360.3200872</v>
      </c>
      <c r="G86" s="127">
        <f>G87*G88</f>
        <v>200759.4442308</v>
      </c>
    </row>
    <row r="87" spans="1:7" s="92" customFormat="1" ht="24" customHeight="1" x14ac:dyDescent="0.3">
      <c r="A87" s="4"/>
      <c r="B87" s="280" t="s">
        <v>388</v>
      </c>
      <c r="C87" s="128"/>
      <c r="D87" s="126">
        <v>1</v>
      </c>
      <c r="E87" s="126">
        <v>1</v>
      </c>
      <c r="F87" s="126">
        <v>1</v>
      </c>
      <c r="G87" s="126">
        <v>1</v>
      </c>
    </row>
    <row r="88" spans="1:7" s="92" customFormat="1" ht="14.4" customHeight="1" x14ac:dyDescent="0.3">
      <c r="A88" s="4"/>
      <c r="B88" s="280" t="s">
        <v>389</v>
      </c>
      <c r="C88" s="128"/>
      <c r="D88" s="126">
        <f>D32</f>
        <v>199562.07180000001</v>
      </c>
      <c r="E88" s="126">
        <f>D88*0.002 +D88</f>
        <v>199961.1959436</v>
      </c>
      <c r="F88" s="126">
        <f>D88*0.002 + E88</f>
        <v>200360.3200872</v>
      </c>
      <c r="G88" s="126">
        <f>D88*0.002 +F88</f>
        <v>200759.4442308</v>
      </c>
    </row>
    <row r="89" spans="1:7" s="92" customFormat="1" ht="14.4" customHeight="1" x14ac:dyDescent="0.3">
      <c r="A89" s="4">
        <v>9</v>
      </c>
      <c r="B89" s="280" t="s">
        <v>390</v>
      </c>
      <c r="C89" s="128">
        <f>SUM(D89:G89)</f>
        <v>0</v>
      </c>
      <c r="D89" s="127">
        <f>D90*D91</f>
        <v>0</v>
      </c>
      <c r="E89" s="127">
        <f>E90*E91</f>
        <v>0</v>
      </c>
      <c r="F89" s="127">
        <f>F90*F91</f>
        <v>0</v>
      </c>
      <c r="G89" s="127">
        <f>G90*G91</f>
        <v>0</v>
      </c>
    </row>
    <row r="90" spans="1:7" s="92" customFormat="1" ht="24" customHeight="1" x14ac:dyDescent="0.3">
      <c r="A90" s="4"/>
      <c r="B90" s="280" t="s">
        <v>388</v>
      </c>
      <c r="C90" s="128"/>
      <c r="D90" s="126">
        <v>0</v>
      </c>
      <c r="E90" s="126">
        <v>0</v>
      </c>
      <c r="F90" s="126">
        <v>0</v>
      </c>
      <c r="G90" s="126">
        <v>0</v>
      </c>
    </row>
    <row r="91" spans="1:7" s="92" customFormat="1" ht="14.4" customHeight="1" x14ac:dyDescent="0.3">
      <c r="A91" s="4"/>
      <c r="B91" s="280" t="s">
        <v>389</v>
      </c>
      <c r="C91" s="128"/>
      <c r="D91" s="126">
        <v>0</v>
      </c>
      <c r="E91" s="126">
        <v>0</v>
      </c>
      <c r="F91" s="126">
        <v>0</v>
      </c>
      <c r="G91" s="126">
        <v>0</v>
      </c>
    </row>
    <row r="92" spans="1:7" s="92" customFormat="1" ht="14.4" customHeight="1" x14ac:dyDescent="0.3">
      <c r="A92" s="4">
        <v>10</v>
      </c>
      <c r="B92" s="280" t="s">
        <v>391</v>
      </c>
      <c r="C92" s="128">
        <f>SUM(D92:G92)</f>
        <v>0</v>
      </c>
      <c r="D92" s="127">
        <f>D93*D94</f>
        <v>0</v>
      </c>
      <c r="E92" s="127">
        <f>E93*E94</f>
        <v>0</v>
      </c>
      <c r="F92" s="127">
        <f>F93*F94</f>
        <v>0</v>
      </c>
      <c r="G92" s="127">
        <f>G93*G94</f>
        <v>0</v>
      </c>
    </row>
    <row r="93" spans="1:7" s="92" customFormat="1" ht="24" customHeight="1" x14ac:dyDescent="0.3">
      <c r="A93" s="4"/>
      <c r="B93" s="280" t="s">
        <v>388</v>
      </c>
      <c r="C93" s="128"/>
      <c r="D93" s="126">
        <v>0</v>
      </c>
      <c r="E93" s="126">
        <v>0</v>
      </c>
      <c r="F93" s="126">
        <v>0</v>
      </c>
      <c r="G93" s="126">
        <v>0</v>
      </c>
    </row>
    <row r="94" spans="1:7" s="92" customFormat="1" ht="14.4" customHeight="1" x14ac:dyDescent="0.3">
      <c r="A94" s="4"/>
      <c r="B94" s="280" t="s">
        <v>389</v>
      </c>
      <c r="C94" s="128"/>
      <c r="D94" s="126">
        <v>0</v>
      </c>
      <c r="E94" s="126">
        <v>0</v>
      </c>
      <c r="F94" s="126">
        <v>0</v>
      </c>
      <c r="G94" s="126">
        <v>0</v>
      </c>
    </row>
    <row r="95" spans="1:7" s="90" customFormat="1" ht="14.4" customHeight="1" x14ac:dyDescent="0.3">
      <c r="A95" s="4"/>
      <c r="B95" s="287" t="s">
        <v>392</v>
      </c>
      <c r="C95" s="128">
        <f>SUM(D95:G95)</f>
        <v>849035852.04028273</v>
      </c>
      <c r="D95" s="128">
        <f>D77+D82+D85+D86+D89+D92</f>
        <v>210684789.92407</v>
      </c>
      <c r="E95" s="128">
        <f>E77+E82+E85+E86+E89+E92</f>
        <v>211734238.64807048</v>
      </c>
      <c r="F95" s="128">
        <f>F77+F82+F85+F86+F89+F92</f>
        <v>212783687.37207094</v>
      </c>
      <c r="G95" s="128">
        <f>G77+G82+G85+G86+G89+G92</f>
        <v>213833136.09607142</v>
      </c>
    </row>
    <row r="96" spans="1:7" s="90" customFormat="1" ht="14.4" customHeight="1" x14ac:dyDescent="0.3">
      <c r="A96" s="4">
        <v>11</v>
      </c>
      <c r="B96" s="280" t="s">
        <v>393</v>
      </c>
      <c r="C96" s="128">
        <f>SUM(D96:G96)</f>
        <v>19126820.463999998</v>
      </c>
      <c r="D96" s="128">
        <f>SUM(D97*D98)*D99</f>
        <v>4753186</v>
      </c>
      <c r="E96" s="128">
        <f>SUM(E97*E98)*E99</f>
        <v>4772198.7439999999</v>
      </c>
      <c r="F96" s="128">
        <f>SUM(F97*F98)*F99</f>
        <v>4791211.4879999999</v>
      </c>
      <c r="G96" s="128">
        <f>SUM(G97*G98)*G99</f>
        <v>4810224.2319999998</v>
      </c>
    </row>
    <row r="97" spans="1:7" s="90" customFormat="1" ht="14.4" customHeight="1" x14ac:dyDescent="0.3">
      <c r="A97" s="4"/>
      <c r="B97" s="280" t="s">
        <v>394</v>
      </c>
      <c r="C97" s="128"/>
      <c r="D97" s="126">
        <v>1</v>
      </c>
      <c r="E97" s="126">
        <v>1</v>
      </c>
      <c r="F97" s="126">
        <v>1</v>
      </c>
      <c r="G97" s="126">
        <v>1</v>
      </c>
    </row>
    <row r="98" spans="1:7" s="90" customFormat="1" ht="14.4" customHeight="1" x14ac:dyDescent="0.3">
      <c r="A98" s="4"/>
      <c r="B98" s="280" t="s">
        <v>395</v>
      </c>
      <c r="C98" s="128"/>
      <c r="D98" s="126">
        <f>'1B-ContPP'!C19</f>
        <v>4753186</v>
      </c>
      <c r="E98" s="126">
        <f>D98*0.004 + D98</f>
        <v>4772198.7439999999</v>
      </c>
      <c r="F98" s="126">
        <f>D98*0.004 + E98</f>
        <v>4791211.4879999999</v>
      </c>
      <c r="G98" s="126">
        <f>D98*0.004 + F98</f>
        <v>4810224.2319999998</v>
      </c>
    </row>
    <row r="99" spans="1:7" s="90" customFormat="1" ht="14.4" customHeight="1" x14ac:dyDescent="0.3">
      <c r="A99" s="4"/>
      <c r="B99" s="280" t="s">
        <v>396</v>
      </c>
      <c r="C99" s="128"/>
      <c r="D99" s="126">
        <v>1</v>
      </c>
      <c r="E99" s="126">
        <v>1</v>
      </c>
      <c r="F99" s="126">
        <v>1</v>
      </c>
      <c r="G99" s="126">
        <v>1</v>
      </c>
    </row>
    <row r="100" spans="1:7" s="90" customFormat="1" ht="14.4" customHeight="1" x14ac:dyDescent="0.3">
      <c r="A100" s="7">
        <v>12</v>
      </c>
      <c r="B100" s="6" t="s">
        <v>397</v>
      </c>
      <c r="C100" s="128"/>
      <c r="D100" s="126">
        <f>D96*2.25%</f>
        <v>106946.685</v>
      </c>
      <c r="E100" s="126">
        <f>E96*2.25%</f>
        <v>107374.47173999999</v>
      </c>
      <c r="F100" s="126">
        <f>F96*2.25%</f>
        <v>107802.25847999999</v>
      </c>
      <c r="G100" s="126">
        <f>G96*2.25%</f>
        <v>108230.04521999999</v>
      </c>
    </row>
    <row r="101" spans="1:7" s="92" customFormat="1" ht="14.4" customHeight="1" x14ac:dyDescent="0.3">
      <c r="A101" s="4"/>
      <c r="B101" s="287" t="s">
        <v>398</v>
      </c>
      <c r="C101" s="128">
        <f>SUM(D101:G101)</f>
        <v>19557173.92444</v>
      </c>
      <c r="D101" s="213">
        <f>D100+D96</f>
        <v>4860132.6849999996</v>
      </c>
      <c r="E101" s="213">
        <f>E100+E96</f>
        <v>4879573.2157399999</v>
      </c>
      <c r="F101" s="213">
        <f>F100+F96</f>
        <v>4899013.7464800002</v>
      </c>
      <c r="G101" s="213">
        <f>G100+G96</f>
        <v>4918454.2772199996</v>
      </c>
    </row>
    <row r="102" spans="1:7" s="92" customFormat="1" ht="36" customHeight="1" x14ac:dyDescent="0.3">
      <c r="A102" s="4">
        <v>13</v>
      </c>
      <c r="B102" s="6" t="s">
        <v>399</v>
      </c>
      <c r="C102" s="128">
        <f>SUM(D102:G102)</f>
        <v>42821062.113090791</v>
      </c>
      <c r="D102" s="172">
        <f>D46</f>
        <v>10673245.790899999</v>
      </c>
      <c r="E102" s="172">
        <f>D102*0.002 + D102</f>
        <v>10694592.282481799</v>
      </c>
      <c r="F102" s="172">
        <f>D102*0.002 + E102</f>
        <v>10715938.774063598</v>
      </c>
      <c r="G102" s="172">
        <f>D102*0.002 +F102</f>
        <v>10737285.265645398</v>
      </c>
    </row>
    <row r="103" spans="1:7" s="92" customFormat="1" ht="24" customHeight="1" x14ac:dyDescent="0.3">
      <c r="A103" s="4"/>
      <c r="B103" s="280" t="s">
        <v>416</v>
      </c>
      <c r="C103" s="128">
        <f>SUM(D103:G103)</f>
        <v>0</v>
      </c>
      <c r="D103" s="213">
        <f>D104*D105</f>
        <v>0</v>
      </c>
      <c r="E103" s="213">
        <f>E104*E105</f>
        <v>0</v>
      </c>
      <c r="F103" s="213">
        <f>F104*F105</f>
        <v>0</v>
      </c>
      <c r="G103" s="213">
        <f>G104*G105</f>
        <v>0</v>
      </c>
    </row>
    <row r="104" spans="1:7" s="92" customFormat="1" ht="14.4" customHeight="1" x14ac:dyDescent="0.3">
      <c r="A104" s="4"/>
      <c r="B104" s="280" t="s">
        <v>401</v>
      </c>
      <c r="C104" s="128"/>
      <c r="D104" s="172">
        <v>1</v>
      </c>
      <c r="E104" s="172">
        <v>1</v>
      </c>
      <c r="F104" s="172">
        <v>1</v>
      </c>
      <c r="G104" s="172">
        <v>1</v>
      </c>
    </row>
    <row r="105" spans="1:7" s="92" customFormat="1" ht="14.4" customHeight="1" x14ac:dyDescent="0.3">
      <c r="A105" s="4"/>
      <c r="B105" s="280" t="s">
        <v>372</v>
      </c>
      <c r="C105" s="128"/>
      <c r="D105" s="172">
        <v>0</v>
      </c>
      <c r="E105" s="172">
        <f>D105*0.02 + D105</f>
        <v>0</v>
      </c>
      <c r="F105" s="172">
        <f>D105*0.03 + E105</f>
        <v>0</v>
      </c>
      <c r="G105" s="172">
        <f>D105*0.04 + F105</f>
        <v>0</v>
      </c>
    </row>
    <row r="106" spans="1:7" s="93" customFormat="1" ht="36" customHeight="1" x14ac:dyDescent="0.3">
      <c r="A106" s="7">
        <v>14</v>
      </c>
      <c r="B106" s="287" t="s">
        <v>402</v>
      </c>
      <c r="C106" s="128">
        <f t="shared" ref="C106:C113" si="1">SUM(D106:G106)</f>
        <v>967737.69540000008</v>
      </c>
      <c r="D106" s="172">
        <f>D50</f>
        <v>240491.47500000001</v>
      </c>
      <c r="E106" s="172">
        <f>D106*0.004 + D106</f>
        <v>241453.44090000002</v>
      </c>
      <c r="F106" s="172">
        <f>D106*0.004 +E106</f>
        <v>242415.40680000003</v>
      </c>
      <c r="G106" s="172">
        <f>D106*0.004 +F106</f>
        <v>243377.37270000004</v>
      </c>
    </row>
    <row r="107" spans="1:7" s="93" customFormat="1" ht="24" customHeight="1" x14ac:dyDescent="0.3">
      <c r="A107" s="7"/>
      <c r="B107" s="287" t="s">
        <v>417</v>
      </c>
      <c r="C107" s="128">
        <f t="shared" si="1"/>
        <v>912381825.77321362</v>
      </c>
      <c r="D107" s="127">
        <f>D95+D101+D102+D106</f>
        <v>226458659.87496999</v>
      </c>
      <c r="E107" s="127">
        <f>E95+E101+E102+E106</f>
        <v>227549857.58719227</v>
      </c>
      <c r="F107" s="127">
        <f>F95+F101+F102+F106</f>
        <v>228641055.29941452</v>
      </c>
      <c r="G107" s="127">
        <f>G95+G101+G102+G106</f>
        <v>229732253.01163682</v>
      </c>
    </row>
    <row r="108" spans="1:7" s="93" customFormat="1" ht="24" customHeight="1" x14ac:dyDescent="0.3">
      <c r="A108" s="7"/>
      <c r="B108" s="287" t="s">
        <v>418</v>
      </c>
      <c r="C108" s="128">
        <f t="shared" si="1"/>
        <v>29478375.764950037</v>
      </c>
      <c r="D108" s="127">
        <f>D74-D107</f>
        <v>8302108.2053300142</v>
      </c>
      <c r="E108" s="127">
        <f>E74-E107</f>
        <v>7445671.2611880302</v>
      </c>
      <c r="F108" s="127">
        <f>F74-F107</f>
        <v>7058755.8532066941</v>
      </c>
      <c r="G108" s="127">
        <f>G74-G107</f>
        <v>6671840.4452252984</v>
      </c>
    </row>
    <row r="109" spans="1:7" s="93" customFormat="1" x14ac:dyDescent="0.3">
      <c r="A109" s="7">
        <v>15</v>
      </c>
      <c r="B109" s="8" t="s">
        <v>405</v>
      </c>
      <c r="C109" s="128">
        <f t="shared" si="1"/>
        <v>7983718.1538740396</v>
      </c>
      <c r="D109" s="126">
        <f>D74*0.19/1.19 -(D79+D81+D84+D85+D88+D91+D94+D102)*0.19/1.19</f>
        <v>2139932.0583300069</v>
      </c>
      <c r="E109" s="126">
        <f>E74*0.19/1.19 -(E79+E81+E84+E85+E88+E91+E94+E102)*0.19/1.19</f>
        <v>2006447.5667120293</v>
      </c>
      <c r="F109" s="126">
        <f>F74*0.19/1.19 -(F79+F81+F84+F85+F88+F91+F94+F102)*0.19/1.19</f>
        <v>1947928.6985146776</v>
      </c>
      <c r="G109" s="126">
        <f>G74*0.19/1.19 -(G79+G81+G84+F85+G88+G91+G94+G102)*0.19/1.19</f>
        <v>1889409.8303173259</v>
      </c>
    </row>
    <row r="110" spans="1:7" s="93" customFormat="1" x14ac:dyDescent="0.3">
      <c r="A110" s="7">
        <v>16</v>
      </c>
      <c r="B110" s="8" t="s">
        <v>406</v>
      </c>
      <c r="C110" s="128">
        <f t="shared" si="1"/>
        <v>0</v>
      </c>
      <c r="D110" s="126"/>
      <c r="E110" s="126">
        <v>0</v>
      </c>
      <c r="F110" s="126">
        <v>0</v>
      </c>
      <c r="G110" s="126">
        <v>0</v>
      </c>
    </row>
    <row r="111" spans="1:7" s="93" customFormat="1" x14ac:dyDescent="0.3">
      <c r="A111" s="7">
        <v>17</v>
      </c>
      <c r="B111" s="8" t="s">
        <v>407</v>
      </c>
      <c r="C111" s="128">
        <f t="shared" si="1"/>
        <v>7914791.6095644012</v>
      </c>
      <c r="D111" s="126">
        <f>(D74/1.19) *(1/100)</f>
        <v>1972779.5637000001</v>
      </c>
      <c r="E111" s="126">
        <f>(E74/1.19)*(1/100)</f>
        <v>1974752.3432637001</v>
      </c>
      <c r="F111" s="126">
        <f>(F74/1.19)*(1/100)</f>
        <v>1980670.6819548002</v>
      </c>
      <c r="G111" s="126">
        <f>(G74/1.19)*(1/100)</f>
        <v>1986589.0206459004</v>
      </c>
    </row>
    <row r="112" spans="1:7" s="93" customFormat="1" ht="24" customHeight="1" x14ac:dyDescent="0.3">
      <c r="A112" s="7"/>
      <c r="B112" s="287" t="s">
        <v>419</v>
      </c>
      <c r="C112" s="128">
        <f t="shared" si="1"/>
        <v>15898509.763438441</v>
      </c>
      <c r="D112" s="127">
        <f>D109-D110+D111</f>
        <v>4112711.6220300067</v>
      </c>
      <c r="E112" s="127">
        <f>E109-E110+E111</f>
        <v>3981199.9099757294</v>
      </c>
      <c r="F112" s="127">
        <f>F109-F110+F111</f>
        <v>3928599.3804694777</v>
      </c>
      <c r="G112" s="127">
        <f>G109-G110+G111</f>
        <v>3875998.8509632265</v>
      </c>
    </row>
    <row r="113" spans="1:13" s="92" customFormat="1" ht="24" customHeight="1" x14ac:dyDescent="0.3">
      <c r="A113" s="25"/>
      <c r="B113" s="287" t="s">
        <v>420</v>
      </c>
      <c r="C113" s="128">
        <f t="shared" si="1"/>
        <v>13579866.001511596</v>
      </c>
      <c r="D113" s="128">
        <f>D108-D112</f>
        <v>4189396.5833000075</v>
      </c>
      <c r="E113" s="128">
        <f>E108-E112</f>
        <v>3464471.3512123008</v>
      </c>
      <c r="F113" s="128">
        <f>F108-F112</f>
        <v>3130156.4727372164</v>
      </c>
      <c r="G113" s="128">
        <f>G108-G112</f>
        <v>2795841.5942620719</v>
      </c>
    </row>
    <row r="114" spans="1:13" s="92" customFormat="1" ht="14.4" customHeight="1" x14ac:dyDescent="0.3">
      <c r="A114" s="10"/>
      <c r="B114" s="142"/>
      <c r="C114" s="129"/>
      <c r="D114" s="129"/>
      <c r="E114" s="129"/>
      <c r="F114" s="129"/>
      <c r="G114" s="129"/>
      <c r="H114" s="129"/>
      <c r="I114" s="129"/>
      <c r="J114" s="129"/>
      <c r="K114" s="129"/>
      <c r="L114" s="129"/>
      <c r="M114" s="129"/>
    </row>
    <row r="115" spans="1:13" s="149" customFormat="1" ht="13.2" customHeight="1" x14ac:dyDescent="0.3">
      <c r="A115" s="375" t="s">
        <v>421</v>
      </c>
      <c r="B115" s="376"/>
      <c r="C115" s="376"/>
      <c r="D115" s="376"/>
      <c r="E115" s="376"/>
      <c r="F115" s="376"/>
      <c r="G115" s="376"/>
      <c r="H115" s="148"/>
      <c r="I115" s="148"/>
      <c r="J115" s="148"/>
      <c r="K115" s="148"/>
      <c r="L115" s="148"/>
      <c r="M115" s="148"/>
    </row>
    <row r="116" spans="1:13" ht="36" customHeight="1" x14ac:dyDescent="0.3">
      <c r="A116" s="267" t="s">
        <v>422</v>
      </c>
      <c r="B116" s="150"/>
      <c r="C116" s="173" t="s">
        <v>286</v>
      </c>
      <c r="D116" s="266" t="s">
        <v>361</v>
      </c>
      <c r="E116" s="148"/>
      <c r="F116" s="148"/>
      <c r="G116" s="148"/>
      <c r="H116" s="148"/>
      <c r="I116" s="148"/>
      <c r="J116" s="148"/>
      <c r="K116" s="93"/>
      <c r="L116" s="93"/>
      <c r="M116" s="93"/>
    </row>
    <row r="117" spans="1:13" ht="24" customHeight="1" x14ac:dyDescent="0.3">
      <c r="A117" s="11">
        <v>19</v>
      </c>
      <c r="B117" s="8" t="s">
        <v>423</v>
      </c>
      <c r="C117" s="128">
        <f>SUM(D117:D117)</f>
        <v>1457684.1140399999</v>
      </c>
      <c r="D117" s="127">
        <f>'2B-Investitie'!E27</f>
        <v>1457684.1140399999</v>
      </c>
      <c r="K117" s="93"/>
      <c r="L117" s="93"/>
      <c r="M117" s="93"/>
    </row>
    <row r="118" spans="1:13" x14ac:dyDescent="0.3">
      <c r="A118" s="11">
        <v>20</v>
      </c>
      <c r="B118" s="8" t="s">
        <v>424</v>
      </c>
      <c r="C118" s="128">
        <f>SUM(D118:D118)</f>
        <v>0</v>
      </c>
      <c r="D118" s="127">
        <f>'2B-Investitie'!E28</f>
        <v>0</v>
      </c>
      <c r="K118" s="93"/>
      <c r="L118" s="93"/>
      <c r="M118" s="93"/>
    </row>
    <row r="119" spans="1:13" x14ac:dyDescent="0.3">
      <c r="A119" s="11">
        <v>21</v>
      </c>
      <c r="B119" s="8" t="s">
        <v>425</v>
      </c>
      <c r="C119" s="128">
        <f>SUM(D119:D119)</f>
        <v>951543.79666500003</v>
      </c>
      <c r="D119" s="127">
        <f>'2B-Investitie'!E29</f>
        <v>951543.79666500003</v>
      </c>
      <c r="K119" s="93"/>
      <c r="L119" s="93"/>
      <c r="M119" s="93"/>
    </row>
    <row r="120" spans="1:13" s="149" customFormat="1" ht="24" customHeight="1" x14ac:dyDescent="0.3">
      <c r="A120" s="144"/>
      <c r="B120" s="145" t="s">
        <v>426</v>
      </c>
      <c r="C120" s="146">
        <f>SUM(D120:D120)</f>
        <v>2409227.9107050002</v>
      </c>
      <c r="D120" s="146">
        <f>SUM(D117:D119)</f>
        <v>2409227.9107050002</v>
      </c>
      <c r="E120" s="129"/>
      <c r="F120" s="129"/>
      <c r="G120" s="129"/>
      <c r="H120" s="129"/>
      <c r="I120" s="129"/>
      <c r="J120" s="129"/>
    </row>
    <row r="121" spans="1:13" ht="36" customHeight="1" x14ac:dyDescent="0.3">
      <c r="A121" s="150" t="s">
        <v>427</v>
      </c>
      <c r="B121" s="150"/>
      <c r="C121" s="173" t="s">
        <v>286</v>
      </c>
      <c r="D121" s="266" t="s">
        <v>361</v>
      </c>
      <c r="E121" s="281" t="s">
        <v>362</v>
      </c>
      <c r="F121" s="281" t="s">
        <v>363</v>
      </c>
      <c r="G121" s="281" t="s">
        <v>364</v>
      </c>
      <c r="H121" s="93"/>
      <c r="I121" s="93"/>
      <c r="J121" s="93"/>
      <c r="K121" s="93"/>
      <c r="L121" s="93"/>
      <c r="M121" s="93"/>
    </row>
    <row r="122" spans="1:13" x14ac:dyDescent="0.3">
      <c r="A122" s="11">
        <v>22</v>
      </c>
      <c r="B122" s="8" t="s">
        <v>428</v>
      </c>
      <c r="C122" s="128">
        <f>SUM(D122:D122)</f>
        <v>0</v>
      </c>
      <c r="D122" s="227">
        <f>'2B-Investitie'!D37</f>
        <v>0</v>
      </c>
      <c r="E122" s="227">
        <f>'2B-Investitie'!E37</f>
        <v>0</v>
      </c>
      <c r="F122" s="227">
        <f>'2B-Investitie'!F37</f>
        <v>0</v>
      </c>
      <c r="G122" s="227">
        <f>'2B-Investitie'!G37</f>
        <v>0</v>
      </c>
      <c r="H122" s="93"/>
      <c r="I122" s="93"/>
      <c r="J122" s="93"/>
      <c r="K122" s="93"/>
      <c r="L122" s="93"/>
      <c r="M122" s="93"/>
    </row>
    <row r="123" spans="1:13" x14ac:dyDescent="0.3">
      <c r="A123" s="11"/>
      <c r="B123" s="280" t="s">
        <v>429</v>
      </c>
      <c r="C123" s="128">
        <f>SUM(D123:D123)</f>
        <v>0</v>
      </c>
      <c r="D123" s="127">
        <f>'2B-Investitie'!D35</f>
        <v>0</v>
      </c>
      <c r="E123" s="127">
        <f>'2B-Investitie'!E35</f>
        <v>0</v>
      </c>
      <c r="F123" s="127">
        <f>'2B-Investitie'!F35</f>
        <v>0</v>
      </c>
      <c r="G123" s="127">
        <f>'2B-Investitie'!G35</f>
        <v>0</v>
      </c>
      <c r="H123" s="93"/>
      <c r="I123" s="93"/>
      <c r="J123" s="93"/>
      <c r="K123" s="93"/>
      <c r="L123" s="93"/>
      <c r="M123" s="93"/>
    </row>
    <row r="124" spans="1:13" s="149" customFormat="1" ht="24" customHeight="1" x14ac:dyDescent="0.3">
      <c r="A124" s="12"/>
      <c r="B124" s="14" t="s">
        <v>430</v>
      </c>
      <c r="C124" s="128">
        <f>SUM(D124:D124)</f>
        <v>0</v>
      </c>
      <c r="D124" s="128">
        <f>D122</f>
        <v>0</v>
      </c>
      <c r="E124" s="128">
        <f>E122</f>
        <v>0</v>
      </c>
      <c r="F124" s="128">
        <f>F122</f>
        <v>0</v>
      </c>
      <c r="G124" s="128">
        <f>G122</f>
        <v>0</v>
      </c>
    </row>
    <row r="125" spans="1:13" s="92" customFormat="1" ht="14.4" customHeight="1" x14ac:dyDescent="0.3">
      <c r="A125" s="25"/>
      <c r="B125" s="287" t="s">
        <v>431</v>
      </c>
      <c r="C125" s="128">
        <f>SUM(D125:D125)</f>
        <v>2409227.9107050002</v>
      </c>
      <c r="D125" s="128">
        <f>D120-D124</f>
        <v>2409227.9107050002</v>
      </c>
      <c r="E125" s="128">
        <f>E120-E124</f>
        <v>0</v>
      </c>
      <c r="F125" s="128">
        <f>F120-F124</f>
        <v>0</v>
      </c>
      <c r="G125" s="128">
        <f>G120-G124</f>
        <v>0</v>
      </c>
    </row>
    <row r="126" spans="1:13" s="92" customFormat="1" ht="14.4" customHeight="1" x14ac:dyDescent="0.3">
      <c r="A126" s="10"/>
      <c r="B126" s="142"/>
      <c r="C126" s="129"/>
      <c r="D126" s="129"/>
    </row>
    <row r="127" spans="1:13" s="149" customFormat="1" ht="27" customHeight="1" x14ac:dyDescent="0.3">
      <c r="A127" s="371" t="s">
        <v>432</v>
      </c>
      <c r="B127" s="330"/>
      <c r="C127" s="173" t="s">
        <v>286</v>
      </c>
      <c r="D127" s="266" t="s">
        <v>361</v>
      </c>
      <c r="E127" s="281" t="s">
        <v>362</v>
      </c>
      <c r="F127" s="281" t="s">
        <v>363</v>
      </c>
      <c r="G127" s="281" t="s">
        <v>364</v>
      </c>
    </row>
    <row r="128" spans="1:13" x14ac:dyDescent="0.3">
      <c r="A128" s="11">
        <v>23</v>
      </c>
      <c r="B128" s="8" t="s">
        <v>433</v>
      </c>
      <c r="C128" s="128">
        <f t="shared" ref="C128:C133" si="2">SUM(D128:D128)</f>
        <v>0</v>
      </c>
      <c r="D128" s="126"/>
      <c r="E128" s="126">
        <v>0</v>
      </c>
      <c r="F128" s="126">
        <v>0</v>
      </c>
      <c r="G128" s="126">
        <v>0</v>
      </c>
      <c r="H128" s="93"/>
      <c r="I128" s="93"/>
      <c r="J128" s="93"/>
      <c r="K128" s="93"/>
      <c r="L128" s="93"/>
      <c r="M128" s="93"/>
    </row>
    <row r="129" spans="1:7" s="93" customFormat="1" x14ac:dyDescent="0.3">
      <c r="A129" s="11">
        <v>24</v>
      </c>
      <c r="B129" s="8" t="s">
        <v>434</v>
      </c>
      <c r="C129" s="128">
        <f t="shared" si="2"/>
        <v>0</v>
      </c>
      <c r="D129" s="126">
        <v>0</v>
      </c>
      <c r="E129" s="126">
        <v>0</v>
      </c>
      <c r="F129" s="126">
        <v>0</v>
      </c>
      <c r="G129" s="126">
        <v>0</v>
      </c>
    </row>
    <row r="130" spans="1:7" s="93" customFormat="1" x14ac:dyDescent="0.3">
      <c r="A130" s="11">
        <v>25</v>
      </c>
      <c r="B130" s="8" t="s">
        <v>435</v>
      </c>
      <c r="C130" s="128">
        <f t="shared" si="2"/>
        <v>0</v>
      </c>
      <c r="D130" s="126">
        <v>0</v>
      </c>
      <c r="E130" s="126">
        <v>0</v>
      </c>
      <c r="F130" s="126">
        <v>0</v>
      </c>
      <c r="G130" s="126">
        <v>0</v>
      </c>
    </row>
    <row r="131" spans="1:7" s="149" customFormat="1" ht="13.2" customHeight="1" x14ac:dyDescent="0.3">
      <c r="A131" s="12"/>
      <c r="B131" s="14" t="s">
        <v>436</v>
      </c>
      <c r="C131" s="128">
        <f t="shared" si="2"/>
        <v>0</v>
      </c>
      <c r="D131" s="128">
        <f>SUM(D128:D130)</f>
        <v>0</v>
      </c>
      <c r="E131" s="128">
        <f>SUM(E128:E130)</f>
        <v>0</v>
      </c>
      <c r="F131" s="128">
        <f>SUM(F128:F130)</f>
        <v>0</v>
      </c>
      <c r="G131" s="128">
        <f>SUM(G128:G130)</f>
        <v>0</v>
      </c>
    </row>
    <row r="132" spans="1:7" s="92" customFormat="1" ht="14.4" customHeight="1" x14ac:dyDescent="0.3">
      <c r="A132" s="25"/>
      <c r="B132" s="287" t="s">
        <v>437</v>
      </c>
      <c r="C132" s="128">
        <f t="shared" si="2"/>
        <v>0</v>
      </c>
      <c r="D132" s="128">
        <f>-D131</f>
        <v>0</v>
      </c>
      <c r="E132" s="128">
        <f>-E131</f>
        <v>0</v>
      </c>
      <c r="F132" s="128">
        <f>-F131</f>
        <v>0</v>
      </c>
      <c r="G132" s="128">
        <f>-G131</f>
        <v>0</v>
      </c>
    </row>
    <row r="133" spans="1:7" s="92" customFormat="1" ht="14.4" customHeight="1" x14ac:dyDescent="0.3">
      <c r="A133" s="371" t="s">
        <v>438</v>
      </c>
      <c r="B133" s="330"/>
      <c r="C133" s="128">
        <f t="shared" si="2"/>
        <v>2409227.9107050002</v>
      </c>
      <c r="D133" s="128">
        <f>D125+D132</f>
        <v>2409227.9107050002</v>
      </c>
      <c r="E133" s="128">
        <f>E125+E132</f>
        <v>0</v>
      </c>
      <c r="F133" s="128">
        <f>F125+F132</f>
        <v>0</v>
      </c>
      <c r="G133" s="128">
        <f>G125+G132</f>
        <v>0</v>
      </c>
    </row>
    <row r="134" spans="1:7" s="92" customFormat="1" ht="14.4" customHeight="1" x14ac:dyDescent="0.3">
      <c r="A134" s="142"/>
      <c r="B134" s="142"/>
      <c r="C134" s="129"/>
      <c r="D134" s="129"/>
      <c r="E134" s="129"/>
      <c r="F134" s="129"/>
      <c r="G134" s="129"/>
    </row>
    <row r="135" spans="1:7" s="92" customFormat="1" ht="36" customHeight="1" x14ac:dyDescent="0.3">
      <c r="A135" s="386" t="s">
        <v>439</v>
      </c>
      <c r="B135" s="340"/>
      <c r="C135" s="173" t="s">
        <v>286</v>
      </c>
      <c r="D135" s="266" t="s">
        <v>361</v>
      </c>
      <c r="E135" s="281" t="s">
        <v>362</v>
      </c>
      <c r="F135" s="281" t="s">
        <v>363</v>
      </c>
      <c r="G135" s="281" t="s">
        <v>364</v>
      </c>
    </row>
    <row r="136" spans="1:7" s="92" customFormat="1" ht="14.4" customHeight="1" x14ac:dyDescent="0.3">
      <c r="A136" s="354"/>
      <c r="B136" s="355"/>
      <c r="C136" s="128">
        <f>SUM(D136:G136)</f>
        <v>15989093.912216596</v>
      </c>
      <c r="D136" s="128">
        <f>D113+D133</f>
        <v>6598624.4940050077</v>
      </c>
      <c r="E136" s="128">
        <f>E113+E133</f>
        <v>3464471.3512123008</v>
      </c>
      <c r="F136" s="128">
        <f>F113+F133</f>
        <v>3130156.4727372164</v>
      </c>
      <c r="G136" s="128">
        <f>G113+G133</f>
        <v>2795841.5942620719</v>
      </c>
    </row>
    <row r="137" spans="1:7" s="93" customFormat="1" x14ac:dyDescent="0.3">
      <c r="A137" s="385" t="s">
        <v>410</v>
      </c>
      <c r="B137" s="330"/>
      <c r="C137" s="128"/>
      <c r="D137" s="127">
        <f>'1A-Bilant'!C28</f>
        <v>1964645</v>
      </c>
      <c r="E137" s="127">
        <f>D138</f>
        <v>8563269.4940050077</v>
      </c>
      <c r="F137" s="127">
        <f>E138</f>
        <v>12027740.845217308</v>
      </c>
      <c r="G137" s="127">
        <f>F138</f>
        <v>15157897.317954525</v>
      </c>
    </row>
    <row r="138" spans="1:7" s="93" customFormat="1" ht="21.75" customHeight="1" x14ac:dyDescent="0.3">
      <c r="A138" s="385" t="s">
        <v>411</v>
      </c>
      <c r="B138" s="330"/>
      <c r="C138" s="128"/>
      <c r="D138" s="127">
        <f>D136 + D137</f>
        <v>8563269.4940050077</v>
      </c>
      <c r="E138" s="127">
        <f>E136 + E137</f>
        <v>12027740.845217308</v>
      </c>
      <c r="F138" s="127">
        <f>F136 + F137</f>
        <v>15157897.317954525</v>
      </c>
      <c r="G138" s="127">
        <f>G136 + G137</f>
        <v>17953738.912216596</v>
      </c>
    </row>
    <row r="139" spans="1:7" s="93" customFormat="1" ht="21.75" customHeight="1" x14ac:dyDescent="0.3">
      <c r="A139" s="237"/>
      <c r="B139" s="237"/>
      <c r="C139" s="129"/>
      <c r="D139" s="238"/>
      <c r="E139" s="238"/>
      <c r="F139" s="238"/>
      <c r="G139" s="238"/>
    </row>
    <row r="140" spans="1:7" s="90" customFormat="1" ht="14.4" customHeight="1" x14ac:dyDescent="0.3">
      <c r="A140" s="372" t="s">
        <v>440</v>
      </c>
      <c r="B140" s="373"/>
      <c r="C140" s="373"/>
      <c r="D140" s="373"/>
      <c r="E140" s="373"/>
      <c r="F140" s="373"/>
      <c r="G140" s="373"/>
    </row>
    <row r="141" spans="1:7" s="90" customFormat="1" ht="14.4" customHeight="1" x14ac:dyDescent="0.3">
      <c r="A141" s="377" t="s">
        <v>359</v>
      </c>
      <c r="B141" s="378"/>
      <c r="C141" s="379" t="s">
        <v>286</v>
      </c>
      <c r="D141" s="374" t="s">
        <v>360</v>
      </c>
      <c r="E141" s="329"/>
      <c r="F141" s="329"/>
      <c r="G141" s="330"/>
    </row>
    <row r="142" spans="1:7" s="90" customFormat="1" ht="36" customHeight="1" x14ac:dyDescent="0.3">
      <c r="A142" s="350"/>
      <c r="B142" s="350"/>
      <c r="C142" s="350"/>
      <c r="D142" s="266" t="s">
        <v>361</v>
      </c>
      <c r="E142" s="281" t="s">
        <v>362</v>
      </c>
      <c r="F142" s="281" t="s">
        <v>363</v>
      </c>
      <c r="G142" s="281" t="s">
        <v>364</v>
      </c>
    </row>
    <row r="143" spans="1:7" s="90" customFormat="1" ht="14.4" customHeight="1" x14ac:dyDescent="0.3">
      <c r="A143" s="380" t="s">
        <v>441</v>
      </c>
      <c r="B143" s="329"/>
      <c r="C143" s="329"/>
      <c r="D143" s="329"/>
      <c r="E143" s="329"/>
      <c r="F143" s="329"/>
      <c r="G143" s="330"/>
    </row>
    <row r="144" spans="1:7" s="90" customFormat="1" ht="14.4" customHeight="1" x14ac:dyDescent="0.3">
      <c r="A144" s="370" t="s">
        <v>442</v>
      </c>
      <c r="B144" s="329"/>
      <c r="C144" s="329"/>
      <c r="D144" s="329"/>
      <c r="E144" s="329"/>
      <c r="F144" s="329"/>
      <c r="G144" s="330"/>
    </row>
    <row r="145" spans="1:7" s="90" customFormat="1" ht="14.4" customHeight="1" x14ac:dyDescent="0.3">
      <c r="A145" s="371" t="s">
        <v>443</v>
      </c>
      <c r="B145" s="329"/>
      <c r="C145" s="329"/>
      <c r="D145" s="329"/>
      <c r="E145" s="329"/>
      <c r="F145" s="329"/>
      <c r="G145" s="330"/>
    </row>
    <row r="146" spans="1:7" s="90" customFormat="1" ht="14.4" customHeight="1" x14ac:dyDescent="0.3">
      <c r="A146" s="4">
        <v>1</v>
      </c>
      <c r="B146" s="280" t="s">
        <v>367</v>
      </c>
      <c r="C146" s="128">
        <f>SUM(D146:G146)</f>
        <v>0</v>
      </c>
      <c r="D146" s="127">
        <f>D65-D9</f>
        <v>0</v>
      </c>
      <c r="E146" s="127">
        <f>E65-E9</f>
        <v>0</v>
      </c>
      <c r="F146" s="127">
        <f>F65-F9</f>
        <v>0</v>
      </c>
      <c r="G146" s="127">
        <f>G65-G9</f>
        <v>0</v>
      </c>
    </row>
    <row r="147" spans="1:7" s="90" customFormat="1" ht="14.4" customHeight="1" x14ac:dyDescent="0.3">
      <c r="A147" s="4">
        <v>2</v>
      </c>
      <c r="B147" s="280" t="s">
        <v>370</v>
      </c>
      <c r="C147" s="128">
        <f>SUM(D147:G147)</f>
        <v>0</v>
      </c>
      <c r="D147" s="127">
        <f>D68-D12</f>
        <v>0</v>
      </c>
      <c r="E147" s="127">
        <f>E68-E12</f>
        <v>0</v>
      </c>
      <c r="F147" s="127">
        <f>F68-F12</f>
        <v>0</v>
      </c>
      <c r="G147" s="127">
        <f>G68-G12</f>
        <v>0</v>
      </c>
    </row>
    <row r="148" spans="1:7" s="90" customFormat="1" ht="14.4" customHeight="1" x14ac:dyDescent="0.3">
      <c r="A148" s="4">
        <v>3</v>
      </c>
      <c r="B148" s="280" t="s">
        <v>373</v>
      </c>
      <c r="C148" s="128">
        <f>SUM(D148:G148)</f>
        <v>5.9604644775390625E-8</v>
      </c>
      <c r="D148" s="127">
        <f>D71-D15</f>
        <v>0</v>
      </c>
      <c r="E148" s="127">
        <f>E71-E15</f>
        <v>-234760.76808029413</v>
      </c>
      <c r="F148" s="127">
        <f>F71-F15</f>
        <v>0</v>
      </c>
      <c r="G148" s="127">
        <f>G71-G15</f>
        <v>234760.76808035374</v>
      </c>
    </row>
    <row r="149" spans="1:7" s="92" customFormat="1" ht="23.25" customHeight="1" x14ac:dyDescent="0.3">
      <c r="A149" s="371" t="s">
        <v>444</v>
      </c>
      <c r="B149" s="330"/>
      <c r="C149" s="128">
        <f>SUM(D149:G149)</f>
        <v>5.9604644775390625E-8</v>
      </c>
      <c r="D149" s="128">
        <f>D74-D18</f>
        <v>0</v>
      </c>
      <c r="E149" s="128">
        <f>E74-E18</f>
        <v>-234760.76808029413</v>
      </c>
      <c r="F149" s="128">
        <f>F74-F18</f>
        <v>0</v>
      </c>
      <c r="G149" s="128">
        <f>G74-G18</f>
        <v>234760.76808035374</v>
      </c>
    </row>
    <row r="150" spans="1:7" s="92" customFormat="1" ht="14.4" customHeight="1" x14ac:dyDescent="0.3">
      <c r="A150" s="370" t="s">
        <v>445</v>
      </c>
      <c r="B150" s="329"/>
      <c r="C150" s="329"/>
      <c r="D150" s="329"/>
      <c r="E150" s="329"/>
      <c r="F150" s="329"/>
      <c r="G150" s="330"/>
    </row>
    <row r="151" spans="1:7" s="92" customFormat="1" ht="14.4" customHeight="1" x14ac:dyDescent="0.3">
      <c r="A151" s="371" t="s">
        <v>446</v>
      </c>
      <c r="B151" s="329"/>
      <c r="C151" s="329"/>
      <c r="D151" s="329"/>
      <c r="E151" s="329"/>
      <c r="F151" s="329"/>
      <c r="G151" s="330"/>
    </row>
    <row r="152" spans="1:7" s="90" customFormat="1" ht="24" customHeight="1" x14ac:dyDescent="0.3">
      <c r="A152" s="4">
        <v>5</v>
      </c>
      <c r="B152" s="6" t="s">
        <v>379</v>
      </c>
      <c r="C152" s="128">
        <f t="shared" ref="C152:C171" si="3">SUM(D152:G152)</f>
        <v>-47271.551662859973</v>
      </c>
      <c r="D152" s="127">
        <f>D77-D21</f>
        <v>0</v>
      </c>
      <c r="E152" s="127">
        <f>E77-E21</f>
        <v>-7878.5919438099954</v>
      </c>
      <c r="F152" s="127">
        <f>F77-F21</f>
        <v>-15757.183887619991</v>
      </c>
      <c r="G152" s="127">
        <f>G77-G21</f>
        <v>-23635.775831429986</v>
      </c>
    </row>
    <row r="153" spans="1:7" s="90" customFormat="1" ht="14.4" customHeight="1" x14ac:dyDescent="0.3">
      <c r="A153" s="4">
        <v>6</v>
      </c>
      <c r="B153" s="6" t="s">
        <v>384</v>
      </c>
      <c r="C153" s="128">
        <f t="shared" si="3"/>
        <v>-5024633.1532185674</v>
      </c>
      <c r="D153" s="127">
        <f>D82-D26</f>
        <v>0</v>
      </c>
      <c r="E153" s="127">
        <f>E82-E26</f>
        <v>-837438.85886976123</v>
      </c>
      <c r="F153" s="127">
        <f>F82-F26</f>
        <v>-1674877.7177395225</v>
      </c>
      <c r="G153" s="127">
        <f>G82-G26</f>
        <v>-2512316.5766092837</v>
      </c>
    </row>
    <row r="154" spans="1:7" s="90" customFormat="1" ht="24" customHeight="1" x14ac:dyDescent="0.3">
      <c r="A154" s="4">
        <v>7</v>
      </c>
      <c r="B154" s="280" t="s">
        <v>386</v>
      </c>
      <c r="C154" s="128">
        <f t="shared" si="3"/>
        <v>0</v>
      </c>
      <c r="D154" s="127">
        <f t="shared" ref="D154:G155" si="4">D85-D29</f>
        <v>0</v>
      </c>
      <c r="E154" s="127">
        <f t="shared" si="4"/>
        <v>0</v>
      </c>
      <c r="F154" s="127">
        <f t="shared" si="4"/>
        <v>0</v>
      </c>
      <c r="G154" s="127">
        <f t="shared" si="4"/>
        <v>0</v>
      </c>
    </row>
    <row r="155" spans="1:7" s="90" customFormat="1" ht="14.4" customHeight="1" x14ac:dyDescent="0.3">
      <c r="A155" s="4">
        <v>8</v>
      </c>
      <c r="B155" s="280" t="s">
        <v>387</v>
      </c>
      <c r="C155" s="128">
        <f t="shared" si="3"/>
        <v>-21552.703754400078</v>
      </c>
      <c r="D155" s="127">
        <f t="shared" si="4"/>
        <v>0</v>
      </c>
      <c r="E155" s="127">
        <f t="shared" si="4"/>
        <v>-3592.117292400013</v>
      </c>
      <c r="F155" s="127">
        <f t="shared" si="4"/>
        <v>-7184.2345848000259</v>
      </c>
      <c r="G155" s="127">
        <f t="shared" si="4"/>
        <v>-10776.351877200039</v>
      </c>
    </row>
    <row r="156" spans="1:7" s="90" customFormat="1" ht="14.4" customHeight="1" x14ac:dyDescent="0.3">
      <c r="A156" s="4">
        <v>9</v>
      </c>
      <c r="B156" s="280" t="s">
        <v>390</v>
      </c>
      <c r="C156" s="128">
        <f t="shared" si="3"/>
        <v>0</v>
      </c>
      <c r="D156" s="127">
        <f>D89-D33</f>
        <v>0</v>
      </c>
      <c r="E156" s="127">
        <f>E89-E33</f>
        <v>0</v>
      </c>
      <c r="F156" s="127">
        <f>F89-F33</f>
        <v>0</v>
      </c>
      <c r="G156" s="127">
        <f>G89-G33</f>
        <v>0</v>
      </c>
    </row>
    <row r="157" spans="1:7" s="90" customFormat="1" ht="14.4" customHeight="1" x14ac:dyDescent="0.3">
      <c r="A157" s="4">
        <v>10</v>
      </c>
      <c r="B157" s="280" t="s">
        <v>391</v>
      </c>
      <c r="C157" s="128">
        <f t="shared" si="3"/>
        <v>0</v>
      </c>
      <c r="D157" s="127">
        <f>D92-D36</f>
        <v>0</v>
      </c>
      <c r="E157" s="127">
        <f>E92-E36</f>
        <v>0</v>
      </c>
      <c r="F157" s="127">
        <f>F92-F36</f>
        <v>0</v>
      </c>
      <c r="G157" s="127">
        <f>G92-G36</f>
        <v>0</v>
      </c>
    </row>
    <row r="158" spans="1:7" s="90" customFormat="1" ht="14.4" customHeight="1" x14ac:dyDescent="0.3">
      <c r="A158" s="4"/>
      <c r="B158" s="287" t="s">
        <v>392</v>
      </c>
      <c r="C158" s="128">
        <f t="shared" si="3"/>
        <v>-5093457.4086358547</v>
      </c>
      <c r="D158" s="128">
        <f t="shared" ref="D158:G159" si="5">D95-D39</f>
        <v>0</v>
      </c>
      <c r="E158" s="128">
        <f t="shared" si="5"/>
        <v>-848909.56810596585</v>
      </c>
      <c r="F158" s="128">
        <f t="shared" si="5"/>
        <v>-1697819.1362119615</v>
      </c>
      <c r="G158" s="128">
        <f t="shared" si="5"/>
        <v>-2546728.7043179274</v>
      </c>
    </row>
    <row r="159" spans="1:7" s="90" customFormat="1" ht="14.4" customHeight="1" x14ac:dyDescent="0.3">
      <c r="A159" s="4">
        <v>11</v>
      </c>
      <c r="B159" s="280" t="s">
        <v>393</v>
      </c>
      <c r="C159" s="128">
        <f t="shared" si="3"/>
        <v>114076.46399999969</v>
      </c>
      <c r="D159" s="127">
        <f t="shared" si="5"/>
        <v>0</v>
      </c>
      <c r="E159" s="127">
        <f t="shared" si="5"/>
        <v>19012.743999999948</v>
      </c>
      <c r="F159" s="127">
        <f t="shared" si="5"/>
        <v>38025.487999999896</v>
      </c>
      <c r="G159" s="127">
        <f t="shared" si="5"/>
        <v>57038.231999999844</v>
      </c>
    </row>
    <row r="160" spans="1:7" s="90" customFormat="1" ht="14.4" customHeight="1" x14ac:dyDescent="0.3">
      <c r="A160" s="7">
        <v>12</v>
      </c>
      <c r="B160" s="6" t="s">
        <v>397</v>
      </c>
      <c r="C160" s="128">
        <f t="shared" si="3"/>
        <v>2566.7204399999755</v>
      </c>
      <c r="D160" s="127">
        <f t="shared" ref="D160:G163" si="6">D100-D44</f>
        <v>0</v>
      </c>
      <c r="E160" s="127">
        <f t="shared" si="6"/>
        <v>427.78673999999592</v>
      </c>
      <c r="F160" s="127">
        <f t="shared" si="6"/>
        <v>855.57347999999183</v>
      </c>
      <c r="G160" s="127">
        <f t="shared" si="6"/>
        <v>1283.3602199999877</v>
      </c>
    </row>
    <row r="161" spans="1:13" s="92" customFormat="1" ht="14.4" customHeight="1" x14ac:dyDescent="0.3">
      <c r="A161" s="4"/>
      <c r="B161" s="287" t="s">
        <v>398</v>
      </c>
      <c r="C161" s="128">
        <f t="shared" si="3"/>
        <v>116643.18444000091</v>
      </c>
      <c r="D161" s="128">
        <f t="shared" si="6"/>
        <v>0</v>
      </c>
      <c r="E161" s="128">
        <f t="shared" si="6"/>
        <v>19440.530740000308</v>
      </c>
      <c r="F161" s="128">
        <f t="shared" si="6"/>
        <v>38881.061480000615</v>
      </c>
      <c r="G161" s="128">
        <f t="shared" si="6"/>
        <v>58321.592219999991</v>
      </c>
    </row>
    <row r="162" spans="1:13" s="90" customFormat="1" ht="36" customHeight="1" x14ac:dyDescent="0.3">
      <c r="A162" s="4">
        <v>13</v>
      </c>
      <c r="B162" s="6" t="s">
        <v>399</v>
      </c>
      <c r="C162" s="128">
        <f t="shared" si="3"/>
        <v>-192118.42423620075</v>
      </c>
      <c r="D162" s="127">
        <f t="shared" si="6"/>
        <v>0</v>
      </c>
      <c r="E162" s="127">
        <f t="shared" si="6"/>
        <v>-32019.737372700125</v>
      </c>
      <c r="F162" s="127">
        <f t="shared" si="6"/>
        <v>-64039.47474540025</v>
      </c>
      <c r="G162" s="127">
        <f t="shared" si="6"/>
        <v>-96059.212118100375</v>
      </c>
    </row>
    <row r="163" spans="1:13" s="90" customFormat="1" ht="24" customHeight="1" x14ac:dyDescent="0.3">
      <c r="A163" s="4"/>
      <c r="B163" s="280" t="s">
        <v>416</v>
      </c>
      <c r="C163" s="128">
        <f t="shared" si="3"/>
        <v>0</v>
      </c>
      <c r="D163" s="127">
        <f t="shared" si="6"/>
        <v>0</v>
      </c>
      <c r="E163" s="127">
        <f t="shared" si="6"/>
        <v>0</v>
      </c>
      <c r="F163" s="127">
        <f t="shared" si="6"/>
        <v>0</v>
      </c>
      <c r="G163" s="127">
        <f t="shared" si="6"/>
        <v>0</v>
      </c>
    </row>
    <row r="164" spans="1:13" s="149" customFormat="1" ht="36" customHeight="1" x14ac:dyDescent="0.3">
      <c r="A164" s="147">
        <v>14</v>
      </c>
      <c r="B164" s="287" t="s">
        <v>447</v>
      </c>
      <c r="C164" s="128">
        <f t="shared" si="3"/>
        <v>1442.9488500001025</v>
      </c>
      <c r="D164" s="128">
        <f t="shared" ref="D164:G171" si="7">D106-D50</f>
        <v>0</v>
      </c>
      <c r="E164" s="128">
        <f t="shared" si="7"/>
        <v>240.49147500001709</v>
      </c>
      <c r="F164" s="128">
        <f t="shared" si="7"/>
        <v>480.98295000003418</v>
      </c>
      <c r="G164" s="128">
        <f t="shared" si="7"/>
        <v>721.47442500005127</v>
      </c>
    </row>
    <row r="165" spans="1:13" s="149" customFormat="1" ht="24" customHeight="1" x14ac:dyDescent="0.3">
      <c r="A165" s="147"/>
      <c r="B165" s="287" t="s">
        <v>448</v>
      </c>
      <c r="C165" s="128">
        <f t="shared" si="3"/>
        <v>-5167489.6995820999</v>
      </c>
      <c r="D165" s="128">
        <f t="shared" si="7"/>
        <v>0</v>
      </c>
      <c r="E165" s="128">
        <f t="shared" si="7"/>
        <v>-861248.28326368332</v>
      </c>
      <c r="F165" s="128">
        <f t="shared" si="7"/>
        <v>-1722496.5665273964</v>
      </c>
      <c r="G165" s="128">
        <f t="shared" si="7"/>
        <v>-2583744.8497910202</v>
      </c>
    </row>
    <row r="166" spans="1:13" s="149" customFormat="1" ht="24" customHeight="1" x14ac:dyDescent="0.3">
      <c r="A166" s="147"/>
      <c r="B166" s="287" t="s">
        <v>449</v>
      </c>
      <c r="C166" s="128">
        <f t="shared" si="3"/>
        <v>5167489.6995821893</v>
      </c>
      <c r="D166" s="128">
        <f t="shared" si="7"/>
        <v>0</v>
      </c>
      <c r="E166" s="128">
        <f t="shared" si="7"/>
        <v>626487.51518338919</v>
      </c>
      <c r="F166" s="128">
        <f t="shared" si="7"/>
        <v>1722496.5665274262</v>
      </c>
      <c r="G166" s="128">
        <f t="shared" si="7"/>
        <v>2818505.6178713739</v>
      </c>
    </row>
    <row r="167" spans="1:13" x14ac:dyDescent="0.3">
      <c r="A167" s="7">
        <v>15</v>
      </c>
      <c r="B167" s="8" t="s">
        <v>405</v>
      </c>
      <c r="C167" s="128">
        <f t="shared" si="3"/>
        <v>843915.46911403537</v>
      </c>
      <c r="D167" s="127">
        <f t="shared" si="7"/>
        <v>0</v>
      </c>
      <c r="E167" s="127">
        <f t="shared" si="7"/>
        <v>103169.76647535712</v>
      </c>
      <c r="F167" s="127">
        <f t="shared" si="7"/>
        <v>281305.15637134761</v>
      </c>
      <c r="G167" s="127">
        <f t="shared" si="7"/>
        <v>459440.54626733065</v>
      </c>
      <c r="H167" s="93"/>
      <c r="I167" s="93"/>
      <c r="J167" s="93"/>
      <c r="K167" s="93"/>
      <c r="L167" s="93"/>
      <c r="M167" s="93"/>
    </row>
    <row r="168" spans="1:13" x14ac:dyDescent="0.3">
      <c r="A168" s="7">
        <v>16</v>
      </c>
      <c r="B168" s="8" t="s">
        <v>406</v>
      </c>
      <c r="C168" s="128">
        <f t="shared" si="3"/>
        <v>0</v>
      </c>
      <c r="D168" s="127">
        <f t="shared" si="7"/>
        <v>0</v>
      </c>
      <c r="E168" s="127">
        <f t="shared" si="7"/>
        <v>0</v>
      </c>
      <c r="F168" s="127">
        <f t="shared" si="7"/>
        <v>0</v>
      </c>
      <c r="G168" s="127">
        <f t="shared" si="7"/>
        <v>0</v>
      </c>
      <c r="H168" s="93"/>
      <c r="I168" s="93"/>
      <c r="J168" s="93"/>
      <c r="K168" s="93"/>
      <c r="L168" s="93"/>
      <c r="M168" s="93"/>
    </row>
    <row r="169" spans="1:13" x14ac:dyDescent="0.3">
      <c r="A169" s="7">
        <v>17</v>
      </c>
      <c r="B169" s="8" t="s">
        <v>407</v>
      </c>
      <c r="C169" s="128">
        <f t="shared" si="3"/>
        <v>-1128982.2887142345</v>
      </c>
      <c r="D169" s="127">
        <f t="shared" si="7"/>
        <v>0</v>
      </c>
      <c r="E169" s="127">
        <f t="shared" si="7"/>
        <v>-377550.55290090572</v>
      </c>
      <c r="F169" s="127">
        <f t="shared" si="7"/>
        <v>-376327.42957141157</v>
      </c>
      <c r="G169" s="127">
        <f t="shared" si="7"/>
        <v>-375104.30624191719</v>
      </c>
      <c r="H169" s="93"/>
      <c r="I169" s="93"/>
      <c r="J169" s="93"/>
      <c r="K169" s="93"/>
      <c r="L169" s="93"/>
      <c r="M169" s="93"/>
    </row>
    <row r="170" spans="1:13" s="149" customFormat="1" ht="13.2" customHeight="1" x14ac:dyDescent="0.3">
      <c r="A170" s="371" t="s">
        <v>450</v>
      </c>
      <c r="B170" s="330"/>
      <c r="C170" s="128">
        <f t="shared" si="3"/>
        <v>-285066.81960019842</v>
      </c>
      <c r="D170" s="128">
        <f t="shared" si="7"/>
        <v>0</v>
      </c>
      <c r="E170" s="128">
        <f t="shared" si="7"/>
        <v>-274380.78642554814</v>
      </c>
      <c r="F170" s="128">
        <f t="shared" si="7"/>
        <v>-95022.273200063966</v>
      </c>
      <c r="G170" s="128">
        <f t="shared" si="7"/>
        <v>84336.240025413688</v>
      </c>
    </row>
    <row r="171" spans="1:13" s="92" customFormat="1" ht="27" customHeight="1" x14ac:dyDescent="0.3">
      <c r="A171" s="371" t="s">
        <v>451</v>
      </c>
      <c r="B171" s="330"/>
      <c r="C171" s="128">
        <f t="shared" si="3"/>
        <v>5452556.5191823877</v>
      </c>
      <c r="D171" s="128">
        <f t="shared" si="7"/>
        <v>0</v>
      </c>
      <c r="E171" s="128">
        <f t="shared" si="7"/>
        <v>900868.30160893733</v>
      </c>
      <c r="F171" s="128">
        <f t="shared" si="7"/>
        <v>1817518.8397274902</v>
      </c>
      <c r="G171" s="128">
        <f t="shared" si="7"/>
        <v>2734169.3778459602</v>
      </c>
    </row>
    <row r="172" spans="1:13" s="92" customFormat="1" ht="14.4" customHeight="1" x14ac:dyDescent="0.3">
      <c r="A172" s="10"/>
      <c r="B172" s="142"/>
      <c r="C172" s="129"/>
      <c r="D172" s="129"/>
      <c r="E172" s="129"/>
      <c r="F172" s="129"/>
      <c r="G172" s="129"/>
      <c r="H172" s="129"/>
      <c r="I172" s="129"/>
      <c r="J172" s="129"/>
      <c r="K172" s="129"/>
      <c r="L172" s="129"/>
      <c r="M172" s="129"/>
    </row>
    <row r="173" spans="1:13" s="149" customFormat="1" ht="13.2" customHeight="1" x14ac:dyDescent="0.3">
      <c r="A173" s="148" t="s">
        <v>421</v>
      </c>
      <c r="B173" s="148"/>
      <c r="C173" s="148"/>
      <c r="D173" s="148"/>
      <c r="E173" s="148"/>
      <c r="F173" s="148"/>
      <c r="G173" s="148"/>
      <c r="H173" s="148"/>
      <c r="I173" s="148"/>
      <c r="J173" s="148"/>
      <c r="K173" s="148"/>
      <c r="L173" s="148"/>
      <c r="M173" s="148"/>
    </row>
    <row r="174" spans="1:13" ht="36" customHeight="1" x14ac:dyDescent="0.3">
      <c r="A174" s="150" t="s">
        <v>422</v>
      </c>
      <c r="B174" s="150"/>
      <c r="C174" s="281" t="s">
        <v>286</v>
      </c>
      <c r="D174" s="266" t="s">
        <v>361</v>
      </c>
      <c r="E174" s="148"/>
      <c r="F174" s="148"/>
      <c r="G174" s="148"/>
      <c r="H174" s="148"/>
      <c r="I174" s="148"/>
      <c r="J174" s="148"/>
      <c r="K174" s="93"/>
      <c r="L174" s="93"/>
      <c r="M174" s="93"/>
    </row>
    <row r="175" spans="1:13" ht="24" customHeight="1" x14ac:dyDescent="0.3">
      <c r="A175" s="11">
        <v>19</v>
      </c>
      <c r="B175" s="8" t="s">
        <v>423</v>
      </c>
      <c r="C175" s="128">
        <f>SUM(D175:D175)</f>
        <v>1457684.1140399999</v>
      </c>
      <c r="D175" s="127">
        <f>'2B-Investitie'!E27</f>
        <v>1457684.1140399999</v>
      </c>
      <c r="K175" s="93"/>
      <c r="L175" s="93"/>
      <c r="M175" s="93"/>
    </row>
    <row r="176" spans="1:13" x14ac:dyDescent="0.3">
      <c r="A176" s="11">
        <v>20</v>
      </c>
      <c r="B176" s="8" t="s">
        <v>424</v>
      </c>
      <c r="C176" s="128">
        <f>SUM(D176:D176)</f>
        <v>0</v>
      </c>
      <c r="D176" s="127">
        <f>'2B-Investitie'!E28</f>
        <v>0</v>
      </c>
      <c r="K176" s="93"/>
      <c r="L176" s="93"/>
      <c r="M176" s="93"/>
    </row>
    <row r="177" spans="1:10" s="93" customFormat="1" x14ac:dyDescent="0.3">
      <c r="A177" s="11">
        <v>21</v>
      </c>
      <c r="B177" s="8" t="s">
        <v>452</v>
      </c>
      <c r="C177" s="128">
        <f>SUM(D177:D177)</f>
        <v>951543.79666500003</v>
      </c>
      <c r="D177" s="127">
        <f>'2B-Investitie'!E29</f>
        <v>951543.79666500003</v>
      </c>
      <c r="E177" s="238"/>
      <c r="F177" s="238"/>
      <c r="G177" s="238"/>
      <c r="H177" s="238"/>
      <c r="I177" s="238"/>
      <c r="J177" s="238"/>
    </row>
    <row r="178" spans="1:10" s="149" customFormat="1" ht="13.2" customHeight="1" x14ac:dyDescent="0.3">
      <c r="A178" s="12"/>
      <c r="B178" s="14" t="s">
        <v>453</v>
      </c>
      <c r="C178" s="128">
        <f>SUM(D178:D178)</f>
        <v>2409227.9107050002</v>
      </c>
      <c r="D178" s="128">
        <f>SUM(D175:D177)</f>
        <v>2409227.9107050002</v>
      </c>
      <c r="E178" s="129"/>
      <c r="F178" s="129"/>
      <c r="G178" s="129"/>
      <c r="H178" s="129"/>
      <c r="I178" s="129"/>
      <c r="J178" s="129"/>
    </row>
    <row r="179" spans="1:10" s="93" customFormat="1" ht="36" customHeight="1" x14ac:dyDescent="0.3">
      <c r="A179" s="150" t="s">
        <v>427</v>
      </c>
      <c r="B179" s="150"/>
      <c r="C179" s="281" t="s">
        <v>286</v>
      </c>
      <c r="D179" s="266" t="s">
        <v>361</v>
      </c>
      <c r="E179" s="281" t="s">
        <v>362</v>
      </c>
      <c r="F179" s="281" t="s">
        <v>363</v>
      </c>
      <c r="G179" s="281" t="s">
        <v>364</v>
      </c>
    </row>
    <row r="180" spans="1:10" s="93" customFormat="1" x14ac:dyDescent="0.3">
      <c r="A180" s="11">
        <v>22</v>
      </c>
      <c r="B180" s="8" t="s">
        <v>428</v>
      </c>
      <c r="C180" s="128">
        <f>SUM(D180:G180)</f>
        <v>0</v>
      </c>
      <c r="D180" s="127">
        <f>D122</f>
        <v>0</v>
      </c>
      <c r="E180" s="127">
        <f>E122</f>
        <v>0</v>
      </c>
      <c r="F180" s="127">
        <f>F122</f>
        <v>0</v>
      </c>
      <c r="G180" s="127">
        <f>G122</f>
        <v>0</v>
      </c>
    </row>
    <row r="181" spans="1:10" s="93" customFormat="1" x14ac:dyDescent="0.3">
      <c r="A181" s="11"/>
      <c r="B181" s="280" t="s">
        <v>429</v>
      </c>
      <c r="C181" s="128">
        <f>SUM(D181:G181)</f>
        <v>0</v>
      </c>
      <c r="D181" s="127">
        <f>'2B-Investitie'!D35</f>
        <v>0</v>
      </c>
      <c r="E181" s="127">
        <f>'2B-Investitie'!E35</f>
        <v>0</v>
      </c>
      <c r="F181" s="127">
        <f>'2B-Investitie'!F35</f>
        <v>0</v>
      </c>
      <c r="G181" s="127">
        <f>'2B-Investitie'!G35</f>
        <v>0</v>
      </c>
    </row>
    <row r="182" spans="1:10" s="149" customFormat="1" ht="13.2" customHeight="1" x14ac:dyDescent="0.3">
      <c r="A182" s="12"/>
      <c r="B182" s="14" t="s">
        <v>454</v>
      </c>
      <c r="C182" s="128">
        <f>SUM(D182:G182)</f>
        <v>0</v>
      </c>
      <c r="D182" s="128">
        <f>D180</f>
        <v>0</v>
      </c>
      <c r="E182" s="128">
        <f>E180</f>
        <v>0</v>
      </c>
      <c r="F182" s="128">
        <f>F180</f>
        <v>0</v>
      </c>
      <c r="G182" s="128">
        <f>G180</f>
        <v>0</v>
      </c>
    </row>
    <row r="183" spans="1:10" s="92" customFormat="1" ht="14.4" customHeight="1" x14ac:dyDescent="0.3">
      <c r="A183" s="25"/>
      <c r="B183" s="287" t="s">
        <v>455</v>
      </c>
      <c r="C183" s="128">
        <f>SUM(D183:G183)</f>
        <v>2409227.9107050002</v>
      </c>
      <c r="D183" s="128">
        <f>D178-D182</f>
        <v>2409227.9107050002</v>
      </c>
      <c r="E183" s="128">
        <f>E178-E182</f>
        <v>0</v>
      </c>
      <c r="F183" s="128">
        <f>F178-F182</f>
        <v>0</v>
      </c>
      <c r="G183" s="128">
        <f>G178-G182</f>
        <v>0</v>
      </c>
    </row>
    <row r="184" spans="1:10" s="92" customFormat="1" ht="14.4" customHeight="1" x14ac:dyDescent="0.3">
      <c r="A184" s="10"/>
      <c r="B184" s="142"/>
      <c r="C184" s="129"/>
      <c r="D184" s="129"/>
      <c r="E184" s="129"/>
      <c r="F184" s="129"/>
      <c r="G184" s="129"/>
    </row>
    <row r="185" spans="1:10" s="149" customFormat="1" ht="27.75" customHeight="1" x14ac:dyDescent="0.3">
      <c r="A185" s="371" t="str">
        <f>A127</f>
        <v>ACTIVITATEA DE INVESTITII (inclusiv  reinvestirile din perioada post implementare)</v>
      </c>
      <c r="B185" s="330"/>
      <c r="C185" s="281" t="s">
        <v>286</v>
      </c>
      <c r="D185" s="266" t="s">
        <v>361</v>
      </c>
      <c r="E185" s="281" t="s">
        <v>362</v>
      </c>
      <c r="F185" s="281" t="s">
        <v>363</v>
      </c>
      <c r="G185" s="281" t="s">
        <v>364</v>
      </c>
    </row>
    <row r="186" spans="1:10" s="93" customFormat="1" x14ac:dyDescent="0.3">
      <c r="A186" s="11">
        <v>23</v>
      </c>
      <c r="B186" s="8" t="s">
        <v>433</v>
      </c>
      <c r="C186" s="128">
        <f>SUM(D186:G186)</f>
        <v>0</v>
      </c>
      <c r="D186" s="127">
        <f t="shared" ref="D186:G188" si="8">D128</f>
        <v>0</v>
      </c>
      <c r="E186" s="127">
        <f t="shared" si="8"/>
        <v>0</v>
      </c>
      <c r="F186" s="127">
        <f t="shared" si="8"/>
        <v>0</v>
      </c>
      <c r="G186" s="127">
        <f t="shared" si="8"/>
        <v>0</v>
      </c>
    </row>
    <row r="187" spans="1:10" s="93" customFormat="1" x14ac:dyDescent="0.3">
      <c r="A187" s="11">
        <v>24</v>
      </c>
      <c r="B187" s="8" t="s">
        <v>434</v>
      </c>
      <c r="C187" s="128">
        <f>SUM(D187:G187)</f>
        <v>0</v>
      </c>
      <c r="D187" s="127">
        <f t="shared" si="8"/>
        <v>0</v>
      </c>
      <c r="E187" s="127">
        <f t="shared" si="8"/>
        <v>0</v>
      </c>
      <c r="F187" s="127">
        <f t="shared" si="8"/>
        <v>0</v>
      </c>
      <c r="G187" s="127">
        <f t="shared" si="8"/>
        <v>0</v>
      </c>
    </row>
    <row r="188" spans="1:10" s="93" customFormat="1" x14ac:dyDescent="0.3">
      <c r="A188" s="11">
        <v>25</v>
      </c>
      <c r="B188" s="8" t="s">
        <v>435</v>
      </c>
      <c r="C188" s="128">
        <f>SUM(D188:G188)</f>
        <v>0</v>
      </c>
      <c r="D188" s="127">
        <f t="shared" si="8"/>
        <v>0</v>
      </c>
      <c r="E188" s="127">
        <f t="shared" si="8"/>
        <v>0</v>
      </c>
      <c r="F188" s="127">
        <f t="shared" si="8"/>
        <v>0</v>
      </c>
      <c r="G188" s="127">
        <f t="shared" si="8"/>
        <v>0</v>
      </c>
    </row>
    <row r="189" spans="1:10" s="149" customFormat="1" ht="13.2" customHeight="1" x14ac:dyDescent="0.3">
      <c r="A189" s="12"/>
      <c r="B189" s="14" t="s">
        <v>436</v>
      </c>
      <c r="C189" s="128">
        <f>SUM(D189:G189)</f>
        <v>0</v>
      </c>
      <c r="D189" s="128">
        <f>SUM(D186:D188)</f>
        <v>0</v>
      </c>
      <c r="E189" s="128">
        <f>SUM(E186:E188)</f>
        <v>0</v>
      </c>
      <c r="F189" s="128">
        <f>SUM(F186:F188)</f>
        <v>0</v>
      </c>
      <c r="G189" s="128">
        <f>SUM(G186:G188)</f>
        <v>0</v>
      </c>
    </row>
    <row r="190" spans="1:10" s="92" customFormat="1" ht="14.4" customHeight="1" x14ac:dyDescent="0.3">
      <c r="A190" s="25"/>
      <c r="B190" s="287" t="s">
        <v>437</v>
      </c>
      <c r="C190" s="128">
        <f>SUM(D190:G190)</f>
        <v>0</v>
      </c>
      <c r="D190" s="128">
        <f>-D189</f>
        <v>0</v>
      </c>
      <c r="E190" s="128">
        <f>-E189</f>
        <v>0</v>
      </c>
      <c r="F190" s="128">
        <f>-F189</f>
        <v>0</v>
      </c>
      <c r="G190" s="128">
        <f>-G189</f>
        <v>0</v>
      </c>
    </row>
    <row r="191" spans="1:10" s="92" customFormat="1" ht="14.4" customHeight="1" x14ac:dyDescent="0.3">
      <c r="A191" s="386" t="s">
        <v>438</v>
      </c>
      <c r="B191" s="340"/>
      <c r="C191" s="281" t="s">
        <v>286</v>
      </c>
      <c r="D191" s="281" t="s">
        <v>362</v>
      </c>
      <c r="E191" s="281" t="s">
        <v>363</v>
      </c>
      <c r="F191" s="281" t="s">
        <v>364</v>
      </c>
      <c r="G191" s="281" t="s">
        <v>456</v>
      </c>
    </row>
    <row r="192" spans="1:10" s="92" customFormat="1" ht="15" customHeight="1" x14ac:dyDescent="0.3">
      <c r="A192" s="354"/>
      <c r="B192" s="355"/>
      <c r="C192" s="128">
        <f>SUM(D192:G192)</f>
        <v>2409227.9107050002</v>
      </c>
      <c r="D192" s="128">
        <f>D183+D190</f>
        <v>2409227.9107050002</v>
      </c>
      <c r="E192" s="128">
        <f>E183+E190</f>
        <v>0</v>
      </c>
      <c r="F192" s="128">
        <f>F183+F190</f>
        <v>0</v>
      </c>
      <c r="G192" s="128">
        <f>G183+G190</f>
        <v>0</v>
      </c>
    </row>
    <row r="193" spans="1:7" s="92" customFormat="1" ht="14.4" customHeight="1" x14ac:dyDescent="0.3">
      <c r="A193" s="142"/>
      <c r="B193" s="142"/>
      <c r="C193" s="129"/>
      <c r="D193" s="129"/>
      <c r="E193" s="129"/>
      <c r="F193" s="129"/>
      <c r="G193" s="129"/>
    </row>
    <row r="194" spans="1:7" s="92" customFormat="1" ht="14.4" customHeight="1" x14ac:dyDescent="0.3">
      <c r="A194" s="386" t="s">
        <v>457</v>
      </c>
      <c r="B194" s="340"/>
      <c r="C194" s="281" t="s">
        <v>286</v>
      </c>
      <c r="D194" s="281" t="s">
        <v>362</v>
      </c>
      <c r="E194" s="281" t="s">
        <v>363</v>
      </c>
      <c r="F194" s="281" t="s">
        <v>364</v>
      </c>
      <c r="G194" s="281" t="s">
        <v>456</v>
      </c>
    </row>
    <row r="195" spans="1:7" s="92" customFormat="1" ht="14.4" customHeight="1" x14ac:dyDescent="0.3">
      <c r="A195" s="354"/>
      <c r="B195" s="355"/>
      <c r="C195" s="128">
        <f>SUM(D195:G195)</f>
        <v>7861784.4298873879</v>
      </c>
      <c r="D195" s="128">
        <f>D171+D192</f>
        <v>2409227.9107050002</v>
      </c>
      <c r="E195" s="128">
        <f>E171+E192</f>
        <v>900868.30160893733</v>
      </c>
      <c r="F195" s="128">
        <f>F171+F192</f>
        <v>1817518.8397274902</v>
      </c>
      <c r="G195" s="128">
        <f>G171+G192</f>
        <v>2734169.3778459602</v>
      </c>
    </row>
  </sheetData>
  <mergeCells count="42">
    <mergeCell ref="A194:B195"/>
    <mergeCell ref="A191:B192"/>
    <mergeCell ref="A149:B149"/>
    <mergeCell ref="A170:B170"/>
    <mergeCell ref="A171:B171"/>
    <mergeCell ref="A185:B185"/>
    <mergeCell ref="A150:G150"/>
    <mergeCell ref="A151:G151"/>
    <mergeCell ref="A1:G1"/>
    <mergeCell ref="A138:B138"/>
    <mergeCell ref="A137:B137"/>
    <mergeCell ref="A133:B133"/>
    <mergeCell ref="A135:B136"/>
    <mergeCell ref="B3:M3"/>
    <mergeCell ref="B5:B6"/>
    <mergeCell ref="A5:A6"/>
    <mergeCell ref="C5:C6"/>
    <mergeCell ref="A61:A62"/>
    <mergeCell ref="B61:B62"/>
    <mergeCell ref="C61:C62"/>
    <mergeCell ref="A127:B127"/>
    <mergeCell ref="D5:G5"/>
    <mergeCell ref="A4:G4"/>
    <mergeCell ref="A7:G7"/>
    <mergeCell ref="A8:G8"/>
    <mergeCell ref="A19:G19"/>
    <mergeCell ref="A20:G20"/>
    <mergeCell ref="A60:G60"/>
    <mergeCell ref="D61:G61"/>
    <mergeCell ref="A63:G63"/>
    <mergeCell ref="A64:G64"/>
    <mergeCell ref="A75:G75"/>
    <mergeCell ref="A76:G76"/>
    <mergeCell ref="A143:G143"/>
    <mergeCell ref="A144:G144"/>
    <mergeCell ref="A145:G145"/>
    <mergeCell ref="A140:G140"/>
    <mergeCell ref="D141:G141"/>
    <mergeCell ref="A115:G115"/>
    <mergeCell ref="A141:A142"/>
    <mergeCell ref="B141:B142"/>
    <mergeCell ref="C141:C142"/>
  </mergeCells>
  <pageMargins left="0.47244094488188981" right="0.47244094488188981" top="0.47244094488188981" bottom="0.45833333333333331" header="0.31496062992125978" footer="0.31496062992125978"/>
  <pageSetup paperSize="9" fitToHeight="0" orientation="landscape" blackAndWhite="1" horizontalDpi="300" verticalDpi="300"/>
  <rowBreaks count="4" manualBreakCount="4">
    <brk id="3" max="16383" man="1"/>
    <brk id="59" max="16383" man="1"/>
    <brk id="114" max="12" man="1"/>
    <brk id="13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Z89"/>
  <sheetViews>
    <sheetView tabSelected="1" topLeftCell="A3" workbookViewId="0">
      <selection activeCell="E10" sqref="E10"/>
    </sheetView>
  </sheetViews>
  <sheetFormatPr defaultColWidth="9.109375" defaultRowHeight="13.8" x14ac:dyDescent="0.3"/>
  <cols>
    <col min="1" max="1" width="32.33203125" style="244" customWidth="1"/>
    <col min="2" max="2" width="10.5546875" style="205" customWidth="1"/>
    <col min="3" max="3" width="12.33203125" style="13" customWidth="1"/>
    <col min="4" max="12" width="10.5546875" style="205" customWidth="1"/>
    <col min="13" max="13" width="9.109375" style="246" customWidth="1"/>
    <col min="14" max="14" width="9.109375" style="270" customWidth="1"/>
    <col min="15" max="16384" width="9.109375" style="270"/>
  </cols>
  <sheetData>
    <row r="1" spans="1:13" x14ac:dyDescent="0.3">
      <c r="A1" s="348" t="s">
        <v>458</v>
      </c>
      <c r="B1" s="322"/>
      <c r="C1" s="322"/>
      <c r="D1" s="322"/>
      <c r="E1" s="322"/>
      <c r="F1" s="322"/>
      <c r="G1" s="204"/>
      <c r="H1" s="204"/>
      <c r="I1" s="204"/>
      <c r="J1" s="204"/>
      <c r="K1" s="204"/>
    </row>
    <row r="2" spans="1:13" x14ac:dyDescent="0.3">
      <c r="A2" s="391" t="s">
        <v>459</v>
      </c>
      <c r="B2" s="322"/>
      <c r="C2" s="322"/>
      <c r="D2" s="322"/>
      <c r="E2" s="322"/>
      <c r="F2" s="322"/>
      <c r="G2" s="322"/>
      <c r="H2" s="322"/>
      <c r="I2" s="322"/>
      <c r="J2" s="322"/>
      <c r="K2" s="322"/>
    </row>
    <row r="3" spans="1:13" x14ac:dyDescent="0.3">
      <c r="A3" s="283"/>
      <c r="B3" s="283"/>
      <c r="C3" s="283"/>
      <c r="D3" s="283"/>
      <c r="E3" s="283"/>
      <c r="F3" s="283"/>
      <c r="G3" s="283"/>
      <c r="H3" s="283"/>
      <c r="I3" s="283"/>
      <c r="J3" s="283"/>
      <c r="K3" s="283"/>
    </row>
    <row r="4" spans="1:13" ht="24" customHeight="1" x14ac:dyDescent="0.3">
      <c r="A4" s="257" t="s">
        <v>460</v>
      </c>
      <c r="B4" s="258" t="s">
        <v>461</v>
      </c>
      <c r="C4" s="283"/>
      <c r="D4" s="283"/>
      <c r="E4" s="283"/>
      <c r="F4" s="283"/>
      <c r="G4" s="283"/>
      <c r="H4" s="283"/>
      <c r="I4" s="283"/>
      <c r="J4" s="283"/>
      <c r="K4" s="283"/>
    </row>
    <row r="5" spans="1:13" x14ac:dyDescent="0.3">
      <c r="C5" s="252"/>
    </row>
    <row r="6" spans="1:13" x14ac:dyDescent="0.3">
      <c r="A6" s="206" t="s">
        <v>462</v>
      </c>
      <c r="B6" s="207">
        <v>0.04</v>
      </c>
      <c r="C6" s="395" t="s">
        <v>463</v>
      </c>
      <c r="D6" s="329"/>
      <c r="E6" s="329"/>
      <c r="F6" s="330"/>
      <c r="G6" s="246"/>
      <c r="H6" s="270"/>
      <c r="I6" s="270"/>
      <c r="J6" s="270"/>
      <c r="K6" s="270"/>
      <c r="L6" s="270"/>
      <c r="M6" s="270"/>
    </row>
    <row r="7" spans="1:13" s="68" customFormat="1" x14ac:dyDescent="0.3">
      <c r="A7" s="242"/>
      <c r="B7" s="17" t="s">
        <v>286</v>
      </c>
      <c r="C7" s="17">
        <v>1</v>
      </c>
      <c r="D7" s="17">
        <v>2</v>
      </c>
      <c r="E7" s="17">
        <v>3</v>
      </c>
      <c r="F7" s="17">
        <v>4</v>
      </c>
      <c r="G7" s="51"/>
    </row>
    <row r="8" spans="1:13" s="210" customFormat="1" ht="14.4" customHeight="1" x14ac:dyDescent="0.3">
      <c r="A8" s="208" t="s">
        <v>464</v>
      </c>
      <c r="B8" s="127">
        <f t="shared" ref="B8:B17" si="0">SUM(C8:F8)</f>
        <v>5.9604644775390625E-8</v>
      </c>
      <c r="C8" s="211">
        <f>'3A-Proiectii_fin_investitie'!D149</f>
        <v>0</v>
      </c>
      <c r="D8" s="211">
        <f>'3A-Proiectii_fin_investitie'!E149</f>
        <v>-234760.76808029413</v>
      </c>
      <c r="E8" s="211">
        <f>'3A-Proiectii_fin_investitie'!F149</f>
        <v>0</v>
      </c>
      <c r="F8" s="211">
        <f>'3A-Proiectii_fin_investitie'!G149</f>
        <v>234760.76808035374</v>
      </c>
      <c r="G8" s="209"/>
    </row>
    <row r="9" spans="1:13" s="210" customFormat="1" ht="14.4" customHeight="1" x14ac:dyDescent="0.3">
      <c r="A9" s="208" t="s">
        <v>465</v>
      </c>
      <c r="B9" s="127">
        <f t="shared" si="0"/>
        <v>0</v>
      </c>
      <c r="C9" s="211"/>
      <c r="D9" s="211"/>
      <c r="E9" s="211"/>
      <c r="F9" s="211">
        <v>0</v>
      </c>
      <c r="G9" s="209"/>
    </row>
    <row r="10" spans="1:13" s="215" customFormat="1" ht="14.4" customHeight="1" x14ac:dyDescent="0.3">
      <c r="A10" s="212" t="s">
        <v>466</v>
      </c>
      <c r="B10" s="128">
        <f t="shared" si="0"/>
        <v>5.9604644775390625E-8</v>
      </c>
      <c r="C10" s="213">
        <f>SUM(C8:C9)</f>
        <v>0</v>
      </c>
      <c r="D10" s="213">
        <f>SUM(D8:D9)</f>
        <v>-234760.76808029413</v>
      </c>
      <c r="E10" s="213">
        <f>SUM(E8:E9)</f>
        <v>0</v>
      </c>
      <c r="F10" s="213">
        <f>SUM(F8:F9)</f>
        <v>234760.76808035374</v>
      </c>
      <c r="G10" s="214"/>
    </row>
    <row r="11" spans="1:13" s="210" customFormat="1" ht="14.4" customHeight="1" x14ac:dyDescent="0.3">
      <c r="A11" s="208" t="s">
        <v>467</v>
      </c>
      <c r="B11" s="127">
        <f t="shared" si="0"/>
        <v>-5168932.6484321002</v>
      </c>
      <c r="C11" s="127">
        <f>'3A-Proiectii_fin_investitie'!D165-'3A-Proiectii_fin_investitie'!D164</f>
        <v>0</v>
      </c>
      <c r="D11" s="127">
        <f>'3A-Proiectii_fin_investitie'!E165-'3A-Proiectii_fin_investitie'!E164</f>
        <v>-861488.77473868337</v>
      </c>
      <c r="E11" s="127">
        <f>'3A-Proiectii_fin_investitie'!F165-'3A-Proiectii_fin_investitie'!F164</f>
        <v>-1722977.5494773965</v>
      </c>
      <c r="F11" s="127">
        <f>'3A-Proiectii_fin_investitie'!G165-'3A-Proiectii_fin_investitie'!G164</f>
        <v>-2584466.3242160203</v>
      </c>
      <c r="G11" s="209"/>
    </row>
    <row r="12" spans="1:13" s="210" customFormat="1" ht="14.4" customHeight="1" x14ac:dyDescent="0.3">
      <c r="A12" s="208" t="s">
        <v>468</v>
      </c>
      <c r="B12" s="127">
        <f t="shared" si="0"/>
        <v>0</v>
      </c>
      <c r="C12" s="127">
        <f>'3A-Proiectii_fin_investitie'!D189</f>
        <v>0</v>
      </c>
      <c r="D12" s="127">
        <f>'3A-Proiectii_fin_investitie'!E189</f>
        <v>0</v>
      </c>
      <c r="E12" s="127">
        <f>'3A-Proiectii_fin_investitie'!F189</f>
        <v>0</v>
      </c>
      <c r="F12" s="127">
        <f>'3A-Proiectii_fin_investitie'!G189</f>
        <v>0</v>
      </c>
      <c r="G12" s="209"/>
    </row>
    <row r="13" spans="1:13" s="210" customFormat="1" ht="14.4" customHeight="1" x14ac:dyDescent="0.3">
      <c r="A13" s="208" t="s">
        <v>469</v>
      </c>
      <c r="B13" s="127">
        <f t="shared" si="0"/>
        <v>459248.82790903538</v>
      </c>
      <c r="C13" s="127">
        <f>IF($B$4="NU",-'2B-Investitie'!E25+'3A-Proiectii_fin_investitie'!D167-'3A-Proiectii_fin_investitie'!D168,0)</f>
        <v>-384666.64120499999</v>
      </c>
      <c r="D13" s="127">
        <f>IF($B$4="NU",-'2B-Investitie'!F25+'3A-Proiectii_fin_investitie'!E167-'3A-Proiectii_fin_investitie'!E168,0)</f>
        <v>103169.76647535712</v>
      </c>
      <c r="E13" s="127">
        <f>IF($B$4="NU",-'2B-Investitie'!G25+'3A-Proiectii_fin_investitie'!F167-'3A-Proiectii_fin_investitie'!F168,0)</f>
        <v>281305.15637134761</v>
      </c>
      <c r="F13" s="127">
        <f>IF($B$4="NU",-'2B-Investitie'!H25+'3A-Proiectii_fin_investitie'!G167-'3A-Proiectii_fin_investitie'!G168,0)</f>
        <v>459440.54626733065</v>
      </c>
      <c r="G13" s="209"/>
    </row>
    <row r="14" spans="1:13" s="215" customFormat="1" ht="14.4" customHeight="1" x14ac:dyDescent="0.3">
      <c r="A14" s="212" t="s">
        <v>470</v>
      </c>
      <c r="B14" s="128">
        <f t="shared" si="0"/>
        <v>-4709683.8205230646</v>
      </c>
      <c r="C14" s="128">
        <f>SUM(C11:C13)</f>
        <v>-384666.64120499999</v>
      </c>
      <c r="D14" s="128">
        <f>SUM(D11:D13)</f>
        <v>-758319.00826332625</v>
      </c>
      <c r="E14" s="128">
        <f>SUM(E11:E13)</f>
        <v>-1441672.3931060489</v>
      </c>
      <c r="F14" s="128">
        <f>SUM(F11:F13)</f>
        <v>-2125025.7779486896</v>
      </c>
      <c r="G14" s="214"/>
    </row>
    <row r="15" spans="1:13" s="215" customFormat="1" ht="14.4" customHeight="1" x14ac:dyDescent="0.3">
      <c r="A15" s="212" t="s">
        <v>471</v>
      </c>
      <c r="B15" s="128">
        <f t="shared" si="0"/>
        <v>4709683.8205231242</v>
      </c>
      <c r="C15" s="128">
        <f>C10-C14</f>
        <v>384666.64120499999</v>
      </c>
      <c r="D15" s="128">
        <f>D10-D14</f>
        <v>523558.24018303212</v>
      </c>
      <c r="E15" s="128">
        <f>E10-E14</f>
        <v>1441672.3931060489</v>
      </c>
      <c r="F15" s="128">
        <f>F10-F14</f>
        <v>2359786.5460290434</v>
      </c>
      <c r="G15" s="214"/>
    </row>
    <row r="16" spans="1:13" s="217" customFormat="1" ht="14.4" customHeight="1" x14ac:dyDescent="0.3">
      <c r="A16" s="212" t="s">
        <v>472</v>
      </c>
      <c r="B16" s="128">
        <f t="shared" si="0"/>
        <v>4152727.7315761335</v>
      </c>
      <c r="C16" s="128">
        <f>C15*POWER(1+$B$6,-C7)</f>
        <v>369871.77038942307</v>
      </c>
      <c r="D16" s="128">
        <f>D15*POWER(1+$B$6,-D7)</f>
        <v>484059.02383786248</v>
      </c>
      <c r="E16" s="128">
        <f>E15*POWER(1+$B$6,-E7)</f>
        <v>1281641.5078676613</v>
      </c>
      <c r="F16" s="128">
        <f>F15*POWER(1+$B$6,-F7)</f>
        <v>2017155.4294811871</v>
      </c>
      <c r="G16" s="216"/>
    </row>
    <row r="17" spans="1:13" s="215" customFormat="1" ht="14.4" customHeight="1" x14ac:dyDescent="0.3">
      <c r="A17" s="212" t="s">
        <v>473</v>
      </c>
      <c r="B17" s="128">
        <f t="shared" si="0"/>
        <v>-369871.77038942307</v>
      </c>
      <c r="C17" s="128">
        <f>IF($B$4="NU",(C12-'2B-Investitie'!E25)*POWER(1+$B$6,-C7),C12*POWER(1+$B$6,-C7))</f>
        <v>-369871.77038942307</v>
      </c>
      <c r="D17" s="128">
        <f>IF($B$4="NU",(D12-'2B-Investitie'!F25)*POWER(1+$B$6,-D7),D12*POWER(1+$B$6,-D7))</f>
        <v>0</v>
      </c>
      <c r="E17" s="128">
        <f>IF($B$4="NU",(E12-'2B-Investitie'!G25)*POWER(1+$B$6,-E7),E12*POWER(1+$B$6,-E7))</f>
        <v>0</v>
      </c>
      <c r="F17" s="128">
        <f>IF($B$4="NU",(F12-'2B-Investitie'!H25)*POWER(1+$B$6,-F7),F12*POWER(1+$B$6,-F7))</f>
        <v>0</v>
      </c>
      <c r="G17" s="214"/>
    </row>
    <row r="18" spans="1:13" s="221" customFormat="1" ht="15.6" customHeight="1" x14ac:dyDescent="0.3">
      <c r="A18" s="218" t="s">
        <v>474</v>
      </c>
      <c r="B18" s="164">
        <f>SUM(C16:F16)</f>
        <v>4152727.7315761335</v>
      </c>
      <c r="C18" s="219"/>
      <c r="D18" s="239"/>
      <c r="E18" s="220"/>
      <c r="F18" s="220"/>
      <c r="G18" s="220"/>
      <c r="H18" s="220"/>
      <c r="I18" s="220"/>
      <c r="J18" s="220"/>
      <c r="K18" s="220"/>
      <c r="L18" s="220"/>
      <c r="M18" s="214"/>
    </row>
    <row r="19" spans="1:13" s="221" customFormat="1" ht="15.6" customHeight="1" x14ac:dyDescent="0.3">
      <c r="A19" s="212" t="s">
        <v>475</v>
      </c>
      <c r="B19" s="222" t="str">
        <f>IFERROR(IRR(C15:F15),"")</f>
        <v/>
      </c>
      <c r="C19" s="261" t="e">
        <f>(IRR(C15:F15))</f>
        <v>#NUM!</v>
      </c>
      <c r="D19" s="239"/>
      <c r="E19" s="220"/>
      <c r="F19" s="220"/>
      <c r="G19" s="220"/>
      <c r="H19" s="220"/>
      <c r="I19" s="220"/>
      <c r="J19" s="220"/>
      <c r="K19" s="220"/>
      <c r="L19" s="220"/>
      <c r="M19" s="214"/>
    </row>
    <row r="20" spans="1:13" x14ac:dyDescent="0.3">
      <c r="A20" s="223"/>
      <c r="B20" s="224"/>
      <c r="C20" s="224"/>
      <c r="D20" s="224"/>
      <c r="E20" s="224"/>
    </row>
    <row r="22" spans="1:13" s="94" customFormat="1" ht="64.5" customHeight="1" x14ac:dyDescent="0.3">
      <c r="A22" s="393" t="s">
        <v>476</v>
      </c>
      <c r="B22" s="394"/>
      <c r="C22" s="394"/>
      <c r="D22" s="394"/>
      <c r="E22" s="394"/>
      <c r="F22" s="394"/>
      <c r="G22" s="394"/>
      <c r="H22" s="394"/>
      <c r="I22" s="394"/>
      <c r="J22" s="394"/>
      <c r="K22" s="394"/>
      <c r="L22" s="394"/>
      <c r="M22" s="246"/>
    </row>
    <row r="23" spans="1:13" s="94" customFormat="1" x14ac:dyDescent="0.3">
      <c r="A23" s="95"/>
      <c r="B23" s="96"/>
      <c r="C23" s="96"/>
      <c r="D23" s="96"/>
      <c r="E23" s="96"/>
      <c r="F23" s="96"/>
      <c r="G23" s="96"/>
      <c r="H23" s="96"/>
      <c r="I23" s="96"/>
      <c r="J23" s="96"/>
      <c r="K23" s="97"/>
      <c r="L23" s="97"/>
      <c r="M23" s="246"/>
    </row>
    <row r="24" spans="1:13" s="94" customFormat="1" ht="36" customHeight="1" x14ac:dyDescent="0.3">
      <c r="A24" s="282" t="s">
        <v>477</v>
      </c>
      <c r="B24" s="174" t="s">
        <v>478</v>
      </c>
      <c r="C24" s="174" t="s">
        <v>479</v>
      </c>
      <c r="D24" s="174" t="s">
        <v>480</v>
      </c>
      <c r="E24" s="174" t="s">
        <v>481</v>
      </c>
      <c r="G24" s="96"/>
      <c r="H24" s="96"/>
      <c r="I24" s="96"/>
      <c r="J24" s="96"/>
      <c r="K24" s="97"/>
      <c r="L24" s="97"/>
      <c r="M24" s="246"/>
    </row>
    <row r="25" spans="1:13" s="94" customFormat="1" x14ac:dyDescent="0.3">
      <c r="A25" s="157" t="s">
        <v>482</v>
      </c>
      <c r="B25" s="151">
        <v>2024561.2694999999</v>
      </c>
      <c r="C25" s="152">
        <f t="shared" ref="C25:C55" si="1">B25/$B$56</f>
        <v>1</v>
      </c>
      <c r="D25" s="151">
        <v>12</v>
      </c>
      <c r="E25" s="153">
        <f t="shared" ref="E25:E55" si="2">ROUND(C25*D25,0)</f>
        <v>12</v>
      </c>
      <c r="G25" s="96"/>
      <c r="H25" s="96"/>
      <c r="I25" s="96"/>
      <c r="J25" s="96"/>
      <c r="K25" s="97"/>
      <c r="L25" s="97"/>
      <c r="M25" s="246"/>
    </row>
    <row r="26" spans="1:13" s="94" customFormat="1" x14ac:dyDescent="0.3">
      <c r="A26" s="157" t="s">
        <v>482</v>
      </c>
      <c r="B26" s="151">
        <v>0</v>
      </c>
      <c r="C26" s="152">
        <f t="shared" si="1"/>
        <v>0</v>
      </c>
      <c r="D26" s="151">
        <v>0</v>
      </c>
      <c r="E26" s="153">
        <f t="shared" si="2"/>
        <v>0</v>
      </c>
      <c r="G26" s="96"/>
      <c r="H26" s="96"/>
      <c r="I26" s="96"/>
      <c r="J26" s="96"/>
      <c r="K26" s="97"/>
      <c r="L26" s="97"/>
      <c r="M26" s="246"/>
    </row>
    <row r="27" spans="1:13" s="94" customFormat="1" x14ac:dyDescent="0.3">
      <c r="A27" s="157" t="s">
        <v>482</v>
      </c>
      <c r="B27" s="151">
        <v>0</v>
      </c>
      <c r="C27" s="152">
        <f t="shared" si="1"/>
        <v>0</v>
      </c>
      <c r="D27" s="151">
        <v>0</v>
      </c>
      <c r="E27" s="153">
        <f t="shared" si="2"/>
        <v>0</v>
      </c>
      <c r="G27" s="96"/>
      <c r="H27" s="96"/>
      <c r="I27" s="96"/>
      <c r="J27" s="96"/>
      <c r="K27" s="97"/>
      <c r="L27" s="97"/>
      <c r="M27" s="246"/>
    </row>
    <row r="28" spans="1:13" s="94" customFormat="1" x14ac:dyDescent="0.3">
      <c r="A28" s="157" t="s">
        <v>482</v>
      </c>
      <c r="B28" s="151">
        <v>0</v>
      </c>
      <c r="C28" s="152">
        <f t="shared" si="1"/>
        <v>0</v>
      </c>
      <c r="D28" s="151">
        <v>0</v>
      </c>
      <c r="E28" s="153">
        <f t="shared" si="2"/>
        <v>0</v>
      </c>
      <c r="G28" s="96"/>
      <c r="H28" s="96"/>
      <c r="I28" s="96"/>
      <c r="J28" s="96"/>
      <c r="K28" s="97"/>
      <c r="L28" s="97"/>
      <c r="M28" s="246"/>
    </row>
    <row r="29" spans="1:13" s="94" customFormat="1" x14ac:dyDescent="0.3">
      <c r="A29" s="157" t="s">
        <v>482</v>
      </c>
      <c r="B29" s="151">
        <v>0</v>
      </c>
      <c r="C29" s="152">
        <f t="shared" si="1"/>
        <v>0</v>
      </c>
      <c r="D29" s="151">
        <v>0</v>
      </c>
      <c r="E29" s="153">
        <f t="shared" si="2"/>
        <v>0</v>
      </c>
      <c r="G29" s="96"/>
      <c r="H29" s="96"/>
      <c r="I29" s="96"/>
      <c r="J29" s="96"/>
      <c r="K29" s="97"/>
      <c r="L29" s="97"/>
      <c r="M29" s="246"/>
    </row>
    <row r="30" spans="1:13" s="94" customFormat="1" x14ac:dyDescent="0.3">
      <c r="A30" s="157" t="s">
        <v>482</v>
      </c>
      <c r="B30" s="151">
        <v>0</v>
      </c>
      <c r="C30" s="152">
        <f t="shared" si="1"/>
        <v>0</v>
      </c>
      <c r="D30" s="151">
        <v>0</v>
      </c>
      <c r="E30" s="153">
        <f t="shared" si="2"/>
        <v>0</v>
      </c>
      <c r="G30" s="96"/>
      <c r="H30" s="96"/>
      <c r="I30" s="96"/>
      <c r="J30" s="96"/>
      <c r="K30" s="97"/>
      <c r="L30" s="97"/>
      <c r="M30" s="246"/>
    </row>
    <row r="31" spans="1:13" s="94" customFormat="1" x14ac:dyDescent="0.3">
      <c r="A31" s="157" t="s">
        <v>482</v>
      </c>
      <c r="B31" s="151">
        <v>0</v>
      </c>
      <c r="C31" s="152">
        <f t="shared" si="1"/>
        <v>0</v>
      </c>
      <c r="D31" s="151">
        <v>0</v>
      </c>
      <c r="E31" s="153">
        <f t="shared" si="2"/>
        <v>0</v>
      </c>
      <c r="G31" s="96"/>
      <c r="H31" s="96"/>
      <c r="I31" s="96"/>
      <c r="J31" s="96"/>
      <c r="K31" s="97"/>
      <c r="L31" s="97"/>
      <c r="M31" s="246"/>
    </row>
    <row r="32" spans="1:13" s="94" customFormat="1" x14ac:dyDescent="0.3">
      <c r="A32" s="157" t="s">
        <v>482</v>
      </c>
      <c r="B32" s="151">
        <v>0</v>
      </c>
      <c r="C32" s="152">
        <f t="shared" si="1"/>
        <v>0</v>
      </c>
      <c r="D32" s="151">
        <v>0</v>
      </c>
      <c r="E32" s="153">
        <f t="shared" si="2"/>
        <v>0</v>
      </c>
      <c r="G32" s="96"/>
      <c r="H32" s="96"/>
      <c r="I32" s="96"/>
      <c r="J32" s="96"/>
      <c r="K32" s="97"/>
      <c r="L32" s="97"/>
      <c r="M32" s="246"/>
    </row>
    <row r="33" spans="1:13" s="94" customFormat="1" x14ac:dyDescent="0.3">
      <c r="A33" s="157" t="s">
        <v>482</v>
      </c>
      <c r="B33" s="151">
        <v>0</v>
      </c>
      <c r="C33" s="152">
        <f t="shared" si="1"/>
        <v>0</v>
      </c>
      <c r="D33" s="151">
        <v>0</v>
      </c>
      <c r="E33" s="153">
        <f t="shared" si="2"/>
        <v>0</v>
      </c>
      <c r="G33" s="96"/>
      <c r="H33" s="96"/>
      <c r="I33" s="96"/>
      <c r="J33" s="96"/>
      <c r="K33" s="97"/>
      <c r="L33" s="97"/>
      <c r="M33" s="246"/>
    </row>
    <row r="34" spans="1:13" s="94" customFormat="1" x14ac:dyDescent="0.3">
      <c r="A34" s="157" t="s">
        <v>482</v>
      </c>
      <c r="B34" s="151">
        <v>0</v>
      </c>
      <c r="C34" s="152">
        <f t="shared" si="1"/>
        <v>0</v>
      </c>
      <c r="D34" s="151">
        <v>0</v>
      </c>
      <c r="E34" s="153">
        <f t="shared" si="2"/>
        <v>0</v>
      </c>
      <c r="G34" s="96"/>
      <c r="H34" s="96"/>
      <c r="I34" s="96"/>
      <c r="J34" s="96"/>
      <c r="K34" s="97"/>
      <c r="L34" s="97"/>
      <c r="M34" s="246"/>
    </row>
    <row r="35" spans="1:13" s="94" customFormat="1" x14ac:dyDescent="0.3">
      <c r="A35" s="157" t="s">
        <v>482</v>
      </c>
      <c r="B35" s="151">
        <v>0</v>
      </c>
      <c r="C35" s="152">
        <f t="shared" si="1"/>
        <v>0</v>
      </c>
      <c r="D35" s="151">
        <v>0</v>
      </c>
      <c r="E35" s="153">
        <f t="shared" si="2"/>
        <v>0</v>
      </c>
      <c r="G35" s="96"/>
      <c r="H35" s="96"/>
      <c r="I35" s="96"/>
      <c r="J35" s="96"/>
      <c r="K35" s="97"/>
      <c r="L35" s="97"/>
      <c r="M35" s="246"/>
    </row>
    <row r="36" spans="1:13" s="94" customFormat="1" x14ac:dyDescent="0.3">
      <c r="A36" s="157" t="s">
        <v>482</v>
      </c>
      <c r="B36" s="151">
        <v>0</v>
      </c>
      <c r="C36" s="152">
        <f t="shared" si="1"/>
        <v>0</v>
      </c>
      <c r="D36" s="151">
        <v>0</v>
      </c>
      <c r="E36" s="153">
        <f t="shared" si="2"/>
        <v>0</v>
      </c>
      <c r="G36" s="96"/>
      <c r="H36" s="96"/>
      <c r="I36" s="96"/>
      <c r="J36" s="96"/>
      <c r="K36" s="97"/>
      <c r="L36" s="97"/>
      <c r="M36" s="246"/>
    </row>
    <row r="37" spans="1:13" s="94" customFormat="1" x14ac:dyDescent="0.3">
      <c r="A37" s="157" t="s">
        <v>482</v>
      </c>
      <c r="B37" s="151">
        <v>0</v>
      </c>
      <c r="C37" s="152">
        <f t="shared" si="1"/>
        <v>0</v>
      </c>
      <c r="D37" s="151">
        <v>0</v>
      </c>
      <c r="E37" s="153">
        <f t="shared" si="2"/>
        <v>0</v>
      </c>
      <c r="G37" s="96"/>
      <c r="H37" s="96"/>
      <c r="I37" s="96"/>
      <c r="J37" s="96"/>
      <c r="K37" s="97"/>
      <c r="L37" s="97"/>
      <c r="M37" s="246"/>
    </row>
    <row r="38" spans="1:13" s="94" customFormat="1" x14ac:dyDescent="0.3">
      <c r="A38" s="157" t="s">
        <v>482</v>
      </c>
      <c r="B38" s="151">
        <v>0</v>
      </c>
      <c r="C38" s="152">
        <f t="shared" si="1"/>
        <v>0</v>
      </c>
      <c r="D38" s="151">
        <v>0</v>
      </c>
      <c r="E38" s="153">
        <f t="shared" si="2"/>
        <v>0</v>
      </c>
      <c r="G38" s="96"/>
      <c r="H38" s="96"/>
      <c r="I38" s="96"/>
      <c r="J38" s="96"/>
      <c r="K38" s="97"/>
      <c r="L38" s="97"/>
      <c r="M38" s="246"/>
    </row>
    <row r="39" spans="1:13" s="94" customFormat="1" x14ac:dyDescent="0.3">
      <c r="A39" s="157" t="s">
        <v>482</v>
      </c>
      <c r="B39" s="151">
        <v>0</v>
      </c>
      <c r="C39" s="152">
        <f t="shared" si="1"/>
        <v>0</v>
      </c>
      <c r="D39" s="151">
        <v>0</v>
      </c>
      <c r="E39" s="153">
        <f t="shared" si="2"/>
        <v>0</v>
      </c>
      <c r="G39" s="96"/>
      <c r="H39" s="96"/>
      <c r="I39" s="96"/>
      <c r="J39" s="96"/>
      <c r="K39" s="97"/>
      <c r="L39" s="97"/>
      <c r="M39" s="246"/>
    </row>
    <row r="40" spans="1:13" s="94" customFormat="1" x14ac:dyDescent="0.3">
      <c r="A40" s="157" t="s">
        <v>482</v>
      </c>
      <c r="B40" s="151">
        <v>0</v>
      </c>
      <c r="C40" s="152">
        <f t="shared" si="1"/>
        <v>0</v>
      </c>
      <c r="D40" s="151">
        <v>0</v>
      </c>
      <c r="E40" s="153">
        <f t="shared" si="2"/>
        <v>0</v>
      </c>
      <c r="G40" s="96"/>
      <c r="H40" s="96"/>
      <c r="I40" s="96"/>
      <c r="J40" s="96"/>
      <c r="K40" s="97"/>
      <c r="L40" s="97"/>
      <c r="M40" s="246"/>
    </row>
    <row r="41" spans="1:13" s="94" customFormat="1" x14ac:dyDescent="0.3">
      <c r="A41" s="157" t="s">
        <v>482</v>
      </c>
      <c r="B41" s="151">
        <v>0</v>
      </c>
      <c r="C41" s="152">
        <f t="shared" si="1"/>
        <v>0</v>
      </c>
      <c r="D41" s="151">
        <v>0</v>
      </c>
      <c r="E41" s="153">
        <f t="shared" si="2"/>
        <v>0</v>
      </c>
      <c r="G41" s="96"/>
      <c r="H41" s="96"/>
      <c r="I41" s="96"/>
      <c r="J41" s="96"/>
      <c r="K41" s="97"/>
      <c r="L41" s="97"/>
      <c r="M41" s="246"/>
    </row>
    <row r="42" spans="1:13" s="94" customFormat="1" x14ac:dyDescent="0.3">
      <c r="A42" s="157" t="s">
        <v>482</v>
      </c>
      <c r="B42" s="151">
        <v>0</v>
      </c>
      <c r="C42" s="152">
        <f t="shared" si="1"/>
        <v>0</v>
      </c>
      <c r="D42" s="151">
        <v>0</v>
      </c>
      <c r="E42" s="153">
        <f t="shared" si="2"/>
        <v>0</v>
      </c>
      <c r="G42" s="96"/>
      <c r="H42" s="96"/>
      <c r="I42" s="96"/>
      <c r="J42" s="96"/>
      <c r="K42" s="97"/>
      <c r="L42" s="97"/>
      <c r="M42" s="246"/>
    </row>
    <row r="43" spans="1:13" s="94" customFormat="1" x14ac:dyDescent="0.3">
      <c r="A43" s="157" t="s">
        <v>482</v>
      </c>
      <c r="B43" s="151">
        <v>0</v>
      </c>
      <c r="C43" s="152">
        <f t="shared" si="1"/>
        <v>0</v>
      </c>
      <c r="D43" s="151">
        <v>0</v>
      </c>
      <c r="E43" s="153">
        <f t="shared" si="2"/>
        <v>0</v>
      </c>
      <c r="G43" s="96"/>
      <c r="H43" s="96"/>
      <c r="I43" s="96"/>
      <c r="J43" s="96"/>
      <c r="K43" s="97"/>
      <c r="L43" s="97"/>
      <c r="M43" s="246"/>
    </row>
    <row r="44" spans="1:13" s="94" customFormat="1" x14ac:dyDescent="0.3">
      <c r="A44" s="157" t="s">
        <v>482</v>
      </c>
      <c r="B44" s="151">
        <v>0</v>
      </c>
      <c r="C44" s="152">
        <f t="shared" si="1"/>
        <v>0</v>
      </c>
      <c r="D44" s="151">
        <v>0</v>
      </c>
      <c r="E44" s="153">
        <f t="shared" si="2"/>
        <v>0</v>
      </c>
      <c r="G44" s="96"/>
      <c r="H44" s="96"/>
      <c r="I44" s="96"/>
      <c r="J44" s="96"/>
      <c r="K44" s="97"/>
      <c r="L44" s="97"/>
      <c r="M44" s="246"/>
    </row>
    <row r="45" spans="1:13" s="94" customFormat="1" x14ac:dyDescent="0.3">
      <c r="A45" s="157" t="s">
        <v>482</v>
      </c>
      <c r="B45" s="151">
        <v>0</v>
      </c>
      <c r="C45" s="152">
        <f t="shared" si="1"/>
        <v>0</v>
      </c>
      <c r="D45" s="151">
        <v>0</v>
      </c>
      <c r="E45" s="153">
        <f t="shared" si="2"/>
        <v>0</v>
      </c>
      <c r="G45" s="96"/>
      <c r="H45" s="96"/>
      <c r="I45" s="96"/>
      <c r="J45" s="96"/>
      <c r="K45" s="97"/>
      <c r="L45" s="97"/>
      <c r="M45" s="246"/>
    </row>
    <row r="46" spans="1:13" s="94" customFormat="1" x14ac:dyDescent="0.3">
      <c r="A46" s="157" t="s">
        <v>482</v>
      </c>
      <c r="B46" s="151">
        <v>0</v>
      </c>
      <c r="C46" s="152">
        <f t="shared" si="1"/>
        <v>0</v>
      </c>
      <c r="D46" s="151">
        <v>0</v>
      </c>
      <c r="E46" s="153">
        <f t="shared" si="2"/>
        <v>0</v>
      </c>
      <c r="G46" s="96"/>
      <c r="H46" s="96"/>
      <c r="I46" s="96"/>
      <c r="J46" s="96"/>
      <c r="K46" s="97"/>
      <c r="L46" s="97"/>
      <c r="M46" s="246"/>
    </row>
    <row r="47" spans="1:13" s="94" customFormat="1" x14ac:dyDescent="0.3">
      <c r="A47" s="157" t="s">
        <v>482</v>
      </c>
      <c r="B47" s="151">
        <v>0</v>
      </c>
      <c r="C47" s="152">
        <f t="shared" si="1"/>
        <v>0</v>
      </c>
      <c r="D47" s="151">
        <v>0</v>
      </c>
      <c r="E47" s="153">
        <f t="shared" si="2"/>
        <v>0</v>
      </c>
      <c r="G47" s="96"/>
      <c r="H47" s="96"/>
      <c r="I47" s="96"/>
      <c r="J47" s="96"/>
      <c r="K47" s="97"/>
      <c r="L47" s="97"/>
      <c r="M47" s="246"/>
    </row>
    <row r="48" spans="1:13" s="94" customFormat="1" x14ac:dyDescent="0.3">
      <c r="A48" s="157" t="s">
        <v>482</v>
      </c>
      <c r="B48" s="151">
        <v>0</v>
      </c>
      <c r="C48" s="152">
        <f t="shared" si="1"/>
        <v>0</v>
      </c>
      <c r="D48" s="151">
        <v>0</v>
      </c>
      <c r="E48" s="153">
        <f t="shared" si="2"/>
        <v>0</v>
      </c>
      <c r="G48" s="96"/>
      <c r="H48" s="96"/>
      <c r="I48" s="96"/>
      <c r="J48" s="96"/>
      <c r="K48" s="97"/>
      <c r="L48" s="97"/>
      <c r="M48" s="246"/>
    </row>
    <row r="49" spans="1:13" s="94" customFormat="1" x14ac:dyDescent="0.3">
      <c r="A49" s="157" t="s">
        <v>482</v>
      </c>
      <c r="B49" s="151">
        <v>0</v>
      </c>
      <c r="C49" s="152">
        <f t="shared" si="1"/>
        <v>0</v>
      </c>
      <c r="D49" s="151">
        <v>0</v>
      </c>
      <c r="E49" s="153">
        <f t="shared" si="2"/>
        <v>0</v>
      </c>
      <c r="G49" s="96"/>
      <c r="H49" s="96"/>
      <c r="I49" s="96"/>
      <c r="J49" s="96"/>
      <c r="K49" s="97"/>
      <c r="L49" s="97"/>
      <c r="M49" s="246"/>
    </row>
    <row r="50" spans="1:13" s="94" customFormat="1" x14ac:dyDescent="0.3">
      <c r="A50" s="157" t="s">
        <v>482</v>
      </c>
      <c r="B50" s="151">
        <v>0</v>
      </c>
      <c r="C50" s="152">
        <f t="shared" si="1"/>
        <v>0</v>
      </c>
      <c r="D50" s="151">
        <v>0</v>
      </c>
      <c r="E50" s="153">
        <f t="shared" si="2"/>
        <v>0</v>
      </c>
      <c r="G50" s="96"/>
      <c r="H50" s="96"/>
      <c r="I50" s="96"/>
      <c r="J50" s="96"/>
      <c r="K50" s="97"/>
      <c r="L50" s="97"/>
      <c r="M50" s="246"/>
    </row>
    <row r="51" spans="1:13" s="94" customFormat="1" x14ac:dyDescent="0.3">
      <c r="A51" s="157" t="s">
        <v>482</v>
      </c>
      <c r="B51" s="151">
        <v>0</v>
      </c>
      <c r="C51" s="152">
        <f t="shared" si="1"/>
        <v>0</v>
      </c>
      <c r="D51" s="151">
        <v>0</v>
      </c>
      <c r="E51" s="153">
        <f t="shared" si="2"/>
        <v>0</v>
      </c>
      <c r="G51" s="96"/>
      <c r="H51" s="96"/>
      <c r="I51" s="96"/>
      <c r="J51" s="96"/>
      <c r="K51" s="97"/>
      <c r="L51" s="97"/>
      <c r="M51" s="246"/>
    </row>
    <row r="52" spans="1:13" s="94" customFormat="1" x14ac:dyDescent="0.3">
      <c r="A52" s="157" t="s">
        <v>482</v>
      </c>
      <c r="B52" s="151">
        <v>0</v>
      </c>
      <c r="C52" s="152">
        <f t="shared" si="1"/>
        <v>0</v>
      </c>
      <c r="D52" s="151">
        <v>0</v>
      </c>
      <c r="E52" s="153">
        <f t="shared" si="2"/>
        <v>0</v>
      </c>
      <c r="G52" s="96"/>
      <c r="H52" s="96"/>
      <c r="I52" s="96"/>
      <c r="J52" s="96"/>
      <c r="K52" s="97"/>
      <c r="L52" s="97"/>
      <c r="M52" s="246"/>
    </row>
    <row r="53" spans="1:13" s="94" customFormat="1" x14ac:dyDescent="0.3">
      <c r="A53" s="157" t="s">
        <v>482</v>
      </c>
      <c r="B53" s="151">
        <v>0</v>
      </c>
      <c r="C53" s="152">
        <f t="shared" si="1"/>
        <v>0</v>
      </c>
      <c r="D53" s="151">
        <v>0</v>
      </c>
      <c r="E53" s="153">
        <f t="shared" si="2"/>
        <v>0</v>
      </c>
      <c r="G53" s="96"/>
      <c r="H53" s="96"/>
      <c r="I53" s="96"/>
      <c r="J53" s="96"/>
      <c r="K53" s="97"/>
      <c r="L53" s="97"/>
      <c r="M53" s="246"/>
    </row>
    <row r="54" spans="1:13" s="94" customFormat="1" x14ac:dyDescent="0.3">
      <c r="A54" s="157" t="s">
        <v>482</v>
      </c>
      <c r="B54" s="151">
        <v>0</v>
      </c>
      <c r="C54" s="152">
        <f t="shared" si="1"/>
        <v>0</v>
      </c>
      <c r="D54" s="151">
        <v>0</v>
      </c>
      <c r="E54" s="153">
        <f t="shared" si="2"/>
        <v>0</v>
      </c>
      <c r="G54" s="96"/>
      <c r="H54" s="96"/>
      <c r="I54" s="96"/>
      <c r="J54" s="96"/>
      <c r="K54" s="97"/>
      <c r="L54" s="97"/>
      <c r="M54" s="246"/>
    </row>
    <row r="55" spans="1:13" s="94" customFormat="1" x14ac:dyDescent="0.3">
      <c r="A55" s="157" t="s">
        <v>482</v>
      </c>
      <c r="B55" s="151">
        <v>0</v>
      </c>
      <c r="C55" s="152">
        <f t="shared" si="1"/>
        <v>0</v>
      </c>
      <c r="D55" s="151">
        <v>0</v>
      </c>
      <c r="E55" s="153">
        <f t="shared" si="2"/>
        <v>0</v>
      </c>
      <c r="G55" s="96"/>
      <c r="H55" s="96"/>
      <c r="I55" s="96"/>
      <c r="J55" s="96"/>
      <c r="K55" s="97"/>
      <c r="L55" s="97"/>
      <c r="M55" s="246"/>
    </row>
    <row r="56" spans="1:13" s="94" customFormat="1" x14ac:dyDescent="0.3">
      <c r="A56" s="154" t="s">
        <v>306</v>
      </c>
      <c r="B56" s="155">
        <f>SUM(B25:B55)</f>
        <v>2024561.2694999999</v>
      </c>
      <c r="C56" s="156">
        <f>SUM(C25:C55)</f>
        <v>1</v>
      </c>
      <c r="D56" s="155"/>
      <c r="E56" s="155">
        <f>SUM(E25:E55)</f>
        <v>12</v>
      </c>
      <c r="G56" s="204"/>
      <c r="H56" s="204"/>
      <c r="I56" s="204"/>
      <c r="J56" s="204"/>
      <c r="K56" s="205"/>
      <c r="L56" s="205"/>
      <c r="M56" s="246"/>
    </row>
    <row r="57" spans="1:13" s="94" customFormat="1" x14ac:dyDescent="0.3">
      <c r="A57" s="95"/>
      <c r="B57" s="204"/>
      <c r="C57" s="204"/>
      <c r="D57" s="204"/>
      <c r="E57" s="204"/>
      <c r="F57" s="204"/>
      <c r="G57" s="204"/>
      <c r="H57" s="204"/>
      <c r="I57" s="204"/>
      <c r="J57" s="204"/>
      <c r="K57" s="205"/>
      <c r="L57" s="205"/>
      <c r="M57" s="246"/>
    </row>
    <row r="58" spans="1:13" s="94" customFormat="1" ht="12" customHeight="1" x14ac:dyDescent="0.3">
      <c r="A58" s="284"/>
      <c r="B58" s="98"/>
      <c r="C58" s="98"/>
      <c r="D58" s="98"/>
      <c r="E58" s="98"/>
      <c r="F58" s="98"/>
      <c r="G58" s="98"/>
      <c r="H58" s="98"/>
      <c r="I58" s="98"/>
      <c r="J58" s="98"/>
      <c r="K58" s="98"/>
      <c r="L58" s="245"/>
    </row>
    <row r="59" spans="1:13" s="94" customFormat="1" ht="12" customHeight="1" x14ac:dyDescent="0.3">
      <c r="A59" s="390" t="s">
        <v>483</v>
      </c>
      <c r="B59" s="395" t="s">
        <v>463</v>
      </c>
      <c r="C59" s="329"/>
      <c r="D59" s="329"/>
      <c r="E59" s="330"/>
      <c r="F59" s="245"/>
    </row>
    <row r="60" spans="1:13" s="94" customFormat="1" ht="12" customHeight="1" x14ac:dyDescent="0.3">
      <c r="A60" s="350"/>
      <c r="B60" s="285">
        <v>1</v>
      </c>
      <c r="C60" s="285">
        <f>B60+1</f>
        <v>2</v>
      </c>
      <c r="D60" s="285">
        <f>C60+1</f>
        <v>3</v>
      </c>
      <c r="E60" s="285">
        <f>D60+1</f>
        <v>4</v>
      </c>
      <c r="F60" s="245"/>
    </row>
    <row r="61" spans="1:13" s="94" customFormat="1" ht="12" customHeight="1" x14ac:dyDescent="0.3">
      <c r="A61" s="161" t="s">
        <v>471</v>
      </c>
      <c r="B61" s="159">
        <f>C15</f>
        <v>384666.64120499999</v>
      </c>
      <c r="C61" s="159">
        <f>D15</f>
        <v>523558.24018303212</v>
      </c>
      <c r="D61" s="159">
        <f>E15</f>
        <v>1441672.3931060489</v>
      </c>
      <c r="E61" s="159">
        <f>F15</f>
        <v>2359786.5460290434</v>
      </c>
      <c r="F61" s="245"/>
    </row>
    <row r="62" spans="1:13" s="94" customFormat="1" x14ac:dyDescent="0.3">
      <c r="A62" s="161" t="s">
        <v>484</v>
      </c>
      <c r="B62" s="159"/>
      <c r="C62" s="159"/>
      <c r="D62" s="159"/>
      <c r="E62" s="159">
        <f>IF(F8-F14&gt;0,NPV(4%,B69:K69,B73:K73,B77:K77,B81:K81,B85:G85),0)</f>
        <v>15887840.773753943</v>
      </c>
      <c r="F62" s="204"/>
      <c r="G62" s="99"/>
      <c r="H62" s="246"/>
    </row>
    <row r="63" spans="1:13" s="94" customFormat="1" x14ac:dyDescent="0.3">
      <c r="A63" s="154" t="s">
        <v>485</v>
      </c>
      <c r="B63" s="155">
        <f>SUM(B61:B62)</f>
        <v>384666.64120499999</v>
      </c>
      <c r="C63" s="155">
        <f>SUM(C61:C62)</f>
        <v>523558.24018303212</v>
      </c>
      <c r="D63" s="155">
        <f>SUM(D61:D62)</f>
        <v>1441672.3931060489</v>
      </c>
      <c r="E63" s="155">
        <f>SUM(E61:E62)</f>
        <v>18247627.319782987</v>
      </c>
      <c r="F63" s="100"/>
      <c r="G63" s="101"/>
      <c r="H63" s="246"/>
    </row>
    <row r="66" spans="1:26" s="225" customFormat="1" ht="13.2" customHeight="1" x14ac:dyDescent="0.3">
      <c r="A66" s="244"/>
      <c r="B66" s="158">
        <f>IF($E$56-$E$60&gt;0,$E$56-$E$60,0)</f>
        <v>8</v>
      </c>
      <c r="C66" s="392" t="s">
        <v>486</v>
      </c>
      <c r="D66" s="339"/>
      <c r="E66" s="339"/>
      <c r="F66" s="340"/>
      <c r="G66" s="245"/>
      <c r="H66" s="245"/>
      <c r="I66" s="245"/>
      <c r="J66" s="245"/>
      <c r="K66" s="245"/>
      <c r="L66" s="245"/>
      <c r="M66" s="94"/>
      <c r="N66" s="94"/>
      <c r="O66" s="94"/>
      <c r="P66" s="94"/>
      <c r="Q66" s="94"/>
      <c r="R66" s="94"/>
      <c r="S66" s="94"/>
      <c r="T66" s="94"/>
      <c r="U66" s="94"/>
      <c r="V66" s="94"/>
      <c r="W66" s="94"/>
      <c r="X66" s="94"/>
      <c r="Y66" s="94"/>
      <c r="Z66" s="94"/>
    </row>
    <row r="67" spans="1:26" s="225" customFormat="1" ht="13.2" customHeight="1" x14ac:dyDescent="0.3">
      <c r="A67" s="244"/>
      <c r="B67" s="268" t="s">
        <v>487</v>
      </c>
      <c r="C67" s="268"/>
      <c r="D67" s="268"/>
      <c r="E67" s="268"/>
      <c r="F67" s="268"/>
      <c r="G67" s="268"/>
      <c r="H67" s="268"/>
      <c r="I67" s="268"/>
      <c r="J67" s="268"/>
      <c r="K67" s="268"/>
      <c r="L67" s="245"/>
    </row>
    <row r="68" spans="1:26" s="225" customFormat="1" ht="13.2" customHeight="1" x14ac:dyDescent="0.3">
      <c r="A68" s="160" t="s">
        <v>488</v>
      </c>
      <c r="B68" s="285">
        <f>IF(B66&gt;0,1,0)</f>
        <v>1</v>
      </c>
      <c r="C68" s="285">
        <f t="shared" ref="C68:K68" si="3">IF(B68&gt;0,IF(AND(0&lt;B68,B68&lt;$B$66),B68+1,0),0)</f>
        <v>2</v>
      </c>
      <c r="D68" s="262">
        <f t="shared" si="3"/>
        <v>3</v>
      </c>
      <c r="E68" s="262">
        <f t="shared" si="3"/>
        <v>4</v>
      </c>
      <c r="F68" s="262">
        <f t="shared" si="3"/>
        <v>5</v>
      </c>
      <c r="G68" s="262">
        <f t="shared" si="3"/>
        <v>6</v>
      </c>
      <c r="H68" s="262">
        <f t="shared" si="3"/>
        <v>7</v>
      </c>
      <c r="I68" s="262">
        <f t="shared" si="3"/>
        <v>8</v>
      </c>
      <c r="J68" s="262">
        <f t="shared" si="3"/>
        <v>0</v>
      </c>
      <c r="K68" s="262">
        <f t="shared" si="3"/>
        <v>0</v>
      </c>
      <c r="L68" s="245"/>
    </row>
    <row r="69" spans="1:26" s="225" customFormat="1" ht="13.2" customHeight="1" x14ac:dyDescent="0.3">
      <c r="A69" s="160" t="s">
        <v>471</v>
      </c>
      <c r="B69" s="159">
        <f t="shared" ref="B69:K69" si="4">N(AND(B68&gt;0,$E$61&gt;0)*$E$61)</f>
        <v>2359786.5460290434</v>
      </c>
      <c r="C69" s="159">
        <f t="shared" si="4"/>
        <v>2359786.5460290434</v>
      </c>
      <c r="D69" s="159">
        <f t="shared" si="4"/>
        <v>2359786.5460290434</v>
      </c>
      <c r="E69" s="159">
        <f t="shared" si="4"/>
        <v>2359786.5460290434</v>
      </c>
      <c r="F69" s="159">
        <f t="shared" si="4"/>
        <v>2359786.5460290434</v>
      </c>
      <c r="G69" s="159">
        <f t="shared" si="4"/>
        <v>2359786.5460290434</v>
      </c>
      <c r="H69" s="159">
        <f t="shared" si="4"/>
        <v>2359786.5460290434</v>
      </c>
      <c r="I69" s="159">
        <f t="shared" si="4"/>
        <v>2359786.5460290434</v>
      </c>
      <c r="J69" s="159">
        <f t="shared" si="4"/>
        <v>0</v>
      </c>
      <c r="K69" s="159">
        <f t="shared" si="4"/>
        <v>0</v>
      </c>
      <c r="L69" s="245"/>
    </row>
    <row r="70" spans="1:26" s="225" customFormat="1" x14ac:dyDescent="0.3">
      <c r="A70" s="226"/>
      <c r="B70" s="205"/>
      <c r="C70" s="13"/>
      <c r="D70" s="205"/>
      <c r="E70" s="205"/>
      <c r="F70" s="205"/>
      <c r="G70" s="205"/>
      <c r="H70" s="205"/>
      <c r="I70" s="205"/>
      <c r="J70" s="205"/>
      <c r="K70" s="205"/>
      <c r="L70" s="205"/>
      <c r="M70" s="246"/>
    </row>
    <row r="71" spans="1:26" s="225" customFormat="1" ht="13.2" customHeight="1" x14ac:dyDescent="0.3">
      <c r="A71" s="226"/>
      <c r="B71" s="389" t="s">
        <v>489</v>
      </c>
      <c r="C71" s="329"/>
      <c r="D71" s="329"/>
      <c r="E71" s="330"/>
      <c r="F71" s="268"/>
      <c r="G71" s="268"/>
      <c r="H71" s="268"/>
      <c r="I71" s="268"/>
      <c r="J71" s="268"/>
      <c r="K71" s="268"/>
      <c r="L71" s="245"/>
    </row>
    <row r="72" spans="1:26" s="225" customFormat="1" ht="13.2" customHeight="1" x14ac:dyDescent="0.3">
      <c r="A72" s="160" t="s">
        <v>488</v>
      </c>
      <c r="B72" s="262">
        <f>IF(K68&gt;0,IF(AND(0&lt;K68,K68&lt;$B$66),K68+1,0),0)</f>
        <v>0</v>
      </c>
      <c r="C72" s="262">
        <f t="shared" ref="C72:K72" si="5">IF(B72&gt;0,IF(AND(0&lt;B72,B72&lt;$B$66),B72+1,0),0)</f>
        <v>0</v>
      </c>
      <c r="D72" s="262">
        <f t="shared" si="5"/>
        <v>0</v>
      </c>
      <c r="E72" s="262">
        <f t="shared" si="5"/>
        <v>0</v>
      </c>
      <c r="F72" s="262">
        <f t="shared" si="5"/>
        <v>0</v>
      </c>
      <c r="G72" s="262">
        <f t="shared" si="5"/>
        <v>0</v>
      </c>
      <c r="H72" s="262">
        <f t="shared" si="5"/>
        <v>0</v>
      </c>
      <c r="I72" s="262">
        <f t="shared" si="5"/>
        <v>0</v>
      </c>
      <c r="J72" s="262">
        <f t="shared" si="5"/>
        <v>0</v>
      </c>
      <c r="K72" s="262">
        <f t="shared" si="5"/>
        <v>0</v>
      </c>
      <c r="L72" s="245"/>
    </row>
    <row r="73" spans="1:26" s="225" customFormat="1" ht="13.2" customHeight="1" x14ac:dyDescent="0.3">
      <c r="A73" s="160" t="s">
        <v>471</v>
      </c>
      <c r="B73" s="159">
        <f t="shared" ref="B73:K73" si="6">N(AND(B72&gt;0,$E$61&gt;0)*$E$61)</f>
        <v>0</v>
      </c>
      <c r="C73" s="159">
        <f t="shared" si="6"/>
        <v>0</v>
      </c>
      <c r="D73" s="159">
        <f t="shared" si="6"/>
        <v>0</v>
      </c>
      <c r="E73" s="159">
        <f t="shared" si="6"/>
        <v>0</v>
      </c>
      <c r="F73" s="159">
        <f t="shared" si="6"/>
        <v>0</v>
      </c>
      <c r="G73" s="159">
        <f t="shared" si="6"/>
        <v>0</v>
      </c>
      <c r="H73" s="159">
        <f t="shared" si="6"/>
        <v>0</v>
      </c>
      <c r="I73" s="159">
        <f t="shared" si="6"/>
        <v>0</v>
      </c>
      <c r="J73" s="159">
        <f t="shared" si="6"/>
        <v>0</v>
      </c>
      <c r="K73" s="159">
        <f t="shared" si="6"/>
        <v>0</v>
      </c>
      <c r="L73" s="245"/>
    </row>
    <row r="74" spans="1:26" s="225" customFormat="1" x14ac:dyDescent="0.3">
      <c r="A74" s="226"/>
      <c r="B74" s="205"/>
      <c r="C74" s="13"/>
      <c r="D74" s="205"/>
      <c r="E74" s="205"/>
      <c r="F74" s="205"/>
      <c r="G74" s="205"/>
      <c r="H74" s="205"/>
      <c r="I74" s="205"/>
      <c r="J74" s="205"/>
      <c r="K74" s="205"/>
      <c r="L74" s="205"/>
      <c r="M74" s="246"/>
    </row>
    <row r="75" spans="1:26" s="225" customFormat="1" x14ac:dyDescent="0.3">
      <c r="A75" s="226"/>
      <c r="B75" s="389" t="s">
        <v>489</v>
      </c>
      <c r="C75" s="329"/>
      <c r="D75" s="329"/>
      <c r="E75" s="330"/>
      <c r="F75" s="268"/>
      <c r="G75" s="268"/>
      <c r="H75" s="268"/>
      <c r="I75" s="268"/>
      <c r="J75" s="268"/>
      <c r="K75" s="268"/>
      <c r="L75" s="205"/>
      <c r="M75" s="246"/>
    </row>
    <row r="76" spans="1:26" s="225" customFormat="1" ht="13.2" customHeight="1" x14ac:dyDescent="0.3">
      <c r="A76" s="160" t="s">
        <v>488</v>
      </c>
      <c r="B76" s="262">
        <f>IF(K72&gt;0,IF(AND(0&lt;K72,K72&lt;$B$66),K72+1,0),0)</f>
        <v>0</v>
      </c>
      <c r="C76" s="262">
        <f t="shared" ref="C76:K76" si="7">IF(B76&gt;0,IF(AND(0&lt;B76,B76&lt;$B$66),B76+1,0),0)</f>
        <v>0</v>
      </c>
      <c r="D76" s="262">
        <f t="shared" si="7"/>
        <v>0</v>
      </c>
      <c r="E76" s="262">
        <f t="shared" si="7"/>
        <v>0</v>
      </c>
      <c r="F76" s="262">
        <f t="shared" si="7"/>
        <v>0</v>
      </c>
      <c r="G76" s="262">
        <f t="shared" si="7"/>
        <v>0</v>
      </c>
      <c r="H76" s="262">
        <f t="shared" si="7"/>
        <v>0</v>
      </c>
      <c r="I76" s="262">
        <f t="shared" si="7"/>
        <v>0</v>
      </c>
      <c r="J76" s="262">
        <f t="shared" si="7"/>
        <v>0</v>
      </c>
      <c r="K76" s="262">
        <f t="shared" si="7"/>
        <v>0</v>
      </c>
      <c r="L76" s="245"/>
    </row>
    <row r="77" spans="1:26" s="225" customFormat="1" ht="13.2" customHeight="1" x14ac:dyDescent="0.3">
      <c r="A77" s="160" t="s">
        <v>471</v>
      </c>
      <c r="B77" s="159">
        <f t="shared" ref="B77:K77" si="8">N(AND(B76&gt;0,$E$61&gt;0)*$E$61)</f>
        <v>0</v>
      </c>
      <c r="C77" s="159">
        <f t="shared" si="8"/>
        <v>0</v>
      </c>
      <c r="D77" s="159">
        <f t="shared" si="8"/>
        <v>0</v>
      </c>
      <c r="E77" s="159">
        <f t="shared" si="8"/>
        <v>0</v>
      </c>
      <c r="F77" s="159">
        <f t="shared" si="8"/>
        <v>0</v>
      </c>
      <c r="G77" s="159">
        <f t="shared" si="8"/>
        <v>0</v>
      </c>
      <c r="H77" s="159">
        <f t="shared" si="8"/>
        <v>0</v>
      </c>
      <c r="I77" s="159">
        <f t="shared" si="8"/>
        <v>0</v>
      </c>
      <c r="J77" s="159">
        <f t="shared" si="8"/>
        <v>0</v>
      </c>
      <c r="K77" s="159">
        <f t="shared" si="8"/>
        <v>0</v>
      </c>
      <c r="L77" s="245"/>
    </row>
    <row r="78" spans="1:26" s="225" customFormat="1" x14ac:dyDescent="0.3">
      <c r="A78" s="226"/>
      <c r="B78" s="205"/>
      <c r="C78" s="13"/>
      <c r="D78" s="205"/>
      <c r="E78" s="205"/>
      <c r="F78" s="205"/>
      <c r="G78" s="205"/>
      <c r="H78" s="205"/>
      <c r="I78" s="205"/>
      <c r="J78" s="205"/>
      <c r="K78" s="205"/>
      <c r="L78" s="205"/>
      <c r="M78" s="246"/>
    </row>
    <row r="79" spans="1:26" s="225" customFormat="1" x14ac:dyDescent="0.3">
      <c r="A79" s="226"/>
      <c r="B79" s="389" t="s">
        <v>489</v>
      </c>
      <c r="C79" s="329"/>
      <c r="D79" s="329"/>
      <c r="E79" s="330"/>
      <c r="F79" s="268"/>
      <c r="G79" s="268"/>
      <c r="H79" s="268"/>
      <c r="I79" s="268"/>
      <c r="J79" s="268"/>
      <c r="K79" s="268"/>
      <c r="L79" s="205"/>
      <c r="M79" s="246"/>
    </row>
    <row r="80" spans="1:26" s="225" customFormat="1" x14ac:dyDescent="0.3">
      <c r="A80" s="160" t="s">
        <v>488</v>
      </c>
      <c r="B80" s="262">
        <f>IF(K76&gt;0,IF(AND(0&lt;K76,K76&lt;$B$66),K76+1,0),0)</f>
        <v>0</v>
      </c>
      <c r="C80" s="262">
        <f t="shared" ref="C80:K80" si="9">IF(B80&gt;0,IF(AND(0&lt;B80,B80&lt;$B$66),B80+1,0),0)</f>
        <v>0</v>
      </c>
      <c r="D80" s="262">
        <f t="shared" si="9"/>
        <v>0</v>
      </c>
      <c r="E80" s="262">
        <f t="shared" si="9"/>
        <v>0</v>
      </c>
      <c r="F80" s="262">
        <f t="shared" si="9"/>
        <v>0</v>
      </c>
      <c r="G80" s="262">
        <f t="shared" si="9"/>
        <v>0</v>
      </c>
      <c r="H80" s="262">
        <f t="shared" si="9"/>
        <v>0</v>
      </c>
      <c r="I80" s="262">
        <f t="shared" si="9"/>
        <v>0</v>
      </c>
      <c r="J80" s="262">
        <f t="shared" si="9"/>
        <v>0</v>
      </c>
      <c r="K80" s="262">
        <f t="shared" si="9"/>
        <v>0</v>
      </c>
      <c r="L80" s="205"/>
      <c r="M80" s="246"/>
    </row>
    <row r="81" spans="1:13" s="225" customFormat="1" x14ac:dyDescent="0.3">
      <c r="A81" s="160" t="s">
        <v>471</v>
      </c>
      <c r="B81" s="159">
        <f t="shared" ref="B81:K81" si="10">N(AND(B80&gt;0,$E$61&gt;0)*$E$61)</f>
        <v>0</v>
      </c>
      <c r="C81" s="159">
        <f t="shared" si="10"/>
        <v>0</v>
      </c>
      <c r="D81" s="159">
        <f t="shared" si="10"/>
        <v>0</v>
      </c>
      <c r="E81" s="159">
        <f t="shared" si="10"/>
        <v>0</v>
      </c>
      <c r="F81" s="159">
        <f t="shared" si="10"/>
        <v>0</v>
      </c>
      <c r="G81" s="159">
        <f t="shared" si="10"/>
        <v>0</v>
      </c>
      <c r="H81" s="159">
        <f t="shared" si="10"/>
        <v>0</v>
      </c>
      <c r="I81" s="159">
        <f t="shared" si="10"/>
        <v>0</v>
      </c>
      <c r="J81" s="159">
        <f t="shared" si="10"/>
        <v>0</v>
      </c>
      <c r="K81" s="159">
        <f t="shared" si="10"/>
        <v>0</v>
      </c>
      <c r="L81" s="205"/>
      <c r="M81" s="246"/>
    </row>
    <row r="82" spans="1:13" s="225" customFormat="1" x14ac:dyDescent="0.3">
      <c r="A82" s="244"/>
      <c r="B82" s="205"/>
      <c r="C82" s="13"/>
      <c r="D82" s="205"/>
      <c r="E82" s="205"/>
      <c r="F82" s="205"/>
      <c r="G82" s="205"/>
      <c r="H82" s="205"/>
      <c r="I82" s="205"/>
      <c r="J82" s="205"/>
      <c r="K82" s="205"/>
      <c r="L82" s="205"/>
      <c r="M82" s="246"/>
    </row>
    <row r="83" spans="1:13" s="225" customFormat="1" x14ac:dyDescent="0.3">
      <c r="A83" s="226"/>
      <c r="B83" s="389" t="s">
        <v>489</v>
      </c>
      <c r="C83" s="329"/>
      <c r="D83" s="329"/>
      <c r="E83" s="330"/>
      <c r="F83" s="268"/>
      <c r="G83" s="268"/>
      <c r="H83" s="205"/>
      <c r="I83" s="205"/>
      <c r="J83" s="205"/>
      <c r="K83" s="205"/>
      <c r="L83" s="205"/>
      <c r="M83" s="246"/>
    </row>
    <row r="84" spans="1:13" s="225" customFormat="1" x14ac:dyDescent="0.3">
      <c r="A84" s="160" t="s">
        <v>488</v>
      </c>
      <c r="B84" s="262">
        <f>IF(K80&gt;0,IF(AND(0&lt;K80,K80&lt;$B$66),K80+1,0),0)</f>
        <v>0</v>
      </c>
      <c r="C84" s="262">
        <f>IF(B84&gt;0,IF(AND(0&lt;B84,B84&lt;$B$66),B84+1,0),0)</f>
        <v>0</v>
      </c>
      <c r="D84" s="262">
        <f>IF(C84&gt;0,IF(AND(0&lt;C84,C84&lt;$B$66),C84+1,0),0)</f>
        <v>0</v>
      </c>
      <c r="E84" s="262">
        <f>IF(D84&gt;0,IF(AND(0&lt;D84,D84&lt;$B$66),D84+1,0),0)</f>
        <v>0</v>
      </c>
      <c r="F84" s="262">
        <f>IF(E84&gt;0,IF(AND(0&lt;E84,E84&lt;$B$66),E84+1,0),0)</f>
        <v>0</v>
      </c>
      <c r="G84" s="262">
        <f>IF(F84&gt;0,IF(AND(0&lt;F84,F84&lt;$B$66),F84+1,0),0)</f>
        <v>0</v>
      </c>
      <c r="H84" s="205"/>
      <c r="I84" s="205"/>
      <c r="J84" s="205"/>
      <c r="K84" s="205"/>
      <c r="L84" s="205"/>
      <c r="M84" s="246"/>
    </row>
    <row r="85" spans="1:13" s="225" customFormat="1" x14ac:dyDescent="0.3">
      <c r="A85" s="160" t="s">
        <v>471</v>
      </c>
      <c r="B85" s="159">
        <f t="shared" ref="B85:G85" si="11">N(AND(B84&gt;0,$E$61&gt;0)*$E$61)</f>
        <v>0</v>
      </c>
      <c r="C85" s="159">
        <f t="shared" si="11"/>
        <v>0</v>
      </c>
      <c r="D85" s="159">
        <f t="shared" si="11"/>
        <v>0</v>
      </c>
      <c r="E85" s="159">
        <f t="shared" si="11"/>
        <v>0</v>
      </c>
      <c r="F85" s="159">
        <f t="shared" si="11"/>
        <v>0</v>
      </c>
      <c r="G85" s="159">
        <f t="shared" si="11"/>
        <v>0</v>
      </c>
      <c r="H85" s="205"/>
      <c r="I85" s="205"/>
      <c r="J85" s="205"/>
      <c r="K85" s="205"/>
      <c r="L85" s="205"/>
      <c r="M85" s="246"/>
    </row>
    <row r="86" spans="1:13" s="225" customFormat="1" x14ac:dyDescent="0.3">
      <c r="A86" s="244"/>
      <c r="B86" s="205"/>
      <c r="C86" s="13"/>
      <c r="D86" s="205"/>
      <c r="E86" s="205"/>
      <c r="F86" s="205"/>
      <c r="G86" s="205"/>
      <c r="H86" s="205"/>
      <c r="I86" s="205"/>
      <c r="J86" s="205"/>
      <c r="K86" s="205"/>
      <c r="L86" s="205"/>
      <c r="M86" s="246"/>
    </row>
    <row r="87" spans="1:13" s="225" customFormat="1" x14ac:dyDescent="0.3">
      <c r="A87" s="244"/>
      <c r="B87" s="205"/>
      <c r="C87" s="13"/>
      <c r="D87" s="205"/>
      <c r="E87" s="205"/>
      <c r="F87" s="205"/>
      <c r="G87" s="205"/>
      <c r="H87" s="205"/>
      <c r="I87" s="205"/>
      <c r="J87" s="205"/>
      <c r="K87" s="205"/>
      <c r="L87" s="205"/>
      <c r="M87" s="246"/>
    </row>
    <row r="88" spans="1:13" s="225" customFormat="1" x14ac:dyDescent="0.3">
      <c r="A88" s="244"/>
      <c r="B88" s="205"/>
      <c r="C88" s="13"/>
      <c r="D88" s="205"/>
      <c r="E88" s="205"/>
      <c r="F88" s="205"/>
      <c r="G88" s="205"/>
      <c r="H88" s="205"/>
      <c r="I88" s="205"/>
      <c r="J88" s="205"/>
      <c r="K88" s="205"/>
      <c r="L88" s="205"/>
      <c r="M88" s="246"/>
    </row>
    <row r="89" spans="1:13" s="225" customFormat="1" x14ac:dyDescent="0.3">
      <c r="A89" s="244"/>
      <c r="B89" s="205"/>
      <c r="C89" s="13"/>
      <c r="D89" s="205"/>
      <c r="E89" s="205"/>
      <c r="F89" s="205"/>
      <c r="G89" s="205"/>
      <c r="H89" s="205"/>
      <c r="I89" s="205"/>
      <c r="J89" s="205"/>
      <c r="K89" s="205"/>
      <c r="L89" s="205"/>
      <c r="M89" s="246"/>
    </row>
  </sheetData>
  <mergeCells count="11">
    <mergeCell ref="B83:E83"/>
    <mergeCell ref="A1:F1"/>
    <mergeCell ref="A59:A60"/>
    <mergeCell ref="A2:K2"/>
    <mergeCell ref="C66:F66"/>
    <mergeCell ref="A22:L22"/>
    <mergeCell ref="C6:F6"/>
    <mergeCell ref="B59:E59"/>
    <mergeCell ref="B71:E71"/>
    <mergeCell ref="B75:E75"/>
    <mergeCell ref="B79:E79"/>
  </mergeCells>
  <conditionalFormatting sqref="C18">
    <cfRule type="containsText" dxfId="2" priority="9" operator="containsText" text="&gt;0">
      <formula>NOT(ISERROR(SEARCH("&gt;0",C18)))</formula>
    </cfRule>
  </conditionalFormatting>
  <conditionalFormatting sqref="D18">
    <cfRule type="containsText" dxfId="1" priority="2" operator="containsText" text="&gt;0">
      <formula>NOT(ISERROR(SEARCH("&gt;0",D18)))</formula>
    </cfRule>
  </conditionalFormatting>
  <conditionalFormatting sqref="D19">
    <cfRule type="cellIs" dxfId="0" priority="1" operator="greaterThan">
      <formula>0.04</formula>
    </cfRule>
  </conditionalFormatting>
  <pageMargins left="0.5" right="0.45833333333333331" top="0.75" bottom="0.75" header="0.3" footer="0.3"/>
  <pageSetup paperSize="9" fitToHeight="0" orientation="landscape" blackAndWhite="1"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B3"/>
  <sheetViews>
    <sheetView workbookViewId="0"/>
  </sheetViews>
  <sheetFormatPr defaultColWidth="9.109375" defaultRowHeight="13.8" x14ac:dyDescent="0.3"/>
  <cols>
    <col min="1" max="1" width="22.5546875" style="254" customWidth="1"/>
    <col min="2" max="2" width="9.109375" style="254" customWidth="1"/>
    <col min="3" max="16384" width="9.109375" style="254"/>
  </cols>
  <sheetData>
    <row r="2" spans="1:2" x14ac:dyDescent="0.3">
      <c r="A2" s="396" t="s">
        <v>490</v>
      </c>
      <c r="B2" s="253" t="s">
        <v>461</v>
      </c>
    </row>
    <row r="3" spans="1:2" x14ac:dyDescent="0.3">
      <c r="A3" s="354"/>
      <c r="B3" s="253" t="s">
        <v>491</v>
      </c>
    </row>
  </sheetData>
  <mergeCells count="1">
    <mergeCell ref="A2:A3"/>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N134"/>
  <sheetViews>
    <sheetView workbookViewId="0">
      <selection activeCell="K16" sqref="K16"/>
    </sheetView>
  </sheetViews>
  <sheetFormatPr defaultColWidth="9.109375" defaultRowHeight="14.4" x14ac:dyDescent="0.3"/>
  <cols>
    <col min="1" max="1" width="6.109375" style="28" customWidth="1"/>
    <col min="2" max="2" width="45.88671875" style="244" customWidth="1"/>
    <col min="3" max="3" width="11.5546875" style="238" customWidth="1"/>
    <col min="4" max="12" width="10.109375" style="238" customWidth="1"/>
    <col min="13" max="222" width="9.109375" style="16" customWidth="1"/>
    <col min="223" max="223" width="6.109375" style="16" customWidth="1"/>
    <col min="224" max="224" width="79.5546875" style="16" customWidth="1"/>
    <col min="225" max="228" width="14.6640625" style="16" customWidth="1"/>
    <col min="229" max="478" width="9.109375" style="16" customWidth="1"/>
    <col min="479" max="479" width="6.109375" style="16" customWidth="1"/>
    <col min="480" max="480" width="79.5546875" style="16" customWidth="1"/>
    <col min="481" max="484" width="14.6640625" style="16" customWidth="1"/>
    <col min="485" max="734" width="9.109375" style="16" customWidth="1"/>
    <col min="735" max="735" width="6.109375" style="16" customWidth="1"/>
    <col min="736" max="736" width="79.5546875" style="16" customWidth="1"/>
    <col min="737" max="740" width="14.6640625" style="16" customWidth="1"/>
    <col min="741" max="990" width="9.109375" style="16" customWidth="1"/>
    <col min="991" max="991" width="6.109375" style="16" customWidth="1"/>
    <col min="992" max="992" width="79.5546875" style="16" customWidth="1"/>
    <col min="993" max="996" width="14.6640625" style="16" customWidth="1"/>
    <col min="997" max="1246" width="9.109375" style="16" customWidth="1"/>
    <col min="1247" max="1247" width="6.109375" style="16" customWidth="1"/>
    <col min="1248" max="1248" width="79.5546875" style="16" customWidth="1"/>
    <col min="1249" max="1252" width="14.6640625" style="16" customWidth="1"/>
    <col min="1253" max="1502" width="9.109375" style="16" customWidth="1"/>
    <col min="1503" max="1503" width="6.109375" style="16" customWidth="1"/>
    <col min="1504" max="1504" width="79.5546875" style="16" customWidth="1"/>
    <col min="1505" max="1508" width="14.6640625" style="16" customWidth="1"/>
    <col min="1509" max="1758" width="9.109375" style="16" customWidth="1"/>
    <col min="1759" max="1759" width="6.109375" style="16" customWidth="1"/>
    <col min="1760" max="1760" width="79.5546875" style="16" customWidth="1"/>
    <col min="1761" max="1764" width="14.6640625" style="16" customWidth="1"/>
    <col min="1765" max="2014" width="9.109375" style="16" customWidth="1"/>
    <col min="2015" max="2015" width="6.109375" style="16" customWidth="1"/>
    <col min="2016" max="2016" width="79.5546875" style="16" customWidth="1"/>
    <col min="2017" max="2020" width="14.6640625" style="16" customWidth="1"/>
    <col min="2021" max="2270" width="9.109375" style="16" customWidth="1"/>
    <col min="2271" max="2271" width="6.109375" style="16" customWidth="1"/>
    <col min="2272" max="2272" width="79.5546875" style="16" customWidth="1"/>
    <col min="2273" max="2276" width="14.6640625" style="16" customWidth="1"/>
    <col min="2277" max="2526" width="9.109375" style="16" customWidth="1"/>
    <col min="2527" max="2527" width="6.109375" style="16" customWidth="1"/>
    <col min="2528" max="2528" width="79.5546875" style="16" customWidth="1"/>
    <col min="2529" max="2532" width="14.6640625" style="16" customWidth="1"/>
    <col min="2533" max="2782" width="9.109375" style="16" customWidth="1"/>
    <col min="2783" max="2783" width="6.109375" style="16" customWidth="1"/>
    <col min="2784" max="2784" width="79.5546875" style="16" customWidth="1"/>
    <col min="2785" max="2788" width="14.6640625" style="16" customWidth="1"/>
    <col min="2789" max="3038" width="9.109375" style="16" customWidth="1"/>
    <col min="3039" max="3039" width="6.109375" style="16" customWidth="1"/>
    <col min="3040" max="3040" width="79.5546875" style="16" customWidth="1"/>
    <col min="3041" max="3044" width="14.6640625" style="16" customWidth="1"/>
    <col min="3045" max="3294" width="9.109375" style="16" customWidth="1"/>
    <col min="3295" max="3295" width="6.109375" style="16" customWidth="1"/>
    <col min="3296" max="3296" width="79.5546875" style="16" customWidth="1"/>
    <col min="3297" max="3300" width="14.6640625" style="16" customWidth="1"/>
    <col min="3301" max="3550" width="9.109375" style="16" customWidth="1"/>
    <col min="3551" max="3551" width="6.109375" style="16" customWidth="1"/>
    <col min="3552" max="3552" width="79.5546875" style="16" customWidth="1"/>
    <col min="3553" max="3556" width="14.6640625" style="16" customWidth="1"/>
    <col min="3557" max="3806" width="9.109375" style="16" customWidth="1"/>
    <col min="3807" max="3807" width="6.109375" style="16" customWidth="1"/>
    <col min="3808" max="3808" width="79.5546875" style="16" customWidth="1"/>
    <col min="3809" max="3812" width="14.6640625" style="16" customWidth="1"/>
    <col min="3813" max="4062" width="9.109375" style="16" customWidth="1"/>
    <col min="4063" max="4063" width="6.109375" style="16" customWidth="1"/>
    <col min="4064" max="4064" width="79.5546875" style="16" customWidth="1"/>
    <col min="4065" max="4068" width="14.6640625" style="16" customWidth="1"/>
    <col min="4069" max="4318" width="9.109375" style="16" customWidth="1"/>
    <col min="4319" max="4319" width="6.109375" style="16" customWidth="1"/>
    <col min="4320" max="4320" width="79.5546875" style="16" customWidth="1"/>
    <col min="4321" max="4324" width="14.6640625" style="16" customWidth="1"/>
    <col min="4325" max="4574" width="9.109375" style="16" customWidth="1"/>
    <col min="4575" max="4575" width="6.109375" style="16" customWidth="1"/>
    <col min="4576" max="4576" width="79.5546875" style="16" customWidth="1"/>
    <col min="4577" max="4580" width="14.6640625" style="16" customWidth="1"/>
    <col min="4581" max="4830" width="9.109375" style="16" customWidth="1"/>
    <col min="4831" max="4831" width="6.109375" style="16" customWidth="1"/>
    <col min="4832" max="4832" width="79.5546875" style="16" customWidth="1"/>
    <col min="4833" max="4836" width="14.6640625" style="16" customWidth="1"/>
    <col min="4837" max="5086" width="9.109375" style="16" customWidth="1"/>
    <col min="5087" max="5087" width="6.109375" style="16" customWidth="1"/>
    <col min="5088" max="5088" width="79.5546875" style="16" customWidth="1"/>
    <col min="5089" max="5092" width="14.6640625" style="16" customWidth="1"/>
    <col min="5093" max="5342" width="9.109375" style="16" customWidth="1"/>
    <col min="5343" max="5343" width="6.109375" style="16" customWidth="1"/>
    <col min="5344" max="5344" width="79.5546875" style="16" customWidth="1"/>
    <col min="5345" max="5348" width="14.6640625" style="16" customWidth="1"/>
    <col min="5349" max="5598" width="9.109375" style="16" customWidth="1"/>
    <col min="5599" max="5599" width="6.109375" style="16" customWidth="1"/>
    <col min="5600" max="5600" width="79.5546875" style="16" customWidth="1"/>
    <col min="5601" max="5604" width="14.6640625" style="16" customWidth="1"/>
    <col min="5605" max="5854" width="9.109375" style="16" customWidth="1"/>
    <col min="5855" max="5855" width="6.109375" style="16" customWidth="1"/>
    <col min="5856" max="5856" width="79.5546875" style="16" customWidth="1"/>
    <col min="5857" max="5860" width="14.6640625" style="16" customWidth="1"/>
    <col min="5861" max="6110" width="9.109375" style="16" customWidth="1"/>
    <col min="6111" max="6111" width="6.109375" style="16" customWidth="1"/>
    <col min="6112" max="6112" width="79.5546875" style="16" customWidth="1"/>
    <col min="6113" max="6116" width="14.6640625" style="16" customWidth="1"/>
    <col min="6117" max="6366" width="9.109375" style="16" customWidth="1"/>
    <col min="6367" max="6367" width="6.109375" style="16" customWidth="1"/>
    <col min="6368" max="6368" width="79.5546875" style="16" customWidth="1"/>
    <col min="6369" max="6372" width="14.6640625" style="16" customWidth="1"/>
    <col min="6373" max="6622" width="9.109375" style="16" customWidth="1"/>
    <col min="6623" max="6623" width="6.109375" style="16" customWidth="1"/>
    <col min="6624" max="6624" width="79.5546875" style="16" customWidth="1"/>
    <col min="6625" max="6628" width="14.6640625" style="16" customWidth="1"/>
    <col min="6629" max="6878" width="9.109375" style="16" customWidth="1"/>
    <col min="6879" max="6879" width="6.109375" style="16" customWidth="1"/>
    <col min="6880" max="6880" width="79.5546875" style="16" customWidth="1"/>
    <col min="6881" max="6884" width="14.6640625" style="16" customWidth="1"/>
    <col min="6885" max="7134" width="9.109375" style="16" customWidth="1"/>
    <col min="7135" max="7135" width="6.109375" style="16" customWidth="1"/>
    <col min="7136" max="7136" width="79.5546875" style="16" customWidth="1"/>
    <col min="7137" max="7140" width="14.6640625" style="16" customWidth="1"/>
    <col min="7141" max="7390" width="9.109375" style="16" customWidth="1"/>
    <col min="7391" max="7391" width="6.109375" style="16" customWidth="1"/>
    <col min="7392" max="7392" width="79.5546875" style="16" customWidth="1"/>
    <col min="7393" max="7396" width="14.6640625" style="16" customWidth="1"/>
    <col min="7397" max="7646" width="9.109375" style="16" customWidth="1"/>
    <col min="7647" max="7647" width="6.109375" style="16" customWidth="1"/>
    <col min="7648" max="7648" width="79.5546875" style="16" customWidth="1"/>
    <col min="7649" max="7652" width="14.6640625" style="16" customWidth="1"/>
    <col min="7653" max="7902" width="9.109375" style="16" customWidth="1"/>
    <col min="7903" max="7903" width="6.109375" style="16" customWidth="1"/>
    <col min="7904" max="7904" width="79.5546875" style="16" customWidth="1"/>
    <col min="7905" max="7908" width="14.6640625" style="16" customWidth="1"/>
    <col min="7909" max="8158" width="9.109375" style="16" customWidth="1"/>
    <col min="8159" max="8159" width="6.109375" style="16" customWidth="1"/>
    <col min="8160" max="8160" width="79.5546875" style="16" customWidth="1"/>
    <col min="8161" max="8164" width="14.6640625" style="16" customWidth="1"/>
    <col min="8165" max="8414" width="9.109375" style="16" customWidth="1"/>
    <col min="8415" max="8415" width="6.109375" style="16" customWidth="1"/>
    <col min="8416" max="8416" width="79.5546875" style="16" customWidth="1"/>
    <col min="8417" max="8420" width="14.6640625" style="16" customWidth="1"/>
    <col min="8421" max="8670" width="9.109375" style="16" customWidth="1"/>
    <col min="8671" max="8671" width="6.109375" style="16" customWidth="1"/>
    <col min="8672" max="8672" width="79.5546875" style="16" customWidth="1"/>
    <col min="8673" max="8676" width="14.6640625" style="16" customWidth="1"/>
    <col min="8677" max="8926" width="9.109375" style="16" customWidth="1"/>
    <col min="8927" max="8927" width="6.109375" style="16" customWidth="1"/>
    <col min="8928" max="8928" width="79.5546875" style="16" customWidth="1"/>
    <col min="8929" max="8932" width="14.6640625" style="16" customWidth="1"/>
    <col min="8933" max="9182" width="9.109375" style="16" customWidth="1"/>
    <col min="9183" max="9183" width="6.109375" style="16" customWidth="1"/>
    <col min="9184" max="9184" width="79.5546875" style="16" customWidth="1"/>
    <col min="9185" max="9188" width="14.6640625" style="16" customWidth="1"/>
    <col min="9189" max="9438" width="9.109375" style="16" customWidth="1"/>
    <col min="9439" max="9439" width="6.109375" style="16" customWidth="1"/>
    <col min="9440" max="9440" width="79.5546875" style="16" customWidth="1"/>
    <col min="9441" max="9444" width="14.6640625" style="16" customWidth="1"/>
    <col min="9445" max="9694" width="9.109375" style="16" customWidth="1"/>
    <col min="9695" max="9695" width="6.109375" style="16" customWidth="1"/>
    <col min="9696" max="9696" width="79.5546875" style="16" customWidth="1"/>
    <col min="9697" max="9700" width="14.6640625" style="16" customWidth="1"/>
    <col min="9701" max="9950" width="9.109375" style="16" customWidth="1"/>
    <col min="9951" max="9951" width="6.109375" style="16" customWidth="1"/>
    <col min="9952" max="9952" width="79.5546875" style="16" customWidth="1"/>
    <col min="9953" max="9956" width="14.6640625" style="16" customWidth="1"/>
    <col min="9957" max="10206" width="9.109375" style="16" customWidth="1"/>
    <col min="10207" max="10207" width="6.109375" style="16" customWidth="1"/>
    <col min="10208" max="10208" width="79.5546875" style="16" customWidth="1"/>
    <col min="10209" max="10212" width="14.6640625" style="16" customWidth="1"/>
    <col min="10213" max="10462" width="9.109375" style="16" customWidth="1"/>
    <col min="10463" max="10463" width="6.109375" style="16" customWidth="1"/>
    <col min="10464" max="10464" width="79.5546875" style="16" customWidth="1"/>
    <col min="10465" max="10468" width="14.6640625" style="16" customWidth="1"/>
    <col min="10469" max="10718" width="9.109375" style="16" customWidth="1"/>
    <col min="10719" max="10719" width="6.109375" style="16" customWidth="1"/>
    <col min="10720" max="10720" width="79.5546875" style="16" customWidth="1"/>
    <col min="10721" max="10724" width="14.6640625" style="16" customWidth="1"/>
    <col min="10725" max="10974" width="9.109375" style="16" customWidth="1"/>
    <col min="10975" max="10975" width="6.109375" style="16" customWidth="1"/>
    <col min="10976" max="10976" width="79.5546875" style="16" customWidth="1"/>
    <col min="10977" max="10980" width="14.6640625" style="16" customWidth="1"/>
    <col min="10981" max="11230" width="9.109375" style="16" customWidth="1"/>
    <col min="11231" max="11231" width="6.109375" style="16" customWidth="1"/>
    <col min="11232" max="11232" width="79.5546875" style="16" customWidth="1"/>
    <col min="11233" max="11236" width="14.6640625" style="16" customWidth="1"/>
    <col min="11237" max="11486" width="9.109375" style="16" customWidth="1"/>
    <col min="11487" max="11487" width="6.109375" style="16" customWidth="1"/>
    <col min="11488" max="11488" width="79.5546875" style="16" customWidth="1"/>
    <col min="11489" max="11492" width="14.6640625" style="16" customWidth="1"/>
    <col min="11493" max="11742" width="9.109375" style="16" customWidth="1"/>
    <col min="11743" max="11743" width="6.109375" style="16" customWidth="1"/>
    <col min="11744" max="11744" width="79.5546875" style="16" customWidth="1"/>
    <col min="11745" max="11748" width="14.6640625" style="16" customWidth="1"/>
    <col min="11749" max="11998" width="9.109375" style="16" customWidth="1"/>
    <col min="11999" max="11999" width="6.109375" style="16" customWidth="1"/>
    <col min="12000" max="12000" width="79.5546875" style="16" customWidth="1"/>
    <col min="12001" max="12004" width="14.6640625" style="16" customWidth="1"/>
    <col min="12005" max="12254" width="9.109375" style="16" customWidth="1"/>
    <col min="12255" max="12255" width="6.109375" style="16" customWidth="1"/>
    <col min="12256" max="12256" width="79.5546875" style="16" customWidth="1"/>
    <col min="12257" max="12260" width="14.6640625" style="16" customWidth="1"/>
    <col min="12261" max="12510" width="9.109375" style="16" customWidth="1"/>
    <col min="12511" max="12511" width="6.109375" style="16" customWidth="1"/>
    <col min="12512" max="12512" width="79.5546875" style="16" customWidth="1"/>
    <col min="12513" max="12516" width="14.6640625" style="16" customWidth="1"/>
    <col min="12517" max="12766" width="9.109375" style="16" customWidth="1"/>
    <col min="12767" max="12767" width="6.109375" style="16" customWidth="1"/>
    <col min="12768" max="12768" width="79.5546875" style="16" customWidth="1"/>
    <col min="12769" max="12772" width="14.6640625" style="16" customWidth="1"/>
    <col min="12773" max="13022" width="9.109375" style="16" customWidth="1"/>
    <col min="13023" max="13023" width="6.109375" style="16" customWidth="1"/>
    <col min="13024" max="13024" width="79.5546875" style="16" customWidth="1"/>
    <col min="13025" max="13028" width="14.6640625" style="16" customWidth="1"/>
    <col min="13029" max="13278" width="9.109375" style="16" customWidth="1"/>
    <col min="13279" max="13279" width="6.109375" style="16" customWidth="1"/>
    <col min="13280" max="13280" width="79.5546875" style="16" customWidth="1"/>
    <col min="13281" max="13284" width="14.6640625" style="16" customWidth="1"/>
    <col min="13285" max="13534" width="9.109375" style="16" customWidth="1"/>
    <col min="13535" max="13535" width="6.109375" style="16" customWidth="1"/>
    <col min="13536" max="13536" width="79.5546875" style="16" customWidth="1"/>
    <col min="13537" max="13540" width="14.6640625" style="16" customWidth="1"/>
    <col min="13541" max="13790" width="9.109375" style="16" customWidth="1"/>
    <col min="13791" max="13791" width="6.109375" style="16" customWidth="1"/>
    <col min="13792" max="13792" width="79.5546875" style="16" customWidth="1"/>
    <col min="13793" max="13796" width="14.6640625" style="16" customWidth="1"/>
    <col min="13797" max="14046" width="9.109375" style="16" customWidth="1"/>
    <col min="14047" max="14047" width="6.109375" style="16" customWidth="1"/>
    <col min="14048" max="14048" width="79.5546875" style="16" customWidth="1"/>
    <col min="14049" max="14052" width="14.6640625" style="16" customWidth="1"/>
    <col min="14053" max="14302" width="9.109375" style="16" customWidth="1"/>
    <col min="14303" max="14303" width="6.109375" style="16" customWidth="1"/>
    <col min="14304" max="14304" width="79.5546875" style="16" customWidth="1"/>
    <col min="14305" max="14308" width="14.6640625" style="16" customWidth="1"/>
    <col min="14309" max="14558" width="9.109375" style="16" customWidth="1"/>
    <col min="14559" max="14559" width="6.109375" style="16" customWidth="1"/>
    <col min="14560" max="14560" width="79.5546875" style="16" customWidth="1"/>
    <col min="14561" max="14564" width="14.6640625" style="16" customWidth="1"/>
    <col min="14565" max="14814" width="9.109375" style="16" customWidth="1"/>
    <col min="14815" max="14815" width="6.109375" style="16" customWidth="1"/>
    <col min="14816" max="14816" width="79.5546875" style="16" customWidth="1"/>
    <col min="14817" max="14820" width="14.6640625" style="16" customWidth="1"/>
    <col min="14821" max="15070" width="9.109375" style="16" customWidth="1"/>
    <col min="15071" max="15071" width="6.109375" style="16" customWidth="1"/>
    <col min="15072" max="15072" width="79.5546875" style="16" customWidth="1"/>
    <col min="15073" max="15076" width="14.6640625" style="16" customWidth="1"/>
    <col min="15077" max="15326" width="9.109375" style="16" customWidth="1"/>
    <col min="15327" max="15327" width="6.109375" style="16" customWidth="1"/>
    <col min="15328" max="15328" width="79.5546875" style="16" customWidth="1"/>
    <col min="15329" max="15332" width="14.6640625" style="16" customWidth="1"/>
    <col min="15333" max="15582" width="9.109375" style="16" customWidth="1"/>
    <col min="15583" max="15583" width="6.109375" style="16" customWidth="1"/>
    <col min="15584" max="15584" width="79.5546875" style="16" customWidth="1"/>
    <col min="15585" max="15588" width="14.6640625" style="16" customWidth="1"/>
    <col min="15589" max="15838" width="9.109375" style="16" customWidth="1"/>
    <col min="15839" max="15839" width="6.109375" style="16" customWidth="1"/>
    <col min="15840" max="15840" width="79.5546875" style="16" customWidth="1"/>
    <col min="15841" max="15844" width="14.6640625" style="16" customWidth="1"/>
    <col min="15845" max="16094" width="9.109375" style="16" customWidth="1"/>
    <col min="16095" max="16095" width="6.109375" style="16" customWidth="1"/>
    <col min="16096" max="16096" width="79.5546875" style="16" customWidth="1"/>
    <col min="16097" max="16100" width="14.6640625" style="16" customWidth="1"/>
    <col min="16101" max="16384" width="9.109375" style="16" customWidth="1"/>
  </cols>
  <sheetData>
    <row r="1" spans="1:12" x14ac:dyDescent="0.3">
      <c r="A1" s="348" t="s">
        <v>492</v>
      </c>
      <c r="B1" s="400"/>
      <c r="C1" s="384"/>
      <c r="D1" s="384"/>
      <c r="E1" s="384"/>
    </row>
    <row r="2" spans="1:12" ht="13.8" customHeight="1" x14ac:dyDescent="0.3"/>
    <row r="3" spans="1:12" ht="15" customHeight="1" x14ac:dyDescent="0.3">
      <c r="A3" s="402" t="s">
        <v>493</v>
      </c>
      <c r="B3" s="373"/>
      <c r="C3" s="373"/>
      <c r="D3" s="373"/>
      <c r="E3" s="373"/>
      <c r="F3" s="373"/>
      <c r="G3" s="373"/>
      <c r="H3" s="373"/>
      <c r="I3" s="373"/>
      <c r="J3" s="373"/>
      <c r="K3" s="373"/>
      <c r="L3" s="373"/>
    </row>
    <row r="4" spans="1:12" s="270" customFormat="1" ht="13.8" customHeight="1" x14ac:dyDescent="0.3">
      <c r="A4" s="401" t="s">
        <v>494</v>
      </c>
      <c r="B4" s="401" t="s">
        <v>495</v>
      </c>
      <c r="C4" s="398" t="s">
        <v>360</v>
      </c>
      <c r="D4" s="329"/>
      <c r="E4" s="329"/>
      <c r="F4" s="330"/>
    </row>
    <row r="5" spans="1:12" s="270" customFormat="1" ht="24" customHeight="1" x14ac:dyDescent="0.3">
      <c r="A5" s="350"/>
      <c r="B5" s="350"/>
      <c r="C5" s="269" t="s">
        <v>361</v>
      </c>
      <c r="D5" s="269" t="s">
        <v>362</v>
      </c>
      <c r="E5" s="269" t="s">
        <v>363</v>
      </c>
      <c r="F5" s="269" t="s">
        <v>364</v>
      </c>
    </row>
    <row r="6" spans="1:12" ht="14.4" customHeight="1" x14ac:dyDescent="0.3">
      <c r="A6" s="403" t="s">
        <v>421</v>
      </c>
      <c r="B6" s="329"/>
      <c r="C6" s="329"/>
      <c r="D6" s="329"/>
      <c r="E6" s="329"/>
      <c r="F6" s="330"/>
      <c r="G6" s="16"/>
      <c r="H6" s="16"/>
      <c r="I6" s="16"/>
      <c r="J6" s="16"/>
      <c r="K6" s="16"/>
      <c r="L6" s="16"/>
    </row>
    <row r="7" spans="1:12" x14ac:dyDescent="0.3">
      <c r="A7" s="370" t="s">
        <v>422</v>
      </c>
      <c r="B7" s="330"/>
      <c r="C7" s="127"/>
      <c r="D7" s="127"/>
      <c r="E7" s="127"/>
      <c r="F7" s="127"/>
      <c r="G7" s="16"/>
      <c r="H7" s="16"/>
      <c r="I7" s="16"/>
      <c r="J7" s="16"/>
      <c r="K7" s="16"/>
      <c r="L7" s="16"/>
    </row>
    <row r="8" spans="1:12" ht="24" customHeight="1" x14ac:dyDescent="0.3">
      <c r="A8" s="18">
        <v>1</v>
      </c>
      <c r="B8" s="8" t="s">
        <v>423</v>
      </c>
      <c r="C8" s="126">
        <v>0</v>
      </c>
      <c r="D8" s="126">
        <v>0</v>
      </c>
      <c r="E8" s="126">
        <v>0</v>
      </c>
      <c r="F8" s="126">
        <v>0</v>
      </c>
      <c r="G8" s="16"/>
      <c r="H8" s="16"/>
      <c r="I8" s="16"/>
      <c r="J8" s="16"/>
      <c r="K8" s="16"/>
      <c r="L8" s="16"/>
    </row>
    <row r="9" spans="1:12" x14ac:dyDescent="0.3">
      <c r="A9" s="5">
        <v>2</v>
      </c>
      <c r="B9" s="8" t="s">
        <v>496</v>
      </c>
      <c r="C9" s="163">
        <f>C10+C11</f>
        <v>0</v>
      </c>
      <c r="D9" s="163">
        <f>D10+D11</f>
        <v>0</v>
      </c>
      <c r="E9" s="163">
        <f>E10+E11</f>
        <v>0</v>
      </c>
      <c r="F9" s="163">
        <f>F10+F11</f>
        <v>0</v>
      </c>
      <c r="G9" s="16"/>
      <c r="H9" s="16"/>
      <c r="I9" s="16"/>
      <c r="J9" s="16"/>
      <c r="K9" s="16"/>
      <c r="L9" s="16"/>
    </row>
    <row r="10" spans="1:12" x14ac:dyDescent="0.3">
      <c r="A10" s="5" t="s">
        <v>497</v>
      </c>
      <c r="B10" s="8" t="s">
        <v>498</v>
      </c>
      <c r="C10" s="126">
        <v>0</v>
      </c>
      <c r="D10" s="126">
        <v>0</v>
      </c>
      <c r="E10" s="126">
        <v>0</v>
      </c>
      <c r="F10" s="126">
        <v>0</v>
      </c>
      <c r="G10" s="16"/>
      <c r="H10" s="16"/>
      <c r="I10" s="16"/>
      <c r="J10" s="16"/>
      <c r="K10" s="16"/>
      <c r="L10" s="16"/>
    </row>
    <row r="11" spans="1:12" ht="24" customHeight="1" x14ac:dyDescent="0.3">
      <c r="A11" s="5" t="s">
        <v>499</v>
      </c>
      <c r="B11" s="8" t="s">
        <v>500</v>
      </c>
      <c r="C11" s="126">
        <v>0</v>
      </c>
      <c r="D11" s="126">
        <v>0</v>
      </c>
      <c r="E11" s="126">
        <v>0</v>
      </c>
      <c r="F11" s="126">
        <v>0</v>
      </c>
      <c r="G11" s="16"/>
      <c r="H11" s="16"/>
      <c r="I11" s="16"/>
      <c r="J11" s="16"/>
      <c r="K11" s="16"/>
      <c r="L11" s="16"/>
    </row>
    <row r="12" spans="1:12" x14ac:dyDescent="0.3">
      <c r="A12" s="5">
        <v>3</v>
      </c>
      <c r="B12" s="8" t="s">
        <v>501</v>
      </c>
      <c r="C12" s="126">
        <v>0</v>
      </c>
      <c r="D12" s="126">
        <v>0</v>
      </c>
      <c r="E12" s="126">
        <v>0</v>
      </c>
      <c r="F12" s="126">
        <v>0</v>
      </c>
      <c r="G12" s="16"/>
      <c r="H12" s="16"/>
      <c r="I12" s="16"/>
      <c r="J12" s="16"/>
      <c r="K12" s="16"/>
      <c r="L12" s="16"/>
    </row>
    <row r="13" spans="1:12" x14ac:dyDescent="0.3">
      <c r="A13" s="5">
        <v>4</v>
      </c>
      <c r="B13" s="8" t="s">
        <v>425</v>
      </c>
      <c r="C13" s="126">
        <f>'2A-Buget_cerere'!C29</f>
        <v>951543.79666500026</v>
      </c>
      <c r="D13" s="126">
        <v>0</v>
      </c>
      <c r="E13" s="126">
        <v>0</v>
      </c>
      <c r="F13" s="126">
        <v>0</v>
      </c>
      <c r="G13" s="16"/>
      <c r="H13" s="16"/>
      <c r="I13" s="16"/>
      <c r="J13" s="16"/>
      <c r="K13" s="16"/>
      <c r="L13" s="16"/>
    </row>
    <row r="14" spans="1:12" x14ac:dyDescent="0.3">
      <c r="A14" s="397" t="s">
        <v>502</v>
      </c>
      <c r="B14" s="330"/>
      <c r="C14" s="164">
        <f>C8+C9+C12+C13</f>
        <v>951543.79666500026</v>
      </c>
      <c r="D14" s="164">
        <f>D8+D9+D12+D13</f>
        <v>0</v>
      </c>
      <c r="E14" s="164">
        <f>E8+E9+E12+E13</f>
        <v>0</v>
      </c>
      <c r="F14" s="164">
        <f>F8+F9+F12+F13</f>
        <v>0</v>
      </c>
      <c r="G14" s="16"/>
      <c r="H14" s="16"/>
      <c r="I14" s="16"/>
      <c r="J14" s="16"/>
      <c r="K14" s="16"/>
      <c r="L14" s="16"/>
    </row>
    <row r="15" spans="1:12" x14ac:dyDescent="0.3">
      <c r="A15" s="370" t="s">
        <v>427</v>
      </c>
      <c r="B15" s="330"/>
      <c r="C15" s="164"/>
      <c r="D15" s="164"/>
      <c r="E15" s="164"/>
      <c r="F15" s="164"/>
      <c r="G15" s="16"/>
      <c r="H15" s="16"/>
      <c r="I15" s="16"/>
      <c r="J15" s="16"/>
      <c r="K15" s="16"/>
      <c r="L15" s="16"/>
    </row>
    <row r="16" spans="1:12" x14ac:dyDescent="0.3">
      <c r="A16" s="5">
        <v>5</v>
      </c>
      <c r="B16" s="8" t="s">
        <v>503</v>
      </c>
      <c r="C16" s="163">
        <f>C17+C18</f>
        <v>0</v>
      </c>
      <c r="D16" s="163">
        <f>D17+D18</f>
        <v>0</v>
      </c>
      <c r="E16" s="163">
        <f>E17+E18</f>
        <v>0</v>
      </c>
      <c r="F16" s="163">
        <f>F17+F18</f>
        <v>0</v>
      </c>
      <c r="G16" s="16"/>
      <c r="H16" s="16"/>
      <c r="I16" s="16"/>
      <c r="J16" s="16"/>
      <c r="K16" s="16"/>
      <c r="L16" s="16"/>
    </row>
    <row r="17" spans="1:14" x14ac:dyDescent="0.3">
      <c r="A17" s="5">
        <v>5.0999999999999996</v>
      </c>
      <c r="B17" s="280" t="s">
        <v>504</v>
      </c>
      <c r="C17" s="126">
        <v>0</v>
      </c>
      <c r="D17" s="126">
        <v>0</v>
      </c>
      <c r="E17" s="126">
        <v>0</v>
      </c>
      <c r="F17" s="126">
        <v>0</v>
      </c>
      <c r="G17" s="16"/>
      <c r="H17" s="171"/>
      <c r="I17" s="171"/>
      <c r="J17" s="171"/>
      <c r="K17" s="171"/>
      <c r="L17" s="171"/>
      <c r="M17" s="171"/>
      <c r="N17" s="171"/>
    </row>
    <row r="18" spans="1:14" ht="24" customHeight="1" x14ac:dyDescent="0.3">
      <c r="A18" s="5">
        <v>5.2</v>
      </c>
      <c r="B18" s="280" t="s">
        <v>505</v>
      </c>
      <c r="C18" s="126">
        <v>0</v>
      </c>
      <c r="D18" s="126">
        <v>0</v>
      </c>
      <c r="E18" s="126">
        <v>0</v>
      </c>
      <c r="F18" s="126">
        <v>0</v>
      </c>
      <c r="G18" s="16"/>
      <c r="H18" s="16"/>
      <c r="I18" s="16"/>
      <c r="J18" s="16"/>
      <c r="K18" s="16"/>
      <c r="L18" s="16"/>
    </row>
    <row r="19" spans="1:14" x14ac:dyDescent="0.3">
      <c r="A19" s="5">
        <v>6</v>
      </c>
      <c r="B19" s="280" t="s">
        <v>506</v>
      </c>
      <c r="C19" s="126">
        <v>0</v>
      </c>
      <c r="D19" s="126">
        <v>0</v>
      </c>
      <c r="E19" s="126">
        <v>0</v>
      </c>
      <c r="F19" s="126">
        <v>0</v>
      </c>
      <c r="G19" s="16"/>
      <c r="H19" s="16"/>
      <c r="I19" s="16"/>
      <c r="J19" s="16"/>
      <c r="K19" s="16"/>
      <c r="L19" s="16"/>
    </row>
    <row r="20" spans="1:14" x14ac:dyDescent="0.3">
      <c r="A20" s="5">
        <v>7</v>
      </c>
      <c r="B20" s="8" t="s">
        <v>507</v>
      </c>
      <c r="C20" s="126">
        <f>'1B-ContPP'!C56 + 0.5*'1B-ContPP'!C56</f>
        <v>22046218.5</v>
      </c>
      <c r="D20" s="126">
        <v>0</v>
      </c>
      <c r="E20" s="126">
        <v>0</v>
      </c>
      <c r="F20" s="126">
        <v>0</v>
      </c>
      <c r="G20" s="16"/>
      <c r="H20" s="16"/>
      <c r="I20" s="16"/>
      <c r="J20" s="16"/>
      <c r="K20" s="16"/>
      <c r="L20" s="16"/>
    </row>
    <row r="21" spans="1:14" s="19" customFormat="1" x14ac:dyDescent="0.3">
      <c r="A21" s="397" t="s">
        <v>508</v>
      </c>
      <c r="B21" s="330"/>
      <c r="C21" s="164">
        <f>C16+C20+C19</f>
        <v>22046218.5</v>
      </c>
      <c r="D21" s="164">
        <f>D16+D20+D19</f>
        <v>0</v>
      </c>
      <c r="E21" s="164">
        <f>E16+E20+E19</f>
        <v>0</v>
      </c>
      <c r="F21" s="164">
        <f>F16+F20+F19</f>
        <v>0</v>
      </c>
    </row>
    <row r="22" spans="1:14" s="19" customFormat="1" x14ac:dyDescent="0.3">
      <c r="A22" s="397" t="s">
        <v>509</v>
      </c>
      <c r="B22" s="330"/>
      <c r="C22" s="164">
        <f>C14-C21</f>
        <v>-21094674.703334998</v>
      </c>
      <c r="D22" s="164">
        <f>D14-D21</f>
        <v>0</v>
      </c>
      <c r="E22" s="164">
        <f>E14-E21</f>
        <v>0</v>
      </c>
      <c r="F22" s="164">
        <f>F14-F21</f>
        <v>0</v>
      </c>
    </row>
    <row r="23" spans="1:14" ht="14.4" customHeight="1" x14ac:dyDescent="0.3">
      <c r="A23" s="371" t="s">
        <v>510</v>
      </c>
      <c r="B23" s="329"/>
      <c r="C23" s="329"/>
      <c r="D23" s="329"/>
      <c r="E23" s="329"/>
      <c r="F23" s="330"/>
      <c r="G23" s="16"/>
      <c r="H23" s="16"/>
      <c r="I23" s="16"/>
      <c r="J23" s="16"/>
      <c r="K23" s="16"/>
      <c r="L23" s="16"/>
    </row>
    <row r="24" spans="1:14" x14ac:dyDescent="0.3">
      <c r="A24" s="370" t="s">
        <v>511</v>
      </c>
      <c r="B24" s="330"/>
      <c r="C24" s="127"/>
      <c r="D24" s="127"/>
      <c r="E24" s="127"/>
      <c r="F24" s="127"/>
      <c r="G24" s="16"/>
      <c r="H24" s="16"/>
      <c r="I24" s="16"/>
      <c r="J24" s="16"/>
      <c r="K24" s="16"/>
      <c r="L24" s="16"/>
    </row>
    <row r="25" spans="1:14" x14ac:dyDescent="0.3">
      <c r="A25" s="5">
        <v>8</v>
      </c>
      <c r="B25" s="8" t="s">
        <v>512</v>
      </c>
      <c r="C25" s="126">
        <v>0</v>
      </c>
      <c r="D25" s="126">
        <v>0</v>
      </c>
      <c r="E25" s="126">
        <v>0</v>
      </c>
      <c r="F25" s="126">
        <v>0</v>
      </c>
      <c r="G25" s="16"/>
      <c r="H25" s="16"/>
      <c r="I25" s="16"/>
      <c r="J25" s="16"/>
      <c r="K25" s="16"/>
      <c r="L25" s="16"/>
    </row>
    <row r="26" spans="1:14" x14ac:dyDescent="0.3">
      <c r="A26" s="397" t="s">
        <v>513</v>
      </c>
      <c r="B26" s="330"/>
      <c r="C26" s="127">
        <f>C25</f>
        <v>0</v>
      </c>
      <c r="D26" s="127">
        <f>D25</f>
        <v>0</v>
      </c>
      <c r="E26" s="127">
        <f>E25</f>
        <v>0</v>
      </c>
      <c r="F26" s="127">
        <f>F25</f>
        <v>0</v>
      </c>
      <c r="G26" s="16"/>
      <c r="H26" s="16"/>
      <c r="I26" s="16"/>
      <c r="J26" s="16"/>
      <c r="K26" s="16"/>
      <c r="L26" s="16"/>
    </row>
    <row r="27" spans="1:14" ht="27.75" customHeight="1" x14ac:dyDescent="0.3">
      <c r="A27" s="371" t="s">
        <v>514</v>
      </c>
      <c r="B27" s="330"/>
      <c r="C27" s="127"/>
      <c r="D27" s="127"/>
      <c r="E27" s="127"/>
      <c r="F27" s="127"/>
      <c r="G27" s="16"/>
      <c r="H27" s="16"/>
      <c r="I27" s="16"/>
      <c r="J27" s="16"/>
      <c r="K27" s="16"/>
      <c r="L27" s="16"/>
    </row>
    <row r="28" spans="1:14" x14ac:dyDescent="0.3">
      <c r="A28" s="5">
        <v>9</v>
      </c>
      <c r="B28" s="8" t="s">
        <v>433</v>
      </c>
      <c r="C28" s="126">
        <f>'2A-Buget_cerere'!C23</f>
        <v>2409227.9107050002</v>
      </c>
      <c r="D28" s="126">
        <v>0</v>
      </c>
      <c r="E28" s="126">
        <v>0</v>
      </c>
      <c r="F28" s="126">
        <v>0</v>
      </c>
      <c r="G28" s="16"/>
      <c r="H28" s="16"/>
      <c r="I28" s="16"/>
      <c r="J28" s="16"/>
      <c r="K28" s="16"/>
      <c r="L28" s="16"/>
    </row>
    <row r="29" spans="1:14" x14ac:dyDescent="0.3">
      <c r="A29" s="5">
        <v>10</v>
      </c>
      <c r="B29" s="8" t="s">
        <v>434</v>
      </c>
      <c r="C29" s="126">
        <v>0</v>
      </c>
      <c r="D29" s="126">
        <v>0</v>
      </c>
      <c r="E29" s="126">
        <v>0</v>
      </c>
      <c r="F29" s="126">
        <v>0</v>
      </c>
      <c r="G29" s="16"/>
      <c r="H29" s="16"/>
      <c r="I29" s="16"/>
      <c r="J29" s="16"/>
      <c r="K29" s="16"/>
      <c r="L29" s="16"/>
    </row>
    <row r="30" spans="1:14" x14ac:dyDescent="0.3">
      <c r="A30" s="5">
        <v>11</v>
      </c>
      <c r="B30" s="8" t="s">
        <v>515</v>
      </c>
      <c r="C30" s="126">
        <v>0</v>
      </c>
      <c r="D30" s="126">
        <v>0</v>
      </c>
      <c r="E30" s="126">
        <v>0</v>
      </c>
      <c r="F30" s="126">
        <v>0</v>
      </c>
      <c r="G30" s="16"/>
      <c r="H30" s="16"/>
      <c r="I30" s="16"/>
      <c r="J30" s="16"/>
      <c r="K30" s="16"/>
      <c r="L30" s="16"/>
    </row>
    <row r="31" spans="1:14" x14ac:dyDescent="0.3">
      <c r="A31" s="397" t="s">
        <v>516</v>
      </c>
      <c r="B31" s="330"/>
      <c r="C31" s="164">
        <f>SUM(C28:C30)</f>
        <v>2409227.9107050002</v>
      </c>
      <c r="D31" s="164">
        <f>SUM(D28:D30)</f>
        <v>0</v>
      </c>
      <c r="E31" s="164">
        <f>SUM(E28:E30)</f>
        <v>0</v>
      </c>
      <c r="F31" s="164">
        <f>SUM(F28:F30)</f>
        <v>0</v>
      </c>
      <c r="G31" s="16"/>
      <c r="H31" s="16"/>
      <c r="I31" s="16"/>
      <c r="J31" s="16"/>
      <c r="K31" s="16"/>
      <c r="L31" s="16"/>
    </row>
    <row r="32" spans="1:14" x14ac:dyDescent="0.3">
      <c r="A32" s="397" t="s">
        <v>517</v>
      </c>
      <c r="B32" s="330"/>
      <c r="C32" s="164">
        <f>C26-C31</f>
        <v>-2409227.9107050002</v>
      </c>
      <c r="D32" s="164">
        <f>D26-D31</f>
        <v>0</v>
      </c>
      <c r="E32" s="164">
        <f>E26-E31</f>
        <v>0</v>
      </c>
      <c r="F32" s="164">
        <f>F26-F31</f>
        <v>0</v>
      </c>
      <c r="G32" s="16"/>
      <c r="H32" s="16"/>
      <c r="I32" s="16"/>
      <c r="J32" s="16"/>
      <c r="K32" s="16"/>
      <c r="L32" s="16"/>
    </row>
    <row r="33" spans="1:12" x14ac:dyDescent="0.3">
      <c r="A33" s="397" t="s">
        <v>518</v>
      </c>
      <c r="B33" s="330"/>
      <c r="C33" s="164">
        <f>C32+C22</f>
        <v>-23503902.614039999</v>
      </c>
      <c r="D33" s="164">
        <f>D32+D22</f>
        <v>0</v>
      </c>
      <c r="E33" s="164">
        <f>E32+E22</f>
        <v>0</v>
      </c>
      <c r="F33" s="164">
        <f>F32+F22</f>
        <v>0</v>
      </c>
      <c r="G33" s="16"/>
      <c r="H33" s="16"/>
      <c r="I33" s="16"/>
      <c r="J33" s="16"/>
      <c r="K33" s="16"/>
      <c r="L33" s="16"/>
    </row>
    <row r="34" spans="1:12" ht="14.4" customHeight="1" x14ac:dyDescent="0.3">
      <c r="A34" s="371" t="s">
        <v>441</v>
      </c>
      <c r="B34" s="329"/>
      <c r="C34" s="329"/>
      <c r="D34" s="329"/>
      <c r="E34" s="329"/>
      <c r="F34" s="330"/>
      <c r="G34" s="16"/>
      <c r="H34" s="16"/>
      <c r="I34" s="16"/>
      <c r="J34" s="16"/>
      <c r="K34" s="16"/>
      <c r="L34" s="16"/>
    </row>
    <row r="35" spans="1:12" x14ac:dyDescent="0.3">
      <c r="A35" s="5"/>
      <c r="B35" s="287" t="s">
        <v>519</v>
      </c>
      <c r="C35" s="164"/>
      <c r="D35" s="164"/>
      <c r="E35" s="164"/>
      <c r="F35" s="164"/>
      <c r="G35" s="16"/>
      <c r="H35" s="16"/>
      <c r="I35" s="16"/>
      <c r="J35" s="16"/>
      <c r="K35" s="16"/>
      <c r="L35" s="16"/>
    </row>
    <row r="36" spans="1:12" x14ac:dyDescent="0.3">
      <c r="A36" s="22">
        <v>11</v>
      </c>
      <c r="B36" s="23" t="s">
        <v>520</v>
      </c>
      <c r="C36" s="128">
        <f>C37+C40+C43+C46+C49+C52</f>
        <v>239921239.97029999</v>
      </c>
      <c r="D36" s="128">
        <f>D37+D40+D43+D46+D49+D52</f>
        <v>234995528.8483803</v>
      </c>
      <c r="E36" s="128">
        <f>E37+E40+E43+E46+E49+E52</f>
        <v>235699811.15262121</v>
      </c>
      <c r="F36" s="128">
        <f>F37+F40+F43+F46+F49+F52</f>
        <v>236404093.45686215</v>
      </c>
      <c r="G36" s="16"/>
      <c r="H36" s="16"/>
      <c r="I36" s="16"/>
      <c r="J36" s="16"/>
      <c r="K36" s="16"/>
      <c r="L36" s="16"/>
    </row>
    <row r="37" spans="1:12" x14ac:dyDescent="0.3">
      <c r="A37" s="22">
        <v>11.1</v>
      </c>
      <c r="B37" s="23" t="s">
        <v>367</v>
      </c>
      <c r="C37" s="227">
        <f>C38+C39</f>
        <v>0</v>
      </c>
      <c r="D37" s="227">
        <f>D38+D39</f>
        <v>0</v>
      </c>
      <c r="E37" s="227">
        <f>E38+E39</f>
        <v>0</v>
      </c>
      <c r="F37" s="227">
        <f>F38+F39</f>
        <v>0</v>
      </c>
      <c r="G37" s="16"/>
      <c r="H37" s="16"/>
      <c r="I37" s="16"/>
      <c r="J37" s="16"/>
      <c r="K37" s="16"/>
      <c r="L37" s="16"/>
    </row>
    <row r="38" spans="1:12" x14ac:dyDescent="0.3">
      <c r="A38" s="22"/>
      <c r="B38" s="228" t="s">
        <v>521</v>
      </c>
      <c r="C38" s="126">
        <f>'3A-Proiectii_fin_investitie'!D65/1.19</f>
        <v>0</v>
      </c>
      <c r="D38" s="126">
        <f>'3A-Proiectii_fin_investitie'!E65/1.19</f>
        <v>0</v>
      </c>
      <c r="E38" s="126">
        <f>'3A-Proiectii_fin_investitie'!F65/1.19</f>
        <v>0</v>
      </c>
      <c r="F38" s="126">
        <f>'3A-Proiectii_fin_investitie'!G65/1.19</f>
        <v>0</v>
      </c>
      <c r="G38" s="16"/>
      <c r="H38" s="16"/>
      <c r="I38" s="16"/>
      <c r="J38" s="16"/>
      <c r="K38" s="16"/>
      <c r="L38" s="16"/>
    </row>
    <row r="39" spans="1:12" x14ac:dyDescent="0.3">
      <c r="A39" s="22"/>
      <c r="B39" s="228" t="s">
        <v>522</v>
      </c>
      <c r="C39" s="126">
        <f>C38*0.19</f>
        <v>0</v>
      </c>
      <c r="D39" s="126">
        <f>D38*0.19</f>
        <v>0</v>
      </c>
      <c r="E39" s="126">
        <f>E38*0.19</f>
        <v>0</v>
      </c>
      <c r="F39" s="126">
        <f>F38*0.19</f>
        <v>0</v>
      </c>
      <c r="G39" s="16"/>
      <c r="H39" s="16"/>
      <c r="I39" s="16"/>
      <c r="J39" s="16"/>
      <c r="K39" s="16"/>
      <c r="L39" s="16"/>
    </row>
    <row r="40" spans="1:12" x14ac:dyDescent="0.3">
      <c r="A40" s="22" t="s">
        <v>523</v>
      </c>
      <c r="B40" s="23" t="s">
        <v>370</v>
      </c>
      <c r="C40" s="227">
        <f>C41+C42</f>
        <v>0</v>
      </c>
      <c r="D40" s="227">
        <f>D41+D42</f>
        <v>0</v>
      </c>
      <c r="E40" s="227">
        <f>E41+E42</f>
        <v>0</v>
      </c>
      <c r="F40" s="227">
        <f>F41+F42</f>
        <v>0</v>
      </c>
      <c r="G40" s="16"/>
      <c r="H40" s="16"/>
      <c r="I40" s="16"/>
      <c r="J40" s="16"/>
      <c r="K40" s="16"/>
      <c r="L40" s="16"/>
    </row>
    <row r="41" spans="1:12" x14ac:dyDescent="0.3">
      <c r="A41" s="22"/>
      <c r="B41" s="228" t="s">
        <v>524</v>
      </c>
      <c r="C41" s="126">
        <f>'3A-Proiectii_fin_investitie'!D68/1.19</f>
        <v>0</v>
      </c>
      <c r="D41" s="126">
        <f>'3A-Proiectii_fin_investitie'!E68/1.19</f>
        <v>0</v>
      </c>
      <c r="E41" s="126">
        <f>'3A-Proiectii_fin_investitie'!F68/1.19</f>
        <v>0</v>
      </c>
      <c r="F41" s="126">
        <f>'3A-Proiectii_fin_investitie'!G68/1.19</f>
        <v>0</v>
      </c>
      <c r="G41" s="16"/>
      <c r="H41" s="16"/>
      <c r="I41" s="16"/>
      <c r="J41" s="16"/>
      <c r="K41" s="16"/>
      <c r="L41" s="16"/>
    </row>
    <row r="42" spans="1:12" x14ac:dyDescent="0.3">
      <c r="A42" s="22"/>
      <c r="B42" s="228" t="s">
        <v>525</v>
      </c>
      <c r="C42" s="126">
        <f>C41*0.19</f>
        <v>0</v>
      </c>
      <c r="D42" s="126">
        <f>E41*0.19</f>
        <v>0</v>
      </c>
      <c r="E42" s="126">
        <f>D41*0.19</f>
        <v>0</v>
      </c>
      <c r="F42" s="126">
        <f>F41*0.19</f>
        <v>0</v>
      </c>
      <c r="G42" s="16"/>
      <c r="H42" s="16"/>
      <c r="I42" s="16"/>
      <c r="J42" s="16"/>
      <c r="K42" s="16"/>
      <c r="L42" s="16"/>
    </row>
    <row r="43" spans="1:12" x14ac:dyDescent="0.3">
      <c r="A43" s="22" t="s">
        <v>526</v>
      </c>
      <c r="B43" s="23" t="s">
        <v>373</v>
      </c>
      <c r="C43" s="227">
        <f>C44+C45</f>
        <v>234760768.0803</v>
      </c>
      <c r="D43" s="227">
        <f>D44+D45</f>
        <v>234995528.8483803</v>
      </c>
      <c r="E43" s="227">
        <f>E44+E45</f>
        <v>235699811.15262121</v>
      </c>
      <c r="F43" s="227">
        <f>F44+F45</f>
        <v>236404093.45686215</v>
      </c>
      <c r="G43" s="16"/>
      <c r="H43" s="16"/>
      <c r="I43" s="16"/>
      <c r="J43" s="16"/>
      <c r="K43" s="16"/>
      <c r="L43" s="16"/>
    </row>
    <row r="44" spans="1:12" x14ac:dyDescent="0.3">
      <c r="A44" s="22"/>
      <c r="B44" s="228" t="s">
        <v>527</v>
      </c>
      <c r="C44" s="126">
        <f>'3A-Proiectii_fin_investitie'!D73/1.19</f>
        <v>197277956.37</v>
      </c>
      <c r="D44" s="126">
        <f>'3A-Proiectii_fin_investitie'!E73/1.19</f>
        <v>197475234.32637</v>
      </c>
      <c r="E44" s="126">
        <f>'3A-Proiectii_fin_investitie'!F73/1.19</f>
        <v>198067068.19548002</v>
      </c>
      <c r="F44" s="126">
        <f>'3A-Proiectii_fin_investitie'!G73/1.19</f>
        <v>198658902.06459004</v>
      </c>
      <c r="G44" s="16"/>
      <c r="H44" s="16"/>
      <c r="I44" s="16"/>
      <c r="J44" s="16"/>
      <c r="K44" s="16"/>
      <c r="L44" s="16"/>
    </row>
    <row r="45" spans="1:12" x14ac:dyDescent="0.3">
      <c r="A45" s="22"/>
      <c r="B45" s="228" t="s">
        <v>528</v>
      </c>
      <c r="C45" s="126">
        <f>C44*0.19</f>
        <v>37482811.710299999</v>
      </c>
      <c r="D45" s="126">
        <f>D44*0.19</f>
        <v>37520294.522010304</v>
      </c>
      <c r="E45" s="126">
        <f>E44*0.19</f>
        <v>37632742.957141206</v>
      </c>
      <c r="F45" s="126">
        <f>F44*0.19</f>
        <v>37745191.392272107</v>
      </c>
      <c r="G45" s="16"/>
      <c r="H45" s="16"/>
      <c r="I45" s="16"/>
      <c r="J45" s="16"/>
      <c r="K45" s="16"/>
      <c r="L45" s="16"/>
    </row>
    <row r="46" spans="1:12" ht="24" customHeight="1" x14ac:dyDescent="0.3">
      <c r="A46" s="22" t="s">
        <v>529</v>
      </c>
      <c r="B46" s="23" t="s">
        <v>530</v>
      </c>
      <c r="C46" s="227">
        <f>C47+C48</f>
        <v>0</v>
      </c>
      <c r="D46" s="227">
        <f>D47+D48</f>
        <v>0</v>
      </c>
      <c r="E46" s="227">
        <f>E47+E48</f>
        <v>0</v>
      </c>
      <c r="F46" s="227">
        <f>F47+F48</f>
        <v>0</v>
      </c>
      <c r="G46" s="16"/>
      <c r="H46" s="16"/>
      <c r="I46" s="16"/>
      <c r="J46" s="16"/>
      <c r="K46" s="16"/>
      <c r="L46" s="16"/>
    </row>
    <row r="47" spans="1:12" ht="24" customHeight="1" x14ac:dyDescent="0.3">
      <c r="A47" s="22"/>
      <c r="B47" s="228" t="s">
        <v>531</v>
      </c>
      <c r="C47" s="126">
        <f>'1B-ContPP'!C11</f>
        <v>0</v>
      </c>
      <c r="D47" s="126">
        <v>0</v>
      </c>
      <c r="E47" s="126">
        <v>0</v>
      </c>
      <c r="F47" s="126">
        <v>0</v>
      </c>
      <c r="G47" s="16"/>
      <c r="H47" s="16"/>
      <c r="I47" s="16"/>
      <c r="J47" s="16"/>
      <c r="K47" s="16"/>
      <c r="L47" s="16"/>
    </row>
    <row r="48" spans="1:12" ht="24" customHeight="1" x14ac:dyDescent="0.3">
      <c r="A48" s="22"/>
      <c r="B48" s="228" t="s">
        <v>532</v>
      </c>
      <c r="C48" s="126">
        <f>C47*0.19</f>
        <v>0</v>
      </c>
      <c r="D48" s="126">
        <f>D47*0.19</f>
        <v>0</v>
      </c>
      <c r="E48" s="126">
        <f>E47*0.19</f>
        <v>0</v>
      </c>
      <c r="F48" s="126">
        <f>F47*0.19</f>
        <v>0</v>
      </c>
      <c r="G48" s="16"/>
      <c r="H48" s="16"/>
      <c r="I48" s="16"/>
      <c r="J48" s="16"/>
      <c r="K48" s="16"/>
      <c r="L48" s="16"/>
    </row>
    <row r="49" spans="1:12" x14ac:dyDescent="0.3">
      <c r="A49" s="22" t="s">
        <v>533</v>
      </c>
      <c r="B49" s="23" t="s">
        <v>534</v>
      </c>
      <c r="C49" s="227">
        <f>C50+C51</f>
        <v>0</v>
      </c>
      <c r="D49" s="227">
        <f>D50+D51</f>
        <v>0</v>
      </c>
      <c r="E49" s="227">
        <f>E50+E51</f>
        <v>0</v>
      </c>
      <c r="F49" s="227">
        <f>F50+F51</f>
        <v>0</v>
      </c>
      <c r="G49" s="16"/>
      <c r="H49" s="16"/>
      <c r="I49" s="16"/>
      <c r="J49" s="16"/>
      <c r="K49" s="16"/>
      <c r="L49" s="16"/>
    </row>
    <row r="50" spans="1:12" x14ac:dyDescent="0.3">
      <c r="A50" s="22"/>
      <c r="B50" s="228" t="s">
        <v>535</v>
      </c>
      <c r="C50" s="126">
        <v>0</v>
      </c>
      <c r="D50" s="126">
        <v>0</v>
      </c>
      <c r="E50" s="126">
        <v>0</v>
      </c>
      <c r="F50" s="126">
        <v>0</v>
      </c>
      <c r="G50" s="16"/>
      <c r="H50" s="16"/>
      <c r="I50" s="16"/>
      <c r="J50" s="16"/>
      <c r="K50" s="16"/>
      <c r="L50" s="16"/>
    </row>
    <row r="51" spans="1:12" x14ac:dyDescent="0.3">
      <c r="A51" s="22"/>
      <c r="B51" s="228" t="s">
        <v>536</v>
      </c>
      <c r="C51" s="126">
        <v>0</v>
      </c>
      <c r="D51" s="126">
        <v>0</v>
      </c>
      <c r="E51" s="126">
        <v>0</v>
      </c>
      <c r="F51" s="126">
        <v>0</v>
      </c>
      <c r="G51" s="16"/>
      <c r="H51" s="16"/>
      <c r="I51" s="16"/>
      <c r="J51" s="16"/>
      <c r="K51" s="16"/>
      <c r="L51" s="16"/>
    </row>
    <row r="52" spans="1:12" s="19" customFormat="1" x14ac:dyDescent="0.3">
      <c r="A52" s="20" t="s">
        <v>537</v>
      </c>
      <c r="B52" s="23" t="s">
        <v>90</v>
      </c>
      <c r="C52" s="165">
        <f>C53+C54</f>
        <v>5160471.8899999997</v>
      </c>
      <c r="D52" s="165">
        <f>D53+D54</f>
        <v>0</v>
      </c>
      <c r="E52" s="165">
        <f>E53+E54</f>
        <v>0</v>
      </c>
      <c r="F52" s="165">
        <f>F53+F54</f>
        <v>0</v>
      </c>
    </row>
    <row r="53" spans="1:12" x14ac:dyDescent="0.3">
      <c r="A53" s="5"/>
      <c r="B53" s="8" t="s">
        <v>538</v>
      </c>
      <c r="C53" s="126">
        <f>'1B-ContPP'!C12</f>
        <v>4336531</v>
      </c>
      <c r="D53" s="126">
        <v>0</v>
      </c>
      <c r="E53" s="126">
        <v>0</v>
      </c>
      <c r="F53" s="126">
        <v>0</v>
      </c>
      <c r="G53" s="16"/>
      <c r="H53" s="16"/>
      <c r="I53" s="16"/>
      <c r="J53" s="16"/>
      <c r="K53" s="16"/>
      <c r="L53" s="16"/>
    </row>
    <row r="54" spans="1:12" x14ac:dyDescent="0.3">
      <c r="A54" s="5"/>
      <c r="B54" s="8" t="s">
        <v>539</v>
      </c>
      <c r="C54" s="126">
        <f>C53*0.19</f>
        <v>823940.89</v>
      </c>
      <c r="D54" s="126">
        <f>D53*0.19</f>
        <v>0</v>
      </c>
      <c r="E54" s="126">
        <f>E53*0.19</f>
        <v>0</v>
      </c>
      <c r="F54" s="126">
        <f>F53*0.19</f>
        <v>0</v>
      </c>
      <c r="G54" s="16"/>
      <c r="H54" s="16"/>
      <c r="I54" s="16"/>
      <c r="J54" s="16"/>
      <c r="K54" s="16"/>
      <c r="L54" s="16"/>
    </row>
    <row r="55" spans="1:12" x14ac:dyDescent="0.3">
      <c r="A55" s="5" t="s">
        <v>540</v>
      </c>
      <c r="B55" s="14" t="s">
        <v>110</v>
      </c>
      <c r="C55" s="128">
        <f>C56+C57+C58+C59</f>
        <v>17089590</v>
      </c>
      <c r="D55" s="128">
        <f>D56+D57+D58+D59</f>
        <v>18782899.300000001</v>
      </c>
      <c r="E55" s="128">
        <f>E56+E57+E58+E59</f>
        <v>20661189.230000004</v>
      </c>
      <c r="F55" s="128">
        <f>F56+F57+F58+F59</f>
        <v>22727308.153000005</v>
      </c>
      <c r="G55" s="16"/>
      <c r="H55" s="16"/>
      <c r="I55" s="16"/>
      <c r="J55" s="16"/>
      <c r="K55" s="16"/>
      <c r="L55" s="16"/>
    </row>
    <row r="56" spans="1:12" x14ac:dyDescent="0.3">
      <c r="A56" s="5" t="s">
        <v>541</v>
      </c>
      <c r="B56" s="6" t="s">
        <v>106</v>
      </c>
      <c r="C56" s="126">
        <f>'1B-ContPP'!C28</f>
        <v>0</v>
      </c>
      <c r="D56" s="126">
        <v>0</v>
      </c>
      <c r="E56" s="126">
        <v>0</v>
      </c>
      <c r="F56" s="126">
        <v>0</v>
      </c>
      <c r="G56" s="16"/>
      <c r="H56" s="16"/>
      <c r="I56" s="16"/>
      <c r="J56" s="16"/>
      <c r="K56" s="16"/>
      <c r="L56" s="16"/>
    </row>
    <row r="57" spans="1:12" ht="24" customHeight="1" x14ac:dyDescent="0.3">
      <c r="A57" s="5" t="s">
        <v>542</v>
      </c>
      <c r="B57" s="6" t="s">
        <v>543</v>
      </c>
      <c r="C57" s="126">
        <f>'1B-ContPP'!C29</f>
        <v>14227</v>
      </c>
      <c r="D57" s="126">
        <v>0</v>
      </c>
      <c r="E57" s="126">
        <v>0</v>
      </c>
      <c r="F57" s="126">
        <v>0</v>
      </c>
      <c r="G57" s="16"/>
      <c r="H57" s="16"/>
      <c r="I57" s="16"/>
      <c r="J57" s="16"/>
      <c r="K57" s="16"/>
      <c r="L57" s="16"/>
    </row>
    <row r="58" spans="1:12" x14ac:dyDescent="0.3">
      <c r="A58" s="5" t="s">
        <v>544</v>
      </c>
      <c r="B58" s="6" t="s">
        <v>545</v>
      </c>
      <c r="C58" s="126">
        <f>'1B-ContPP'!C51</f>
        <v>17075363</v>
      </c>
      <c r="D58" s="126">
        <f t="shared" ref="D58:F59" si="0">C58*1.1</f>
        <v>18782899.300000001</v>
      </c>
      <c r="E58" s="126">
        <f t="shared" si="0"/>
        <v>20661189.230000004</v>
      </c>
      <c r="F58" s="126">
        <f t="shared" si="0"/>
        <v>22727308.153000005</v>
      </c>
      <c r="G58" s="16"/>
      <c r="H58" s="16"/>
      <c r="I58" s="16"/>
      <c r="J58" s="16"/>
      <c r="K58" s="16"/>
      <c r="L58" s="16"/>
    </row>
    <row r="59" spans="1:12" ht="36" customHeight="1" x14ac:dyDescent="0.3">
      <c r="A59" s="5" t="s">
        <v>546</v>
      </c>
      <c r="B59" s="6" t="s">
        <v>547</v>
      </c>
      <c r="C59" s="126">
        <f>'1B-ContPP'!D31*1.1</f>
        <v>0</v>
      </c>
      <c r="D59" s="126">
        <f t="shared" si="0"/>
        <v>0</v>
      </c>
      <c r="E59" s="126">
        <f t="shared" si="0"/>
        <v>0</v>
      </c>
      <c r="F59" s="126">
        <f t="shared" si="0"/>
        <v>0</v>
      </c>
      <c r="G59" s="16"/>
      <c r="H59" s="16"/>
      <c r="I59" s="16"/>
      <c r="J59" s="16"/>
      <c r="K59" s="16"/>
      <c r="L59" s="16"/>
    </row>
    <row r="60" spans="1:12" s="19" customFormat="1" x14ac:dyDescent="0.3">
      <c r="A60" s="397" t="s">
        <v>548</v>
      </c>
      <c r="B60" s="330"/>
      <c r="C60" s="164">
        <f>C55+C36</f>
        <v>257010829.97029999</v>
      </c>
      <c r="D60" s="164">
        <f>D55+D36</f>
        <v>253778428.14838031</v>
      </c>
      <c r="E60" s="164">
        <f>E55+E36</f>
        <v>256361000.38262123</v>
      </c>
      <c r="F60" s="164">
        <f>F55+F36</f>
        <v>259131401.60986215</v>
      </c>
    </row>
    <row r="61" spans="1:12" x14ac:dyDescent="0.3">
      <c r="A61" s="5"/>
      <c r="B61" s="287" t="s">
        <v>445</v>
      </c>
      <c r="C61" s="127"/>
      <c r="D61" s="127"/>
      <c r="E61" s="127"/>
      <c r="F61" s="127"/>
      <c r="G61" s="16"/>
      <c r="H61" s="16"/>
      <c r="I61" s="16"/>
      <c r="J61" s="16"/>
      <c r="K61" s="16"/>
      <c r="L61" s="16"/>
    </row>
    <row r="62" spans="1:12" x14ac:dyDescent="0.3">
      <c r="A62" s="5"/>
      <c r="B62" s="14" t="s">
        <v>549</v>
      </c>
      <c r="C62" s="164">
        <f>C63+C66+C69+C72+C75+C76+C77</f>
        <v>226327521.3853825</v>
      </c>
      <c r="D62" s="164">
        <f>D63+D66+D69+D72+D75+D76+D77</f>
        <v>225710654.59938467</v>
      </c>
      <c r="E62" s="164">
        <f>E63+E66+E69+E72+E75+E76+E77</f>
        <v>226797919.49428675</v>
      </c>
      <c r="F62" s="164">
        <f>F63+F66+F69+F72+F75+F76+F77</f>
        <v>227885184.38918892</v>
      </c>
      <c r="G62" s="16"/>
      <c r="H62" s="16"/>
      <c r="I62" s="16"/>
      <c r="J62" s="16"/>
      <c r="K62" s="16"/>
      <c r="L62" s="16"/>
    </row>
    <row r="63" spans="1:12" s="19" customFormat="1" x14ac:dyDescent="0.3">
      <c r="A63" s="20">
        <v>13</v>
      </c>
      <c r="B63" s="21" t="s">
        <v>379</v>
      </c>
      <c r="C63" s="165">
        <f>C64+C65</f>
        <v>1125513.1348299999</v>
      </c>
      <c r="D63" s="165">
        <f>D64+D65</f>
        <v>1127764.16109966</v>
      </c>
      <c r="E63" s="165">
        <f>E64+E65</f>
        <v>1130015.1873693201</v>
      </c>
      <c r="F63" s="165">
        <f>F64+F65</f>
        <v>1132266.2136389802</v>
      </c>
    </row>
    <row r="64" spans="1:12" ht="24" customHeight="1" x14ac:dyDescent="0.3">
      <c r="A64" s="5"/>
      <c r="B64" s="6" t="s">
        <v>550</v>
      </c>
      <c r="C64" s="126">
        <f>'3A-Proiectii_fin_investitie'!D77/1.19</f>
        <v>945809.35699999996</v>
      </c>
      <c r="D64" s="126">
        <f>'3A-Proiectii_fin_investitie'!E77/1.19</f>
        <v>947700.97571400006</v>
      </c>
      <c r="E64" s="126">
        <f>'3A-Proiectii_fin_investitie'!F77/1.19</f>
        <v>949592.59442800016</v>
      </c>
      <c r="F64" s="126">
        <f>'3A-Proiectii_fin_investitie'!G77/1.19</f>
        <v>951484.21314200014</v>
      </c>
      <c r="G64" s="16"/>
      <c r="H64" s="171"/>
      <c r="I64" s="171"/>
      <c r="J64" s="16"/>
      <c r="K64" s="16"/>
      <c r="L64" s="16"/>
    </row>
    <row r="65" spans="1:12" ht="24" customHeight="1" x14ac:dyDescent="0.3">
      <c r="A65" s="5"/>
      <c r="B65" s="6" t="s">
        <v>551</v>
      </c>
      <c r="C65" s="126">
        <f>C64*0.19</f>
        <v>179703.77783000001</v>
      </c>
      <c r="D65" s="126">
        <f>D64*0.19</f>
        <v>180063.18538566001</v>
      </c>
      <c r="E65" s="126">
        <f>E64*0.19</f>
        <v>180422.59294132004</v>
      </c>
      <c r="F65" s="126">
        <f>F64*0.19</f>
        <v>180782.00049698004</v>
      </c>
      <c r="G65" s="16"/>
      <c r="H65" s="16"/>
      <c r="I65" s="16"/>
      <c r="J65" s="16"/>
      <c r="K65" s="16"/>
      <c r="L65" s="16"/>
    </row>
    <row r="66" spans="1:12" s="19" customFormat="1" x14ac:dyDescent="0.3">
      <c r="A66" s="20">
        <v>14</v>
      </c>
      <c r="B66" s="21" t="s">
        <v>93</v>
      </c>
      <c r="C66" s="165">
        <f>C67+C68</f>
        <v>0</v>
      </c>
      <c r="D66" s="165">
        <f>D67+D68</f>
        <v>0</v>
      </c>
      <c r="E66" s="165">
        <f>E67+E68</f>
        <v>0</v>
      </c>
      <c r="F66" s="165">
        <f>F67+F68</f>
        <v>0</v>
      </c>
    </row>
    <row r="67" spans="1:12" x14ac:dyDescent="0.3">
      <c r="A67" s="5"/>
      <c r="B67" s="6" t="s">
        <v>552</v>
      </c>
      <c r="C67" s="126">
        <f>'3A-Proiectii_fin_investitie'!D85 / 1.19</f>
        <v>0</v>
      </c>
      <c r="D67" s="126">
        <f>'3A-Proiectii_fin_investitie'!E85 / 1.19</f>
        <v>0</v>
      </c>
      <c r="E67" s="126">
        <f>'3A-Proiectii_fin_investitie'!F85 / 1.19</f>
        <v>0</v>
      </c>
      <c r="F67" s="126">
        <f>'3A-Proiectii_fin_investitie'!G85 / 1.19</f>
        <v>0</v>
      </c>
      <c r="G67" s="16"/>
      <c r="H67" s="16"/>
      <c r="I67" s="16"/>
      <c r="J67" s="16"/>
      <c r="K67" s="16"/>
      <c r="L67" s="16"/>
    </row>
    <row r="68" spans="1:12" x14ac:dyDescent="0.3">
      <c r="A68" s="5"/>
      <c r="B68" s="6" t="s">
        <v>553</v>
      </c>
      <c r="C68" s="126">
        <f>C67*0.19</f>
        <v>0</v>
      </c>
      <c r="D68" s="126">
        <f>D67*0.19</f>
        <v>0</v>
      </c>
      <c r="E68" s="126">
        <f>E67*0.19</f>
        <v>0</v>
      </c>
      <c r="F68" s="126">
        <f>F67*0.19</f>
        <v>0</v>
      </c>
      <c r="G68" s="16"/>
      <c r="H68" s="16"/>
      <c r="I68" s="16"/>
      <c r="J68" s="16"/>
      <c r="K68" s="16"/>
      <c r="L68" s="16"/>
    </row>
    <row r="69" spans="1:12" s="19" customFormat="1" x14ac:dyDescent="0.3">
      <c r="A69" s="20">
        <v>15</v>
      </c>
      <c r="B69" s="21" t="s">
        <v>554</v>
      </c>
      <c r="C69" s="165">
        <f>C70+C71</f>
        <v>199562.07180000001</v>
      </c>
      <c r="D69" s="165">
        <f>D70+D71</f>
        <v>199961.19594360003</v>
      </c>
      <c r="E69" s="165">
        <f>E70+E71</f>
        <v>200360.3200872</v>
      </c>
      <c r="F69" s="165">
        <f>F70+F71</f>
        <v>200759.4442308</v>
      </c>
    </row>
    <row r="70" spans="1:12" x14ac:dyDescent="0.3">
      <c r="A70" s="5"/>
      <c r="B70" s="6" t="s">
        <v>555</v>
      </c>
      <c r="C70" s="126">
        <f>('3A-Proiectii_fin_investitie'!D86 +'3A-Proiectii_fin_investitie'!D89) /1.19</f>
        <v>167699.22</v>
      </c>
      <c r="D70" s="126">
        <f>('3A-Proiectii_fin_investitie'!E86 +'3A-Proiectii_fin_investitie'!E89) /1.19</f>
        <v>168034.61844000002</v>
      </c>
      <c r="E70" s="126">
        <f>('3A-Proiectii_fin_investitie'!F86 +'3A-Proiectii_fin_investitie'!F89) /1.19</f>
        <v>168370.01688000001</v>
      </c>
      <c r="F70" s="126">
        <f>('3A-Proiectii_fin_investitie'!G86 +'3A-Proiectii_fin_investitie'!G89) /1.19</f>
        <v>168705.41532</v>
      </c>
      <c r="G70" s="16"/>
      <c r="H70" s="16"/>
      <c r="I70" s="16"/>
      <c r="J70" s="16"/>
      <c r="K70" s="16"/>
      <c r="L70" s="16"/>
    </row>
    <row r="71" spans="1:12" x14ac:dyDescent="0.3">
      <c r="A71" s="5"/>
      <c r="B71" s="6" t="s">
        <v>556</v>
      </c>
      <c r="C71" s="126">
        <f>C70*0.19</f>
        <v>31862.8518</v>
      </c>
      <c r="D71" s="126">
        <f>D70*0.19</f>
        <v>31926.577503600005</v>
      </c>
      <c r="E71" s="126">
        <f>E70*0.19</f>
        <v>31990.303207200002</v>
      </c>
      <c r="F71" s="126">
        <f>F70*0.19</f>
        <v>32054.0289108</v>
      </c>
      <c r="G71" s="16"/>
      <c r="H71" s="16"/>
      <c r="I71" s="16"/>
      <c r="J71" s="16"/>
      <c r="K71" s="16"/>
      <c r="L71" s="16"/>
    </row>
    <row r="72" spans="1:12" s="19" customFormat="1" x14ac:dyDescent="0.3">
      <c r="A72" s="20">
        <v>16</v>
      </c>
      <c r="B72" s="21" t="s">
        <v>384</v>
      </c>
      <c r="C72" s="165">
        <f>C73+C74</f>
        <v>209359714.71744001</v>
      </c>
      <c r="D72" s="165">
        <f>D73+D74</f>
        <v>210406513.29102725</v>
      </c>
      <c r="E72" s="165">
        <f>E73+E74</f>
        <v>211453311.86461446</v>
      </c>
      <c r="F72" s="165">
        <f>F73+F74</f>
        <v>212500110.43820167</v>
      </c>
    </row>
    <row r="73" spans="1:12" x14ac:dyDescent="0.3">
      <c r="A73" s="5"/>
      <c r="B73" s="6" t="s">
        <v>557</v>
      </c>
      <c r="C73" s="126">
        <f>'3A-Proiectii_fin_investitie'!D82 /1.19</f>
        <v>175932533.37600002</v>
      </c>
      <c r="D73" s="126">
        <f>'3A-Proiectii_fin_investitie'!E82 /1.19</f>
        <v>176812196.04288003</v>
      </c>
      <c r="E73" s="126">
        <f>'3A-Proiectii_fin_investitie'!F82 /1.19</f>
        <v>177691858.70976004</v>
      </c>
      <c r="F73" s="126">
        <f>'3A-Proiectii_fin_investitie'!G82 /1.19</f>
        <v>178571521.37664005</v>
      </c>
      <c r="G73" s="16"/>
      <c r="H73" s="16"/>
      <c r="I73" s="16"/>
      <c r="J73" s="16"/>
      <c r="K73" s="16"/>
      <c r="L73" s="16"/>
    </row>
    <row r="74" spans="1:12" x14ac:dyDescent="0.3">
      <c r="A74" s="5"/>
      <c r="B74" s="6" t="s">
        <v>558</v>
      </c>
      <c r="C74" s="126">
        <f>C73*0.19</f>
        <v>33427181.341440003</v>
      </c>
      <c r="D74" s="126">
        <f>D73*0.19</f>
        <v>33594317.248147205</v>
      </c>
      <c r="E74" s="126">
        <f>E73*0.19</f>
        <v>33761453.154854409</v>
      </c>
      <c r="F74" s="126">
        <f>F73*0.19</f>
        <v>33928589.061561607</v>
      </c>
      <c r="G74" s="16"/>
      <c r="H74" s="16"/>
      <c r="I74" s="16"/>
      <c r="J74" s="16"/>
      <c r="K74" s="16"/>
      <c r="L74" s="16"/>
    </row>
    <row r="75" spans="1:12" s="19" customFormat="1" x14ac:dyDescent="0.3">
      <c r="A75" s="20">
        <v>17</v>
      </c>
      <c r="B75" s="21" t="s">
        <v>559</v>
      </c>
      <c r="C75" s="126">
        <f>'3A-Proiectii_fin_investitie'!D101</f>
        <v>4860132.6849999996</v>
      </c>
      <c r="D75" s="126">
        <f>'3A-Proiectii_fin_investitie'!E101</f>
        <v>4879573.2157399999</v>
      </c>
      <c r="E75" s="126">
        <f>'3A-Proiectii_fin_investitie'!F101</f>
        <v>4899013.7464800002</v>
      </c>
      <c r="F75" s="126">
        <f>'3A-Proiectii_fin_investitie'!G101</f>
        <v>4918454.2772199996</v>
      </c>
    </row>
    <row r="76" spans="1:12" s="19" customFormat="1" x14ac:dyDescent="0.3">
      <c r="A76" s="20">
        <v>18</v>
      </c>
      <c r="B76" s="21" t="s">
        <v>397</v>
      </c>
      <c r="C76" s="126">
        <f>C75*2.25/100</f>
        <v>109352.9854125</v>
      </c>
      <c r="D76" s="126">
        <f>D75*2.25/100</f>
        <v>109790.39735415</v>
      </c>
      <c r="E76" s="126">
        <f>E75*2.25/100</f>
        <v>110227.80929580001</v>
      </c>
      <c r="F76" s="126">
        <f>F75*2.25/100</f>
        <v>110665.22123744998</v>
      </c>
    </row>
    <row r="77" spans="1:12" s="19" customFormat="1" ht="24" customHeight="1" x14ac:dyDescent="0.3">
      <c r="A77" s="20">
        <v>19</v>
      </c>
      <c r="B77" s="21" t="s">
        <v>560</v>
      </c>
      <c r="C77" s="165">
        <f>C78+C79</f>
        <v>10673245.790899999</v>
      </c>
      <c r="D77" s="165">
        <f>D78+D79</f>
        <v>8987052.3382200003</v>
      </c>
      <c r="E77" s="165">
        <f>E78+E79</f>
        <v>9004990.5664399993</v>
      </c>
      <c r="F77" s="165">
        <f>F78+F79</f>
        <v>9022928.7946599983</v>
      </c>
    </row>
    <row r="78" spans="1:12" x14ac:dyDescent="0.3">
      <c r="A78" s="5"/>
      <c r="B78" s="6" t="s">
        <v>561</v>
      </c>
      <c r="C78" s="126">
        <f>'3A-Proiectii_fin_investitie'!D102 /1.19</f>
        <v>8969114.1099999994</v>
      </c>
      <c r="D78" s="126">
        <f>'3A-Proiectii_fin_investitie'!E102 /1.19</f>
        <v>8987052.3382200003</v>
      </c>
      <c r="E78" s="126">
        <f>'3A-Proiectii_fin_investitie'!F102 /1.19</f>
        <v>9004990.5664399993</v>
      </c>
      <c r="F78" s="126">
        <f>'3A-Proiectii_fin_investitie'!G102 /1.19</f>
        <v>9022928.7946599983</v>
      </c>
      <c r="G78" s="16"/>
      <c r="H78" s="16"/>
      <c r="I78" s="16"/>
      <c r="J78" s="16"/>
      <c r="K78" s="16"/>
      <c r="L78" s="16"/>
    </row>
    <row r="79" spans="1:12" x14ac:dyDescent="0.3">
      <c r="A79" s="5"/>
      <c r="B79" s="6" t="s">
        <v>562</v>
      </c>
      <c r="C79" s="126">
        <f>C78*0.19</f>
        <v>1704131.6808999998</v>
      </c>
      <c r="D79" s="126">
        <v>0</v>
      </c>
      <c r="E79" s="126">
        <v>0</v>
      </c>
      <c r="F79" s="126">
        <v>0</v>
      </c>
      <c r="G79" s="16"/>
      <c r="H79" s="16"/>
      <c r="I79" s="16"/>
      <c r="J79" s="16"/>
      <c r="K79" s="16"/>
      <c r="L79" s="16"/>
    </row>
    <row r="80" spans="1:12" x14ac:dyDescent="0.3">
      <c r="A80" s="5"/>
      <c r="B80" s="287" t="s">
        <v>114</v>
      </c>
      <c r="C80" s="164">
        <f>C81+C85</f>
        <v>240491.47500000001</v>
      </c>
      <c r="D80" s="164">
        <f>D81+D85</f>
        <v>240491.47500000001</v>
      </c>
      <c r="E80" s="164">
        <f>E81+E85</f>
        <v>241453.44090000002</v>
      </c>
      <c r="F80" s="164">
        <f>F81+F85</f>
        <v>242415.40680000003</v>
      </c>
      <c r="G80" s="16"/>
      <c r="H80" s="16"/>
      <c r="I80" s="16"/>
      <c r="J80" s="16"/>
      <c r="K80" s="16"/>
      <c r="L80" s="16"/>
    </row>
    <row r="81" spans="1:12" x14ac:dyDescent="0.3">
      <c r="A81" s="5">
        <v>20</v>
      </c>
      <c r="B81" s="21" t="s">
        <v>563</v>
      </c>
      <c r="C81" s="164">
        <f>SUM(C82:C84)</f>
        <v>9416.4750000000058</v>
      </c>
      <c r="D81" s="164">
        <f>SUM(D82:D84)</f>
        <v>7105.7250000000058</v>
      </c>
      <c r="E81" s="164">
        <f>SUM(E82:E84)</f>
        <v>5733.8334000000032</v>
      </c>
      <c r="F81" s="164">
        <f>SUM(F82:F84)</f>
        <v>4338.6032249999989</v>
      </c>
      <c r="G81" s="16"/>
      <c r="H81" s="16"/>
      <c r="I81" s="16"/>
      <c r="J81" s="16"/>
      <c r="K81" s="16"/>
      <c r="L81" s="16"/>
    </row>
    <row r="82" spans="1:12" x14ac:dyDescent="0.3">
      <c r="A82" s="5"/>
      <c r="B82" s="8" t="s">
        <v>564</v>
      </c>
      <c r="C82" s="126">
        <v>0</v>
      </c>
      <c r="D82" s="126">
        <v>0</v>
      </c>
      <c r="E82" s="126">
        <v>0</v>
      </c>
      <c r="F82" s="126">
        <v>0</v>
      </c>
      <c r="G82" s="16"/>
      <c r="H82" s="16"/>
      <c r="I82" s="16"/>
      <c r="J82" s="16"/>
      <c r="K82" s="16"/>
      <c r="L82" s="16"/>
    </row>
    <row r="83" spans="1:12" ht="24" customHeight="1" x14ac:dyDescent="0.3">
      <c r="A83" s="5"/>
      <c r="B83" s="8" t="s">
        <v>565</v>
      </c>
      <c r="C83" s="126">
        <f>'3A-Proiectii_fin_investitie'!D106 - C85</f>
        <v>9416.4750000000058</v>
      </c>
      <c r="D83" s="126">
        <f>'3A-Proiectii_fin_investitie'!D106 - D85</f>
        <v>7105.7250000000058</v>
      </c>
      <c r="E83" s="126">
        <f>'3A-Proiectii_fin_investitie'!E106 - E85</f>
        <v>5733.8334000000032</v>
      </c>
      <c r="F83" s="126">
        <f>'3A-Proiectii_fin_investitie'!F106 - F85</f>
        <v>4338.6032249999989</v>
      </c>
      <c r="G83" s="16"/>
      <c r="H83" s="16"/>
      <c r="I83" s="16"/>
      <c r="J83" s="16"/>
      <c r="K83" s="16"/>
      <c r="L83" s="16"/>
    </row>
    <row r="84" spans="1:12" x14ac:dyDescent="0.3">
      <c r="A84" s="5"/>
      <c r="B84" s="8" t="s">
        <v>566</v>
      </c>
      <c r="C84" s="126">
        <v>0</v>
      </c>
      <c r="D84" s="126">
        <v>0</v>
      </c>
      <c r="E84" s="126">
        <v>0</v>
      </c>
      <c r="F84" s="126">
        <v>0</v>
      </c>
      <c r="G84" s="16"/>
      <c r="H84" s="16"/>
      <c r="I84" s="16"/>
      <c r="J84" s="16"/>
      <c r="K84" s="16"/>
      <c r="L84" s="16"/>
    </row>
    <row r="85" spans="1:12" s="19" customFormat="1" ht="36" customHeight="1" x14ac:dyDescent="0.3">
      <c r="A85" s="20">
        <v>21</v>
      </c>
      <c r="B85" s="21" t="s">
        <v>567</v>
      </c>
      <c r="C85" s="126">
        <f>'1B-ContPP'!C35</f>
        <v>231075</v>
      </c>
      <c r="D85" s="126">
        <f>C85*0.01 +C85</f>
        <v>233385.75</v>
      </c>
      <c r="E85" s="126">
        <f>D85*0.01 +D85</f>
        <v>235719.60750000001</v>
      </c>
      <c r="F85" s="126">
        <f>E85*0.01 +E85</f>
        <v>238076.80357500003</v>
      </c>
    </row>
    <row r="86" spans="1:12" x14ac:dyDescent="0.3">
      <c r="A86" s="397" t="s">
        <v>568</v>
      </c>
      <c r="B86" s="330"/>
      <c r="C86" s="164">
        <f>C62+C80</f>
        <v>226568012.8603825</v>
      </c>
      <c r="D86" s="164">
        <f>D62+D80</f>
        <v>225951146.07438466</v>
      </c>
      <c r="E86" s="164">
        <f>E62+E80</f>
        <v>227039372.93518674</v>
      </c>
      <c r="F86" s="164">
        <f>F62+F80</f>
        <v>228127599.79598892</v>
      </c>
      <c r="G86" s="16"/>
      <c r="H86" s="16"/>
      <c r="I86" s="16"/>
      <c r="J86" s="16"/>
      <c r="K86" s="16"/>
      <c r="L86" s="16"/>
    </row>
    <row r="87" spans="1:12" x14ac:dyDescent="0.3">
      <c r="A87" s="397" t="s">
        <v>569</v>
      </c>
      <c r="B87" s="330"/>
      <c r="C87" s="164">
        <f>C60-C86</f>
        <v>30442817.109917492</v>
      </c>
      <c r="D87" s="164">
        <f>D60-D86</f>
        <v>27827282.07399565</v>
      </c>
      <c r="E87" s="164">
        <f>E60-E86</f>
        <v>29321627.447434485</v>
      </c>
      <c r="F87" s="164">
        <f>F60-F86</f>
        <v>31003801.813873231</v>
      </c>
      <c r="G87" s="16"/>
      <c r="H87" s="16"/>
      <c r="I87" s="16"/>
      <c r="J87" s="16"/>
      <c r="K87" s="16"/>
      <c r="L87" s="16"/>
    </row>
    <row r="88" spans="1:12" ht="25.5" customHeight="1" x14ac:dyDescent="0.3">
      <c r="A88" s="397" t="s">
        <v>570</v>
      </c>
      <c r="B88" s="330"/>
      <c r="C88" s="164">
        <f>C33+C87</f>
        <v>6938914.4958774932</v>
      </c>
      <c r="D88" s="164">
        <f>D33+D87</f>
        <v>27827282.07399565</v>
      </c>
      <c r="E88" s="164">
        <f>E33+E87</f>
        <v>29321627.447434485</v>
      </c>
      <c r="F88" s="164">
        <f>F33+F87</f>
        <v>31003801.813873231</v>
      </c>
      <c r="G88" s="16"/>
      <c r="H88" s="16"/>
      <c r="I88" s="16"/>
      <c r="J88" s="16"/>
      <c r="K88" s="16"/>
      <c r="L88" s="16"/>
    </row>
    <row r="89" spans="1:12" x14ac:dyDescent="0.3">
      <c r="A89" s="5">
        <v>22</v>
      </c>
      <c r="B89" s="8" t="s">
        <v>405</v>
      </c>
      <c r="C89" s="126">
        <f>C39 + C42 +C45 +C48 + C51+C54 - C28*19/119 - C65-C68-C71-C74-C79</f>
        <v>2579206.3071249984</v>
      </c>
      <c r="D89" s="126">
        <f>D39 + D42 +D45  + D51+D54 + D48 - D28*19/119 - D65-D68-D71-D74-D79</f>
        <v>3713987.510973841</v>
      </c>
      <c r="E89" s="126">
        <f>E39 + E42 +E45  + E51+E54 + E48 - E28*19/119 - E65-E68-E71-E74-E79</f>
        <v>3658876.9061382785</v>
      </c>
      <c r="F89" s="126">
        <f>F39 + F42 +F45  + F51+F54 + F48 - F28*19/119 - F65-F68-F71-F74-F79</f>
        <v>3603766.3013027161</v>
      </c>
      <c r="G89" s="16"/>
      <c r="H89" s="16"/>
      <c r="I89" s="16"/>
      <c r="J89" s="16"/>
      <c r="K89" s="16"/>
      <c r="L89" s="16"/>
    </row>
    <row r="90" spans="1:12" x14ac:dyDescent="0.3">
      <c r="A90" s="5">
        <v>23</v>
      </c>
      <c r="B90" s="8" t="s">
        <v>406</v>
      </c>
      <c r="C90" s="126">
        <v>0</v>
      </c>
      <c r="D90" s="126">
        <v>0</v>
      </c>
      <c r="E90" s="126">
        <v>0</v>
      </c>
      <c r="F90" s="126">
        <v>0</v>
      </c>
      <c r="G90" s="16"/>
      <c r="H90" s="16"/>
      <c r="I90" s="16"/>
      <c r="J90" s="16"/>
      <c r="K90" s="16"/>
      <c r="L90" s="16"/>
    </row>
    <row r="91" spans="1:12" x14ac:dyDescent="0.3">
      <c r="A91" s="5">
        <v>24</v>
      </c>
      <c r="B91" s="8" t="s">
        <v>571</v>
      </c>
      <c r="C91" s="126">
        <v>0</v>
      </c>
      <c r="D91" s="126">
        <v>0</v>
      </c>
      <c r="E91" s="126">
        <v>0</v>
      </c>
      <c r="F91" s="126">
        <v>0</v>
      </c>
      <c r="G91" s="16"/>
      <c r="H91" s="16"/>
      <c r="I91" s="16"/>
      <c r="J91" s="16"/>
      <c r="K91" s="16"/>
      <c r="L91" s="16"/>
    </row>
    <row r="92" spans="1:12" x14ac:dyDescent="0.3">
      <c r="A92" s="397" t="s">
        <v>572</v>
      </c>
      <c r="B92" s="330"/>
      <c r="C92" s="164">
        <f>C89-C90+C91</f>
        <v>2579206.3071249984</v>
      </c>
      <c r="D92" s="164">
        <f>D89-D90+D91</f>
        <v>3713987.510973841</v>
      </c>
      <c r="E92" s="164">
        <f>E89-E90+E91</f>
        <v>3658876.9061382785</v>
      </c>
      <c r="F92" s="164">
        <f>F89-F90+F91</f>
        <v>3603766.3013027161</v>
      </c>
      <c r="G92" s="16"/>
      <c r="H92" s="16"/>
      <c r="I92" s="16"/>
      <c r="J92" s="16"/>
      <c r="K92" s="16"/>
      <c r="L92" s="16"/>
    </row>
    <row r="93" spans="1:12" x14ac:dyDescent="0.3">
      <c r="A93" s="397" t="s">
        <v>518</v>
      </c>
      <c r="B93" s="330"/>
      <c r="C93" s="164">
        <f>C33</f>
        <v>-23503902.614039999</v>
      </c>
      <c r="D93" s="164">
        <f>D33</f>
        <v>0</v>
      </c>
      <c r="E93" s="164">
        <f>E33</f>
        <v>0</v>
      </c>
      <c r="F93" s="164">
        <f>F33</f>
        <v>0</v>
      </c>
      <c r="G93" s="16"/>
      <c r="H93" s="16"/>
      <c r="I93" s="16"/>
      <c r="J93" s="16"/>
      <c r="K93" s="16"/>
      <c r="L93" s="16"/>
    </row>
    <row r="94" spans="1:12" x14ac:dyDescent="0.3">
      <c r="A94" s="397" t="s">
        <v>573</v>
      </c>
      <c r="B94" s="330"/>
      <c r="C94" s="164">
        <f>C87-C92</f>
        <v>27863610.802792493</v>
      </c>
      <c r="D94" s="164">
        <f>D87-D92</f>
        <v>24113294.563021809</v>
      </c>
      <c r="E94" s="164">
        <f>E87-E92</f>
        <v>25662750.541296206</v>
      </c>
      <c r="F94" s="164">
        <f>F87-F92</f>
        <v>27400035.512570515</v>
      </c>
      <c r="G94" s="16"/>
      <c r="H94" s="16"/>
      <c r="I94" s="16"/>
      <c r="J94" s="16"/>
      <c r="K94" s="16"/>
      <c r="L94" s="16"/>
    </row>
    <row r="95" spans="1:12" ht="14.4" customHeight="1" x14ac:dyDescent="0.3">
      <c r="A95" s="371" t="s">
        <v>574</v>
      </c>
      <c r="B95" s="329"/>
      <c r="C95" s="329"/>
      <c r="D95" s="329"/>
      <c r="E95" s="329"/>
      <c r="F95" s="330"/>
      <c r="G95" s="16"/>
      <c r="H95" s="16"/>
      <c r="I95" s="16"/>
      <c r="J95" s="16"/>
      <c r="K95" s="16"/>
      <c r="L95" s="16"/>
    </row>
    <row r="96" spans="1:12" x14ac:dyDescent="0.3">
      <c r="A96" s="397" t="s">
        <v>575</v>
      </c>
      <c r="B96" s="330"/>
      <c r="C96" s="164">
        <f>C93+C94</f>
        <v>4359708.1887524948</v>
      </c>
      <c r="D96" s="164">
        <f>D93+D94</f>
        <v>24113294.563021809</v>
      </c>
      <c r="E96" s="164">
        <f>E93+E94</f>
        <v>25662750.541296206</v>
      </c>
      <c r="F96" s="164">
        <f>F93+F94</f>
        <v>27400035.512570515</v>
      </c>
      <c r="G96" s="16"/>
      <c r="H96" s="16"/>
      <c r="I96" s="16"/>
      <c r="J96" s="16"/>
      <c r="K96" s="16"/>
      <c r="L96" s="16"/>
    </row>
    <row r="97" spans="1:12" x14ac:dyDescent="0.3">
      <c r="A97" s="397" t="s">
        <v>410</v>
      </c>
      <c r="B97" s="330"/>
      <c r="C97" s="164">
        <f>'1A-Bilant'!C28</f>
        <v>1964645</v>
      </c>
      <c r="D97" s="164">
        <f>C98</f>
        <v>6324353.1887524948</v>
      </c>
      <c r="E97" s="164">
        <f>D98</f>
        <v>30437647.751774304</v>
      </c>
      <c r="F97" s="164">
        <f>E98</f>
        <v>56100398.29307051</v>
      </c>
      <c r="G97" s="16"/>
      <c r="H97" s="16"/>
      <c r="I97" s="16"/>
      <c r="J97" s="16"/>
      <c r="K97" s="16"/>
      <c r="L97" s="16"/>
    </row>
    <row r="98" spans="1:12" x14ac:dyDescent="0.3">
      <c r="A98" s="397" t="s">
        <v>411</v>
      </c>
      <c r="B98" s="330"/>
      <c r="C98" s="164">
        <f>C97+C96</f>
        <v>6324353.1887524948</v>
      </c>
      <c r="D98" s="164">
        <f>D97+D96</f>
        <v>30437647.751774304</v>
      </c>
      <c r="E98" s="164">
        <f>E97+E96</f>
        <v>56100398.29307051</v>
      </c>
      <c r="F98" s="164">
        <f>F97+F96</f>
        <v>83500433.805641025</v>
      </c>
      <c r="G98" s="16"/>
      <c r="H98" s="16"/>
      <c r="I98" s="16"/>
      <c r="J98" s="16"/>
      <c r="K98" s="16"/>
      <c r="L98" s="16"/>
    </row>
    <row r="102" spans="1:12" x14ac:dyDescent="0.3">
      <c r="A102" s="399" t="s">
        <v>576</v>
      </c>
      <c r="B102" s="400"/>
      <c r="C102" s="384"/>
      <c r="D102" s="384"/>
      <c r="E102" s="384"/>
      <c r="F102" s="384"/>
      <c r="G102" s="384"/>
      <c r="H102" s="384"/>
      <c r="I102" s="384"/>
      <c r="J102" s="384"/>
      <c r="K102" s="384"/>
      <c r="L102" s="384"/>
    </row>
    <row r="103" spans="1:12" x14ac:dyDescent="0.3">
      <c r="A103" s="401" t="s">
        <v>494</v>
      </c>
      <c r="B103" s="401" t="s">
        <v>495</v>
      </c>
      <c r="C103" s="398" t="s">
        <v>360</v>
      </c>
      <c r="D103" s="329"/>
      <c r="E103" s="329"/>
      <c r="F103" s="330"/>
      <c r="G103" s="16"/>
      <c r="H103" s="16"/>
      <c r="I103" s="16"/>
      <c r="J103" s="16"/>
      <c r="K103" s="16"/>
      <c r="L103" s="16"/>
    </row>
    <row r="104" spans="1:12" ht="24" customHeight="1" x14ac:dyDescent="0.3">
      <c r="A104" s="350"/>
      <c r="B104" s="350"/>
      <c r="C104" s="15" t="s">
        <v>361</v>
      </c>
      <c r="D104" s="15" t="s">
        <v>362</v>
      </c>
      <c r="E104" s="15" t="s">
        <v>363</v>
      </c>
      <c r="F104" s="15" t="s">
        <v>364</v>
      </c>
      <c r="G104" s="16"/>
      <c r="H104" s="16"/>
      <c r="I104" s="16"/>
      <c r="J104" s="16"/>
      <c r="K104" s="16"/>
      <c r="L104" s="16"/>
    </row>
    <row r="105" spans="1:12" ht="14.4" customHeight="1" x14ac:dyDescent="0.3">
      <c r="A105" s="405" t="s">
        <v>577</v>
      </c>
      <c r="B105" s="329"/>
      <c r="C105" s="329"/>
      <c r="D105" s="329"/>
      <c r="E105" s="329"/>
      <c r="F105" s="330"/>
      <c r="G105" s="16"/>
      <c r="H105" s="16"/>
      <c r="I105" s="16"/>
      <c r="J105" s="16"/>
      <c r="K105" s="16"/>
      <c r="L105" s="16"/>
    </row>
    <row r="106" spans="1:12" x14ac:dyDescent="0.3">
      <c r="A106" s="4">
        <v>1</v>
      </c>
      <c r="B106" s="24" t="s">
        <v>578</v>
      </c>
      <c r="C106" s="166">
        <f>C38+C41+C44+C47+C50</f>
        <v>197277956.37</v>
      </c>
      <c r="D106" s="166">
        <f>D38+D41+D44+D47+D50</f>
        <v>197475234.32637</v>
      </c>
      <c r="E106" s="166">
        <f>E38+E41+E44+E47+E50</f>
        <v>198067068.19548002</v>
      </c>
      <c r="F106" s="166">
        <f>F38+F41+F44+F47+F50</f>
        <v>198658902.06459004</v>
      </c>
      <c r="G106" s="16"/>
      <c r="H106" s="16"/>
      <c r="I106" s="16"/>
      <c r="J106" s="16"/>
      <c r="K106" s="16"/>
      <c r="L106" s="16"/>
    </row>
    <row r="107" spans="1:12" ht="24" customHeight="1" x14ac:dyDescent="0.3">
      <c r="A107" s="4">
        <v>2</v>
      </c>
      <c r="B107" s="24" t="s">
        <v>85</v>
      </c>
      <c r="C107" s="260">
        <v>0</v>
      </c>
      <c r="D107" s="260">
        <v>0</v>
      </c>
      <c r="E107" s="260">
        <v>0</v>
      </c>
      <c r="F107" s="260">
        <v>0</v>
      </c>
      <c r="G107" s="16"/>
      <c r="H107" s="16"/>
      <c r="I107" s="16"/>
      <c r="J107" s="16"/>
      <c r="K107" s="16"/>
      <c r="L107" s="16"/>
    </row>
    <row r="108" spans="1:12" ht="24" customHeight="1" x14ac:dyDescent="0.3">
      <c r="A108" s="4">
        <v>3</v>
      </c>
      <c r="B108" s="24" t="s">
        <v>579</v>
      </c>
      <c r="C108" s="260">
        <v>0</v>
      </c>
      <c r="D108" s="260">
        <v>0</v>
      </c>
      <c r="E108" s="260">
        <v>0</v>
      </c>
      <c r="F108" s="260">
        <v>0</v>
      </c>
      <c r="G108" s="16"/>
      <c r="H108" s="16"/>
      <c r="I108" s="16"/>
      <c r="J108" s="16"/>
      <c r="K108" s="16"/>
      <c r="L108" s="16"/>
    </row>
    <row r="109" spans="1:12" ht="24" customHeight="1" x14ac:dyDescent="0.3">
      <c r="A109" s="4">
        <v>4</v>
      </c>
      <c r="B109" s="24" t="s">
        <v>580</v>
      </c>
      <c r="C109" s="260">
        <f>C53</f>
        <v>4336531</v>
      </c>
      <c r="D109" s="260">
        <f>D53</f>
        <v>0</v>
      </c>
      <c r="E109" s="260">
        <f>E53</f>
        <v>0</v>
      </c>
      <c r="F109" s="260">
        <f>F53</f>
        <v>0</v>
      </c>
      <c r="G109" s="16"/>
      <c r="H109" s="16"/>
      <c r="I109" s="16"/>
      <c r="J109" s="16"/>
      <c r="K109" s="16"/>
      <c r="L109" s="16"/>
    </row>
    <row r="110" spans="1:12" x14ac:dyDescent="0.3">
      <c r="A110" s="404" t="s">
        <v>581</v>
      </c>
      <c r="B110" s="330"/>
      <c r="C110" s="162">
        <f>SUM(C106:C109)</f>
        <v>201614487.37</v>
      </c>
      <c r="D110" s="162">
        <f>SUM(D106:D109)</f>
        <v>197475234.32637</v>
      </c>
      <c r="E110" s="162">
        <f>SUM(E106:E109)</f>
        <v>198067068.19548002</v>
      </c>
      <c r="F110" s="162">
        <f>SUM(F106:F109)</f>
        <v>198658902.06459004</v>
      </c>
      <c r="G110" s="16"/>
      <c r="H110" s="16"/>
      <c r="I110" s="16"/>
      <c r="J110" s="16"/>
      <c r="K110" s="16"/>
      <c r="L110" s="16"/>
    </row>
    <row r="111" spans="1:12" ht="14.4" customHeight="1" x14ac:dyDescent="0.3">
      <c r="A111" s="406" t="s">
        <v>582</v>
      </c>
      <c r="B111" s="329"/>
      <c r="C111" s="329"/>
      <c r="D111" s="329"/>
      <c r="E111" s="329"/>
      <c r="F111" s="330"/>
      <c r="G111" s="16"/>
      <c r="H111" s="16"/>
      <c r="I111" s="16"/>
      <c r="J111" s="16"/>
      <c r="K111" s="16"/>
      <c r="L111" s="16"/>
    </row>
    <row r="112" spans="1:12" x14ac:dyDescent="0.3">
      <c r="A112" s="4">
        <v>5</v>
      </c>
      <c r="B112" s="24" t="s">
        <v>583</v>
      </c>
      <c r="C112" s="167">
        <f>C64+C67+C73+C70</f>
        <v>177046041.95300001</v>
      </c>
      <c r="D112" s="167">
        <f>D64+D67+D73+D70</f>
        <v>177927931.63703403</v>
      </c>
      <c r="E112" s="167">
        <f>E64+E67+E73+E70</f>
        <v>178809821.32106805</v>
      </c>
      <c r="F112" s="167">
        <f>F64+F67+F73+F70</f>
        <v>179691711.00510207</v>
      </c>
      <c r="G112" s="16"/>
      <c r="H112" s="171"/>
      <c r="I112" s="16"/>
      <c r="J112" s="16"/>
      <c r="K112" s="16"/>
      <c r="L112" s="16"/>
    </row>
    <row r="113" spans="1:12" x14ac:dyDescent="0.3">
      <c r="A113" s="4">
        <v>6</v>
      </c>
      <c r="B113" s="24" t="s">
        <v>584</v>
      </c>
      <c r="C113" s="167">
        <f>C75+C76</f>
        <v>4969485.6704124995</v>
      </c>
      <c r="D113" s="167">
        <f>D75+D76</f>
        <v>4989363.6130941501</v>
      </c>
      <c r="E113" s="167">
        <f>E75+E76</f>
        <v>5009241.5557757998</v>
      </c>
      <c r="F113" s="167">
        <f>F75+F76</f>
        <v>5029119.4984574495</v>
      </c>
      <c r="G113" s="16"/>
      <c r="H113" s="16"/>
      <c r="I113" s="16"/>
      <c r="J113" s="16"/>
      <c r="K113" s="16"/>
      <c r="L113" s="16"/>
    </row>
    <row r="114" spans="1:12" x14ac:dyDescent="0.3">
      <c r="A114" s="4">
        <v>7</v>
      </c>
      <c r="B114" s="24" t="s">
        <v>585</v>
      </c>
      <c r="C114" s="170">
        <v>0</v>
      </c>
      <c r="D114" s="170">
        <v>0</v>
      </c>
      <c r="E114" s="170">
        <v>0</v>
      </c>
      <c r="F114" s="170">
        <v>0</v>
      </c>
      <c r="G114" s="16"/>
      <c r="H114" s="16"/>
      <c r="I114" s="16"/>
      <c r="J114" s="16"/>
      <c r="K114" s="16"/>
      <c r="L114" s="16"/>
    </row>
    <row r="115" spans="1:12" ht="24" customHeight="1" x14ac:dyDescent="0.3">
      <c r="A115" s="4">
        <v>8</v>
      </c>
      <c r="B115" s="24" t="s">
        <v>560</v>
      </c>
      <c r="C115" s="167">
        <f>C78</f>
        <v>8969114.1099999994</v>
      </c>
      <c r="D115" s="167">
        <f>D78</f>
        <v>8987052.3382200003</v>
      </c>
      <c r="E115" s="167">
        <f>E78</f>
        <v>9004990.5664399993</v>
      </c>
      <c r="F115" s="167">
        <f>F78</f>
        <v>9022928.7946599983</v>
      </c>
      <c r="G115" s="16"/>
      <c r="H115" s="16"/>
      <c r="I115" s="16"/>
      <c r="J115" s="16"/>
      <c r="K115" s="16"/>
      <c r="L115" s="16"/>
    </row>
    <row r="116" spans="1:12" x14ac:dyDescent="0.3">
      <c r="A116" s="404" t="s">
        <v>586</v>
      </c>
      <c r="B116" s="330"/>
      <c r="C116" s="286">
        <f>SUM(C112:C115)</f>
        <v>190984641.7334125</v>
      </c>
      <c r="D116" s="286">
        <f>SUM(D112:D115)</f>
        <v>191904347.58834818</v>
      </c>
      <c r="E116" s="286">
        <f>SUM(E112:E115)</f>
        <v>192824053.44328383</v>
      </c>
      <c r="F116" s="286">
        <f>SUM(F112:F115)</f>
        <v>193743759.29821953</v>
      </c>
      <c r="G116" s="16"/>
      <c r="H116" s="16"/>
      <c r="I116" s="16"/>
      <c r="J116" s="16"/>
      <c r="K116" s="16"/>
      <c r="L116" s="16"/>
    </row>
    <row r="117" spans="1:12" x14ac:dyDescent="0.3">
      <c r="A117" s="404" t="s">
        <v>103</v>
      </c>
      <c r="B117" s="330"/>
      <c r="C117" s="286">
        <f>C110-C116</f>
        <v>10629845.636587501</v>
      </c>
      <c r="D117" s="286">
        <f>D110-D116</f>
        <v>5570886.7380218208</v>
      </c>
      <c r="E117" s="286">
        <f>E110-E116</f>
        <v>5243014.7521961927</v>
      </c>
      <c r="F117" s="286">
        <f>F110-F116</f>
        <v>4915142.7663705051</v>
      </c>
      <c r="G117" s="16"/>
      <c r="H117" s="16"/>
      <c r="I117" s="16"/>
      <c r="J117" s="16"/>
      <c r="K117" s="16"/>
      <c r="L117" s="16"/>
    </row>
    <row r="118" spans="1:12" ht="14.4" customHeight="1" x14ac:dyDescent="0.3">
      <c r="A118" s="406" t="s">
        <v>587</v>
      </c>
      <c r="B118" s="329"/>
      <c r="C118" s="329"/>
      <c r="D118" s="329"/>
      <c r="E118" s="329"/>
      <c r="F118" s="330"/>
      <c r="G118" s="16"/>
      <c r="H118" s="16"/>
      <c r="I118" s="16"/>
      <c r="J118" s="16"/>
      <c r="K118" s="16"/>
      <c r="L118" s="16"/>
    </row>
    <row r="119" spans="1:12" x14ac:dyDescent="0.3">
      <c r="A119" s="404" t="s">
        <v>588</v>
      </c>
      <c r="B119" s="330"/>
      <c r="C119" s="286">
        <f>C55</f>
        <v>17089590</v>
      </c>
      <c r="D119" s="286">
        <f>D55</f>
        <v>18782899.300000001</v>
      </c>
      <c r="E119" s="286">
        <f>E55</f>
        <v>20661189.230000004</v>
      </c>
      <c r="F119" s="286">
        <f>F55</f>
        <v>22727308.153000005</v>
      </c>
      <c r="G119" s="16"/>
      <c r="H119" s="16"/>
      <c r="I119" s="16"/>
      <c r="J119" s="16"/>
      <c r="K119" s="16"/>
      <c r="L119" s="16"/>
    </row>
    <row r="120" spans="1:12" ht="14.4" customHeight="1" x14ac:dyDescent="0.3">
      <c r="A120" s="406" t="s">
        <v>589</v>
      </c>
      <c r="B120" s="329"/>
      <c r="C120" s="329"/>
      <c r="D120" s="329"/>
      <c r="E120" s="329"/>
      <c r="F120" s="330"/>
      <c r="G120" s="16"/>
      <c r="H120" s="16"/>
      <c r="I120" s="16"/>
      <c r="J120" s="16"/>
      <c r="K120" s="16"/>
      <c r="L120" s="16"/>
    </row>
    <row r="121" spans="1:12" x14ac:dyDescent="0.3">
      <c r="A121" s="4">
        <v>9</v>
      </c>
      <c r="B121" s="24" t="s">
        <v>563</v>
      </c>
      <c r="C121" s="167">
        <f>C122+C123+C124</f>
        <v>9416.4750000000058</v>
      </c>
      <c r="D121" s="167">
        <f>D122+D123+D124</f>
        <v>7105.7250000000058</v>
      </c>
      <c r="E121" s="167">
        <f>E122+E123+E124</f>
        <v>5733.8334000000032</v>
      </c>
      <c r="F121" s="167">
        <f>F122+F123+F124</f>
        <v>4338.6032249999989</v>
      </c>
      <c r="G121" s="16"/>
      <c r="H121" s="16"/>
      <c r="I121" s="16"/>
      <c r="J121" s="16"/>
      <c r="K121" s="16"/>
      <c r="L121" s="16"/>
    </row>
    <row r="122" spans="1:12" x14ac:dyDescent="0.3">
      <c r="A122" s="4"/>
      <c r="B122" s="53" t="s">
        <v>564</v>
      </c>
      <c r="C122" s="168">
        <f t="shared" ref="C122:F125" si="1">C82</f>
        <v>0</v>
      </c>
      <c r="D122" s="168">
        <f t="shared" si="1"/>
        <v>0</v>
      </c>
      <c r="E122" s="168">
        <f t="shared" si="1"/>
        <v>0</v>
      </c>
      <c r="F122" s="168">
        <f t="shared" si="1"/>
        <v>0</v>
      </c>
      <c r="G122" s="16"/>
      <c r="H122" s="16"/>
      <c r="I122" s="16"/>
      <c r="J122" s="16"/>
      <c r="K122" s="16"/>
      <c r="L122" s="16"/>
    </row>
    <row r="123" spans="1:12" ht="24" customHeight="1" x14ac:dyDescent="0.3">
      <c r="A123" s="4"/>
      <c r="B123" s="53" t="s">
        <v>565</v>
      </c>
      <c r="C123" s="168">
        <f t="shared" si="1"/>
        <v>9416.4750000000058</v>
      </c>
      <c r="D123" s="168">
        <f t="shared" si="1"/>
        <v>7105.7250000000058</v>
      </c>
      <c r="E123" s="168">
        <f t="shared" si="1"/>
        <v>5733.8334000000032</v>
      </c>
      <c r="F123" s="168">
        <f t="shared" si="1"/>
        <v>4338.6032249999989</v>
      </c>
      <c r="G123" s="16"/>
      <c r="H123" s="16"/>
      <c r="I123" s="16"/>
      <c r="J123" s="16"/>
      <c r="K123" s="16"/>
      <c r="L123" s="16"/>
    </row>
    <row r="124" spans="1:12" x14ac:dyDescent="0.3">
      <c r="A124" s="4"/>
      <c r="B124" s="53" t="s">
        <v>566</v>
      </c>
      <c r="C124" s="168">
        <f t="shared" si="1"/>
        <v>0</v>
      </c>
      <c r="D124" s="168">
        <f t="shared" si="1"/>
        <v>0</v>
      </c>
      <c r="E124" s="168">
        <f t="shared" si="1"/>
        <v>0</v>
      </c>
      <c r="F124" s="168">
        <f t="shared" si="1"/>
        <v>0</v>
      </c>
      <c r="G124" s="16"/>
      <c r="H124" s="16"/>
      <c r="I124" s="16"/>
      <c r="J124" s="16"/>
      <c r="K124" s="16"/>
      <c r="L124" s="16"/>
    </row>
    <row r="125" spans="1:12" x14ac:dyDescent="0.3">
      <c r="A125" s="4">
        <v>10</v>
      </c>
      <c r="B125" s="24" t="s">
        <v>590</v>
      </c>
      <c r="C125" s="168">
        <f t="shared" si="1"/>
        <v>231075</v>
      </c>
      <c r="D125" s="168">
        <f t="shared" si="1"/>
        <v>233385.75</v>
      </c>
      <c r="E125" s="168">
        <f t="shared" si="1"/>
        <v>235719.60750000001</v>
      </c>
      <c r="F125" s="168">
        <f t="shared" si="1"/>
        <v>238076.80357500003</v>
      </c>
      <c r="G125" s="16"/>
      <c r="H125" s="16"/>
      <c r="I125" s="16"/>
      <c r="J125" s="16"/>
      <c r="K125" s="16"/>
      <c r="L125" s="16"/>
    </row>
    <row r="126" spans="1:12" x14ac:dyDescent="0.3">
      <c r="A126" s="404" t="s">
        <v>591</v>
      </c>
      <c r="B126" s="330"/>
      <c r="C126" s="286">
        <f>C121+C125</f>
        <v>240491.47500000001</v>
      </c>
      <c r="D126" s="286">
        <f>D121+D125</f>
        <v>240491.47500000001</v>
      </c>
      <c r="E126" s="286">
        <f>E121+E125</f>
        <v>241453.44090000002</v>
      </c>
      <c r="F126" s="286">
        <f>F121+F125</f>
        <v>242415.40680000003</v>
      </c>
      <c r="G126" s="16"/>
      <c r="H126" s="16"/>
      <c r="I126" s="16"/>
      <c r="J126" s="16"/>
      <c r="K126" s="16"/>
      <c r="L126" s="16"/>
    </row>
    <row r="127" spans="1:12" x14ac:dyDescent="0.3">
      <c r="A127" s="404" t="s">
        <v>115</v>
      </c>
      <c r="B127" s="330"/>
      <c r="C127" s="286">
        <f>C119-C126</f>
        <v>16849098.524999999</v>
      </c>
      <c r="D127" s="286">
        <f>D119-D126</f>
        <v>18542407.824999999</v>
      </c>
      <c r="E127" s="286">
        <f>E119-E126</f>
        <v>20419735.789100002</v>
      </c>
      <c r="F127" s="286">
        <f>F119-F126</f>
        <v>22484892.746200003</v>
      </c>
      <c r="G127" s="16"/>
      <c r="H127" s="16"/>
      <c r="I127" s="16"/>
      <c r="J127" s="16"/>
      <c r="K127" s="16"/>
      <c r="L127" s="16"/>
    </row>
    <row r="128" spans="1:12" x14ac:dyDescent="0.3">
      <c r="A128" s="25"/>
      <c r="B128" s="286" t="s">
        <v>592</v>
      </c>
      <c r="C128" s="286">
        <f>C117+C127</f>
        <v>27478944.161587499</v>
      </c>
      <c r="D128" s="286">
        <f>D117+D127</f>
        <v>24113294.56302182</v>
      </c>
      <c r="E128" s="286">
        <f>E117+E127</f>
        <v>25662750.541296195</v>
      </c>
      <c r="F128" s="286">
        <f>F117+F127</f>
        <v>27400035.512570508</v>
      </c>
      <c r="G128" s="16"/>
      <c r="H128" s="16"/>
      <c r="I128" s="16"/>
      <c r="J128" s="16"/>
      <c r="K128" s="16"/>
      <c r="L128" s="16"/>
    </row>
    <row r="129" spans="1:12" x14ac:dyDescent="0.3">
      <c r="A129" s="245"/>
      <c r="B129" s="26" t="s">
        <v>593</v>
      </c>
      <c r="C129" s="169">
        <f>C110+C119</f>
        <v>218704077.37</v>
      </c>
      <c r="D129" s="169">
        <f>D110+D119</f>
        <v>216258133.62637001</v>
      </c>
      <c r="E129" s="169">
        <f>E110+E119</f>
        <v>218728257.42548001</v>
      </c>
      <c r="F129" s="169">
        <f>F110+F119</f>
        <v>221386210.21759003</v>
      </c>
      <c r="G129" s="16"/>
      <c r="H129" s="16"/>
      <c r="I129" s="16"/>
      <c r="J129" s="16"/>
      <c r="K129" s="16"/>
      <c r="L129" s="16"/>
    </row>
    <row r="130" spans="1:12" x14ac:dyDescent="0.3">
      <c r="A130" s="245"/>
      <c r="B130" s="27" t="s">
        <v>594</v>
      </c>
      <c r="C130" s="169">
        <f>C116+C126</f>
        <v>191225133.2084125</v>
      </c>
      <c r="D130" s="169">
        <f>D116+D126</f>
        <v>192144839.06334817</v>
      </c>
      <c r="E130" s="169">
        <f>E116+E126</f>
        <v>193065506.88418382</v>
      </c>
      <c r="F130" s="169">
        <f>F116+F126</f>
        <v>193986174.70501953</v>
      </c>
      <c r="G130" s="16"/>
      <c r="H130" s="16"/>
      <c r="I130" s="16"/>
      <c r="J130" s="16"/>
      <c r="K130" s="16"/>
      <c r="L130" s="16"/>
    </row>
    <row r="131" spans="1:12" x14ac:dyDescent="0.3">
      <c r="A131" s="404" t="s">
        <v>595</v>
      </c>
      <c r="B131" s="330"/>
      <c r="C131" s="286">
        <f>C129-C130</f>
        <v>27478944.161587507</v>
      </c>
      <c r="D131" s="286">
        <f>D129-D130</f>
        <v>24113294.563021839</v>
      </c>
      <c r="E131" s="286">
        <f>E129-E130</f>
        <v>25662750.541296184</v>
      </c>
      <c r="F131" s="286">
        <f>F129-F130</f>
        <v>27400035.5125705</v>
      </c>
      <c r="G131" s="16"/>
      <c r="H131" s="16"/>
      <c r="I131" s="16"/>
      <c r="J131" s="16"/>
      <c r="K131" s="16"/>
      <c r="L131" s="16"/>
    </row>
    <row r="132" spans="1:12" x14ac:dyDescent="0.3">
      <c r="A132" s="4">
        <v>13</v>
      </c>
      <c r="B132" s="24" t="s">
        <v>596</v>
      </c>
      <c r="C132" s="126">
        <f>C106*0.01</f>
        <v>1972779.5637000001</v>
      </c>
      <c r="D132" s="126">
        <f>D106*0.01</f>
        <v>1974752.3432637001</v>
      </c>
      <c r="E132" s="126">
        <f>E106*0.01</f>
        <v>1980670.6819548002</v>
      </c>
      <c r="F132" s="126">
        <f>F106*0.01</f>
        <v>1986589.0206459004</v>
      </c>
      <c r="G132" s="16"/>
      <c r="H132" s="16"/>
      <c r="I132" s="16"/>
      <c r="J132" s="16"/>
      <c r="K132" s="16"/>
      <c r="L132" s="16"/>
    </row>
    <row r="133" spans="1:12" x14ac:dyDescent="0.3">
      <c r="A133" s="404" t="s">
        <v>597</v>
      </c>
      <c r="B133" s="330"/>
      <c r="C133" s="286">
        <f>C131-C132</f>
        <v>25506164.597887505</v>
      </c>
      <c r="D133" s="286">
        <f>D131-D132</f>
        <v>22138542.219758138</v>
      </c>
      <c r="E133" s="286">
        <f>E131-E132</f>
        <v>23682079.859341383</v>
      </c>
      <c r="F133" s="286">
        <f>F131-F132</f>
        <v>25413446.491924599</v>
      </c>
      <c r="G133" s="16"/>
      <c r="H133" s="16"/>
      <c r="I133" s="16"/>
      <c r="J133" s="16"/>
      <c r="K133" s="16"/>
      <c r="L133" s="16"/>
    </row>
    <row r="134" spans="1:12" ht="24" customHeight="1" x14ac:dyDescent="0.3">
      <c r="B134" s="244" t="s">
        <v>598</v>
      </c>
    </row>
  </sheetData>
  <mergeCells count="46">
    <mergeCell ref="A126:B126"/>
    <mergeCell ref="A127:B127"/>
    <mergeCell ref="A131:B131"/>
    <mergeCell ref="A133:B133"/>
    <mergeCell ref="A120:F120"/>
    <mergeCell ref="A119:B119"/>
    <mergeCell ref="A110:B110"/>
    <mergeCell ref="A116:B116"/>
    <mergeCell ref="A117:B117"/>
    <mergeCell ref="A105:F105"/>
    <mergeCell ref="A111:F111"/>
    <mergeCell ref="A118:F118"/>
    <mergeCell ref="A1:E1"/>
    <mergeCell ref="A7:B7"/>
    <mergeCell ref="A15:B15"/>
    <mergeCell ref="A24:B24"/>
    <mergeCell ref="A27:B27"/>
    <mergeCell ref="A3:L3"/>
    <mergeCell ref="A4:A5"/>
    <mergeCell ref="B4:B5"/>
    <mergeCell ref="A14:B14"/>
    <mergeCell ref="A21:B21"/>
    <mergeCell ref="A22:B22"/>
    <mergeCell ref="A26:B26"/>
    <mergeCell ref="C4:F4"/>
    <mergeCell ref="A6:F6"/>
    <mergeCell ref="A23:F23"/>
    <mergeCell ref="A31:B31"/>
    <mergeCell ref="A32:B32"/>
    <mergeCell ref="A33:B33"/>
    <mergeCell ref="A60:B60"/>
    <mergeCell ref="A34:F34"/>
    <mergeCell ref="C103:F103"/>
    <mergeCell ref="A102:L102"/>
    <mergeCell ref="A103:A104"/>
    <mergeCell ref="B103:B104"/>
    <mergeCell ref="A93:B93"/>
    <mergeCell ref="A94:B94"/>
    <mergeCell ref="A96:B96"/>
    <mergeCell ref="A97:B97"/>
    <mergeCell ref="A98:B98"/>
    <mergeCell ref="A86:B86"/>
    <mergeCell ref="A87:B87"/>
    <mergeCell ref="A88:B88"/>
    <mergeCell ref="A92:B92"/>
    <mergeCell ref="A95:F95"/>
  </mergeCells>
  <dataValidations count="1">
    <dataValidation errorStyle="information" showInputMessage="1" showErrorMessage="1" sqref="HM10:HN13 RI10:RJ13 ABE10:ABF13 ALA10:ALB13 AUW10:AUX13 BES10:BET13 BOO10:BOP13 BYK10:BYL13 CIG10:CIH13 CSC10:CSD13 DBY10:DBZ13 DLU10:DLV13 DVQ10:DVR13 EFM10:EFN13 EPI10:EPJ13 EZE10:EZF13 FJA10:FJB13 FSW10:FSX13 GCS10:GCT13 GMO10:GMP13 GWK10:GWL13 HGG10:HGH13 HQC10:HQD13 HZY10:HZZ13 IJU10:IJV13 ITQ10:ITR13 JDM10:JDN13 JNI10:JNJ13 JXE10:JXF13 KHA10:KHB13 KQW10:KQX13 LAS10:LAT13 LKO10:LKP13 LUK10:LUL13 MEG10:MEH13 MOC10:MOD13 MXY10:MXZ13 NHU10:NHV13 NRQ10:NRR13 OBM10:OBN13 OLI10:OLJ13 OVE10:OVF13 PFA10:PFB13 POW10:POX13 PYS10:PYT13 QIO10:QIP13 QSK10:QSL13 RCG10:RCH13 RMC10:RMD13 RVY10:RVZ13 SFU10:SFV13 SPQ10:SPR13 SZM10:SZN13 TJI10:TJJ13 TTE10:TTF13 UDA10:UDB13 UMW10:UMX13 UWS10:UWT13 VGO10:VGP13 VQK10:VQL13 WAG10:WAH13 WKC10:WKD13 WTY10:WTZ13 HM8:HN8 HL96:HN96 RH96:RJ96 ABD96:ABF96 AKZ96:ALB96 AUV96:AUX96 BER96:BET96 BON96:BOP96 BYJ96:BYL96 CIF96:CIH96 CSB96:CSD96 DBX96:DBZ96 DLT96:DLV96 DVP96:DVR96 EFL96:EFN96 EPH96:EPJ96 EZD96:EZF96 FIZ96:FJB96 FSV96:FSX96 GCR96:GCT96 GMN96:GMP96 GWJ96:GWL96 HGF96:HGH96 HQB96:HQD96 HZX96:HZZ96 IJT96:IJV96 ITP96:ITR96 JDL96:JDN96 JNH96:JNJ96 JXD96:JXF96 KGZ96:KHB96 KQV96:KQX96 LAR96:LAT96 LKN96:LKP96 LUJ96:LUL96 MEF96:MEH96 MOB96:MOD96 MXX96:MXZ96 NHT96:NHV96 NRP96:NRR96 OBL96:OBN96 OLH96:OLJ96 OVD96:OVF96 PEZ96:PFB96 POV96:POX96 PYR96:PYT96 QIN96:QIP96 QSJ96:QSL96 RCF96:RCH96 RMB96:RMD96 RVX96:RVZ96 SFT96:SFV96 SPP96:SPR96 SZL96:SZN96 TJH96:TJJ96 TTD96:TTF96 UCZ96:UDB96 UMV96:UMX96 UWR96:UWT96 VGN96:VGP96 VQJ96:VQL96 WAF96:WAH96 WKB96:WKD96 WTX96:WTZ96 HM72:HN74 RI72:RJ74 ABE72:ABF74 ALA72:ALB74 AUW72:AUX74 BES72:BET74 BOO72:BOP74 BYK72:BYL74 CIG72:CIH74 CSC72:CSD74 DBY72:DBZ74 DLU72:DLV74 DVQ72:DVR74 EFM72:EFN74 EPI72:EPJ74 EZE72:EZF74 FJA72:FJB74 FSW72:FSX74 GCS72:GCT74 GMO72:GMP74 GWK72:GWL74 HGG72:HGH74 HQC72:HQD74 HZY72:HZZ74 IJU72:IJV74 ITQ72:ITR74 JDM72:JDN74 JNI72:JNJ74 JXE72:JXF74 KHA72:KHB74 KQW72:KQX74 LAS72:LAT74 LKO72:LKP74 LUK72:LUL74 MEG72:MEH74 MOC72:MOD74 MXY72:MXZ74 NHU72:NHV74 NRQ72:NRR74 OBM72:OBN74 OLI72:OLJ74 OVE72:OVF74 PFA72:PFB74 POW72:POX74 PYS72:PYT74 QIO72:QIP74 QSK72:QSL74 RCG72:RCH74 RMC72:RMD74 RVY72:RVZ74 SFU72:SFV74 SPQ72:SPR74 SZM72:SZN74 TJI72:TJJ74 TTE72:TTF74 UDA72:UDB74 UMW72:UMX74 UWS72:UWT74 VGO72:VGP74 VQK72:VQL74 WAG72:WAH74 WKC72:WKD74 WTY72:WTZ74 HM28:HN30 RI28:RJ30 ABE28:ABF30 ALA28:ALB30 AUW28:AUX30 BES28:BET30 BOO28:BOP30 BYK28:BYL30 CIG28:CIH30 CSC28:CSD30 DBY28:DBZ30 DLU28:DLV30 DVQ28:DVR30 EFM28:EFN30 EPI28:EPJ30 EZE28:EZF30 FJA28:FJB30 FSW28:FSX30 GCS28:GCT30 GMO28:GMP30 GWK28:GWL30 HGG28:HGH30 HQC28:HQD30 HZY28:HZZ30 IJU28:IJV30 ITQ28:ITR30 JDM28:JDN30 JNI28:JNJ30 JXE28:JXF30 KHA28:KHB30 KQW28:KQX30 LAS28:LAT30 LKO28:LKP30 LUK28:LUL30 MEG28:MEH30 MOC28:MOD30 MXY28:MXZ30 NHU28:NHV30 NRQ28:NRR30 OBM28:OBN30 OLI28:OLJ30 OVE28:OVF30 PFA28:PFB30 POW28:POX30 PYS28:PYT30 QIO28:QIP30 QSK28:QSL30 RCG28:RCH30 RMC28:RMD30 RVY28:RVZ30 SFU28:SFV30 SPQ28:SPR30 SZM28:SZN30 TJI28:TJJ30 TTE28:TTF30 UDA28:UDB30 UMW28:UMX30 UWS28:UWT30 VGO28:VGP30 VQK28:VQL30 WAG28:WAH30 WKC28:WKD30 WTY28:WTZ30 WTY25:WTZ25 WTY8:WTZ8 WKC25:WKD25 WKC8:WKD8 WAG25:WAH25 WAG8:WAH8 VQK25:VQL25 VQK8:VQL8 VGO25:VGP25 VGO8:VGP8 UWS25:UWT25 UWS8:UWT8 UMW25:UMX25 UMW8:UMX8 UDA25:UDB25 UDA8:UDB8 TTE25:TTF25 TTE8:TTF8 TJI25:TJJ25 TJI8:TJJ8 SZM25:SZN25 SZM8:SZN8 SPQ25:SPR25 SPQ8:SPR8 SFU25:SFV25 SFU8:SFV8 RVY25:RVZ25 RVY8:RVZ8 RMC25:RMD25 RMC8:RMD8 RCG25:RCH25 RCG8:RCH8 QSK25:QSL25 QSK8:QSL8 QIO25:QIP25 QIO8:QIP8 PYS25:PYT25 PYS8:PYT8 POW25:POX25 POW8:POX8 PFA25:PFB25 PFA8:PFB8 OVE25:OVF25 OVE8:OVF8 OLI25:OLJ25 OLI8:OLJ8 OBM25:OBN25 OBM8:OBN8 NRQ25:NRR25 NRQ8:NRR8 NHU25:NHV25 NHU8:NHV8 MXY25:MXZ25 MXY8:MXZ8 MOC25:MOD25 MOC8:MOD8 MEG25:MEH25 MEG8:MEH8 LUK25:LUL25 LUK8:LUL8 LKO25:LKP25 LKO8:LKP8 LAS25:LAT25 LAS8:LAT8 KQW25:KQX25 KQW8:KQX8 KHA25:KHB25 KHA8:KHB8 JXE25:JXF25 JXE8:JXF8 JNI25:JNJ25 JNI8:JNJ8 JDM25:JDN25 JDM8:JDN8 ITQ25:ITR25 ITQ8:ITR8 IJU25:IJV25 IJU8:IJV8 HZY25:HZZ25 HZY8:HZZ8 HQC25:HQD25 HQC8:HQD8 HGG25:HGH25 HGG8:HGH8 GWK25:GWL25 GWK8:GWL8 GMO25:GMP25 GMO8:GMP8 GCS25:GCT25 GCS8:GCT8 FSW25:FSX25 FSW8:FSX8 FJA25:FJB25 FJA8:FJB8 EZE25:EZF25 EZE8:EZF8 EPI25:EPJ25 EPI8:EPJ8 EFM25:EFN25 EFM8:EFN8 DVQ25:DVR25 DVQ8:DVR8 DLU25:DLV25 DLU8:DLV8 DBY25:DBZ25 DBY8:DBZ8 CSC25:CSD25 CSC8:CSD8 CIG25:CIH25 CIG8:CIH8 BYK25:BYL25 BYK8:BYL8 BOO25:BOP25 BOO8:BOP8 BES25:BET25 BES8:BET8 AUW25:AUX25 AUW8:AUX8 ALA25:ALB25 ALA8:ALB8 ABE25:ABF25 ABE8:ABF8 RI25:RJ25 RI8:RJ8 HM25:HN25 HL20:HN20 HL91:HN94 RH20:RJ20 RH91:RJ94 ABD20:ABF20 ABD91:ABF94 AKZ20:ALB20 AKZ91:ALB94 AUV20:AUX20 AUV91:AUX94 BER20:BET20 BER91:BET94 BON20:BOP20 BON91:BOP94 BYJ20:BYL20 BYJ91:BYL94 CIF20:CIH20 CIF91:CIH94 CSB20:CSD20 CSB91:CSD94 DBX20:DBZ20 DBX91:DBZ94 DLT20:DLV20 DLT91:DLV94 DVP20:DVR20 DVP91:DVR94 EFL20:EFN20 EFL91:EFN94 EPH20:EPJ20 EPH91:EPJ94 EZD20:EZF20 EZD91:EZF94 FIZ20:FJB20 FIZ91:FJB94 FSV20:FSX20 FSV91:FSX94 GCR20:GCT20 GCR91:GCT94 GMN20:GMP20 GMN91:GMP94 GWJ20:GWL20 GWJ91:GWL94 HGF20:HGH20 HGF91:HGH94 HQB20:HQD20 HQB91:HQD94 HZX20:HZZ20 HZX91:HZZ94 IJT20:IJV20 IJT91:IJV94 ITP20:ITR20 ITP91:ITR94 JDL20:JDN20 JDL91:JDN94 JNH20:JNJ20 JNH91:JNJ94 JXD20:JXF20 JXD91:JXF94 KGZ20:KHB20 KGZ91:KHB94 KQV20:KQX20 KQV91:KQX94 LAR20:LAT20 LAR91:LAT94 LKN20:LKP20 LKN91:LKP94 LUJ20:LUL20 LUJ91:LUL94 MEF20:MEH20 MEF91:MEH94 MOB20:MOD20 MOB91:MOD94 MXX20:MXZ20 MXX91:MXZ94 NHT20:NHV20 NHT91:NHV94 NRP20:NRR20 NRP91:NRR94 OBL20:OBN20 OBL91:OBN94 OLH20:OLJ20 OLH91:OLJ94 OVD20:OVF20 OVD91:OVF94 PEZ20:PFB20 PEZ91:PFB94 POV20:POX20 POV91:POX94 PYR20:PYT20 PYR91:PYT94 QIN20:QIP20 QIN91:QIP94 QSJ20:QSL20 QSJ91:QSL94 RCF20:RCH20 RCF91:RCH94 RMB20:RMD20 RMB91:RMD94 RVX20:RVZ20 RVX91:RVZ94 SFT20:SFV20 SFT91:SFV94 SPP20:SPR20 SPP91:SPR94 SZL20:SZN20 SZL91:SZN94 TJH20:TJJ20 TJH91:TJJ94 TTD20:TTF20 TTD91:TTF94 UCZ20:UDB20 UCZ91:UDB94 UMV20:UMX20 UMV91:UMX94 UWR20:UWT20 UWR91:UWT94 VGN20:VGP20 VGN91:VGP94 VQJ20:VQL20 VQJ91:VQL94 WAF20:WAH20 WAF91:WAH94 WKB20:WKD20 WKB91:WKD94 WTX20:WTZ20 WTX91:WTZ94 C20:F20 C80:F81 C87:F87 WTX80:WTZ87 C96:F96 WKB80:WKD87 WAF80:WAH87 VQJ80:VQL87 VGN80:VGP87 UWR80:UWT87 UMV80:UMX87 UCZ80:UDB87 TTD80:TTF87 TJH80:TJJ87 SZL80:SZN87 SPP80:SPR87 SFT80:SFV87 RVX80:RVZ87 RMB80:RMD87 RCF80:RCH87 QSJ80:QSL87 QIN80:QIP87 PYR80:PYT87 POV80:POX87 PEZ80:PFB87 OVD80:OVF87 OLH80:OLJ87 OBL80:OBN87 NRP80:NRR87 NHT80:NHV87 MXX80:MXZ87 MOB80:MOD87 MEF80:MEH87 LUJ80:LUL87 LKN80:LKP87 LAR80:LAT87 KQV80:KQX87 KGZ80:KHB87 JXD80:JXF87 JNH80:JNJ87 JDL80:JDN87 ITP80:ITR87 IJT80:IJV87 HZX80:HZZ87 HQB80:HQD87 HGF80:HGH87 GWJ80:GWL87 GMN80:GMP87 GCR80:GCT87 FSV80:FSX87 FIZ80:FJB87 EZD80:EZF87 EPH80:EPJ87 EFL80:EFN87 DVP80:DVR87 DLT80:DLV87 DBX80:DBZ87 CSB80:CSD87 CIF80:CIH87 BYJ80:BYL87 BON80:BOP87 BER80:BET87 AUV80:AUX87 AKZ80:ALB87 ABD80:ABF87 RH80:RJ87 HL80:HN87 C92:F94" xr:uid="{00000000-0002-0000-0A00-000000000000}"/>
  </dataValidations>
  <pageMargins left="0.45833333333333331" right="0.45833333333333331" top="0.74803149606299213" bottom="0.74803149606299213" header="0.31496062992125978" footer="0.31496062992125978"/>
  <pageSetup paperSize="9" fitToHeight="0" orientation="landscape" blackAndWhite="1" horizontalDpi="300" verticalDpi="300"/>
  <rowBreaks count="1" manualBreakCount="1">
    <brk id="101"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3.8" x14ac:dyDescent="0.3"/>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1A-Bilant</vt:lpstr>
      <vt:lpstr>1B-ContPP</vt:lpstr>
      <vt:lpstr>1C-Analiza_fin_extinsa</vt:lpstr>
      <vt:lpstr>1D-Analiza_fin_indicatori</vt:lpstr>
      <vt:lpstr>1E-Intreprindere_in_dificultate</vt:lpstr>
      <vt:lpstr>2B-Investitie</vt:lpstr>
      <vt:lpstr>2A-Buget_cerere</vt:lpstr>
      <vt:lpstr>3A-Proiectii_fin_investitie</vt:lpstr>
      <vt:lpstr>3B-Rentabilitate_investitie</vt:lpstr>
      <vt:lpstr>LIST</vt:lpstr>
      <vt:lpstr>4-Proiectii_fin_intreprindere</vt:lpstr>
      <vt:lpstr>Sheet1</vt:lpstr>
      <vt:lpstr>'3A-Proiectii_fin_investitie'!Print_Area</vt:lpstr>
      <vt:lpstr>TVA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Alexandru Vesa</cp:lastModifiedBy>
  <dcterms:created xsi:type="dcterms:W3CDTF">2020-10-18T15:58:51Z</dcterms:created>
  <dcterms:modified xsi:type="dcterms:W3CDTF">2020-11-22T23:30:52Z</dcterms:modified>
</cp:coreProperties>
</file>