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filterPrivacy="1" defaultThemeVersion="124226"/>
  <xr:revisionPtr revIDLastSave="44" documentId="8_{A1E04173-B882-4A59-BFA0-0EC15B9D8C18}" xr6:coauthVersionLast="45" xr6:coauthVersionMax="45" xr10:uidLastSave="{9130276C-60AE-46E5-9E5C-871A9763B46B}"/>
  <bookViews>
    <workbookView xWindow="-108" yWindow="-108" windowWidth="23256" windowHeight="12576" activeTab="1" xr2:uid="{B50F6633-E141-4A97-8FEB-7E17281CBA1A}"/>
  </bookViews>
  <sheets>
    <sheet name="1A-Bilant" sheetId="1" r:id="rId1"/>
    <sheet name="1B-ContPP" sheetId="2" r:id="rId2"/>
    <sheet name="1C-Analiza_fin_extinsa" sheetId="3" r:id="rId3"/>
    <sheet name="1D-Analiza_fin_indicatori" sheetId="5" r:id="rId4"/>
    <sheet name="1E-Intreprindere_in_dificultate" sheetId="22" r:id="rId5"/>
    <sheet name="2B-Investitie" sheetId="10" r:id="rId6"/>
    <sheet name="2A-Buget_cerere" sheetId="15" r:id="rId7"/>
    <sheet name="3A-Proiectii_fin_investitie" sheetId="6" r:id="rId8"/>
    <sheet name="3B-Rentabilitate_investitie" sheetId="12" r:id="rId9"/>
    <sheet name="LIST" sheetId="24" state="hidden" r:id="rId10"/>
    <sheet name="4-Proiectii_fin_intreprindere" sheetId="23" r:id="rId11"/>
    <sheet name="Sheet1" sheetId="25" r:id="rId12"/>
  </sheets>
  <definedNames>
    <definedName name="OLE_LINK1" localSheetId="0">'1A-Bilant'!#REF!</definedName>
    <definedName name="_xlnm.Print_Area" localSheetId="7">'3A-Proiectii_fin_investitie'!$A$1:$K$195</definedName>
    <definedName name="TVA">LIST!$A$2:$B$3</definedName>
  </definedNames>
  <calcPr calcId="191029"/>
</workbook>
</file>

<file path=xl/calcChain.xml><?xml version="1.0" encoding="utf-8"?>
<calcChain xmlns="http://schemas.openxmlformats.org/spreadsheetml/2006/main">
  <c r="D91" i="23" l="1"/>
  <c r="E91" i="23"/>
  <c r="F91" i="23"/>
  <c r="C91" i="23"/>
  <c r="D75" i="23"/>
  <c r="E75" i="23"/>
  <c r="F75" i="23"/>
  <c r="C75" i="23"/>
  <c r="E100" i="6"/>
  <c r="F100" i="6"/>
  <c r="G100" i="6"/>
  <c r="D100" i="6"/>
  <c r="C97" i="23"/>
  <c r="D83" i="23"/>
  <c r="E83" i="23" s="1"/>
  <c r="F83" i="23" s="1"/>
  <c r="C83" i="23"/>
  <c r="C78" i="23"/>
  <c r="C79" i="23" s="1"/>
  <c r="C59" i="23"/>
  <c r="D54" i="23"/>
  <c r="D53" i="23"/>
  <c r="E53" i="23" s="1"/>
  <c r="C53" i="23"/>
  <c r="C54" i="23" s="1"/>
  <c r="E68" i="6"/>
  <c r="F53" i="23" l="1"/>
  <c r="F54" i="23" s="1"/>
  <c r="E54" i="23"/>
  <c r="F85" i="6"/>
  <c r="E85" i="6"/>
  <c r="E106" i="6" l="1"/>
  <c r="F106" i="6" s="1"/>
  <c r="G106" i="6" s="1"/>
  <c r="E105" i="6"/>
  <c r="D78" i="23" s="1"/>
  <c r="D79" i="23" s="1"/>
  <c r="E88" i="6"/>
  <c r="F88" i="6" s="1"/>
  <c r="G88" i="6" s="1"/>
  <c r="D32" i="6"/>
  <c r="E32" i="6" s="1"/>
  <c r="E79" i="6"/>
  <c r="F79" i="6" s="1"/>
  <c r="G79" i="6" s="1"/>
  <c r="F105" i="6" l="1"/>
  <c r="D137" i="6"/>
  <c r="F70" i="6"/>
  <c r="G70" i="6" s="1"/>
  <c r="D81" i="6"/>
  <c r="D77" i="6" s="1"/>
  <c r="D82" i="6"/>
  <c r="D86" i="6"/>
  <c r="C70" i="23" s="1"/>
  <c r="C71" i="23" s="1"/>
  <c r="D89" i="6"/>
  <c r="D92" i="6"/>
  <c r="D58" i="6"/>
  <c r="E49" i="6"/>
  <c r="F49" i="6" s="1"/>
  <c r="G49" i="6" s="1"/>
  <c r="F32" i="6"/>
  <c r="G32" i="6" s="1"/>
  <c r="E29" i="6"/>
  <c r="F29" i="6" s="1"/>
  <c r="G29" i="6" s="1"/>
  <c r="D50" i="6"/>
  <c r="E50" i="6" s="1"/>
  <c r="F50" i="6" s="1"/>
  <c r="G50" i="6" s="1"/>
  <c r="D49" i="6"/>
  <c r="D46" i="6"/>
  <c r="D42" i="6"/>
  <c r="E42" i="6" s="1"/>
  <c r="F42" i="6" s="1"/>
  <c r="G42" i="6" s="1"/>
  <c r="D29" i="6"/>
  <c r="D28" i="6"/>
  <c r="D23" i="6"/>
  <c r="E23" i="6" s="1"/>
  <c r="F23" i="6" s="1"/>
  <c r="G23" i="6" s="1"/>
  <c r="E78" i="23" l="1"/>
  <c r="E79" i="23" s="1"/>
  <c r="G105" i="6"/>
  <c r="F78" i="23" s="1"/>
  <c r="F79" i="23" s="1"/>
  <c r="D17" i="6"/>
  <c r="G8" i="15"/>
  <c r="G5" i="15"/>
  <c r="C5" i="15"/>
  <c r="D73" i="6" l="1"/>
  <c r="E73" i="6" s="1"/>
  <c r="F73" i="6" s="1"/>
  <c r="G73" i="6" s="1"/>
  <c r="E17" i="6"/>
  <c r="F17" i="6" s="1"/>
  <c r="G17" i="6" s="1"/>
  <c r="C32" i="2"/>
  <c r="C41" i="1"/>
  <c r="B41" i="1"/>
  <c r="C11" i="1"/>
  <c r="B11" i="1"/>
  <c r="C10" i="1"/>
  <c r="B10" i="1"/>
  <c r="F18" i="22" l="1"/>
  <c r="F16" i="22"/>
  <c r="F15" i="22"/>
  <c r="E188" i="6" l="1"/>
  <c r="F188" i="6"/>
  <c r="G188" i="6"/>
  <c r="E187" i="6"/>
  <c r="F187" i="6"/>
  <c r="G187" i="6"/>
  <c r="E186" i="6"/>
  <c r="F186" i="6"/>
  <c r="G186" i="6"/>
  <c r="E131" i="6"/>
  <c r="E132" i="6" s="1"/>
  <c r="F131" i="6"/>
  <c r="F132" i="6" s="1"/>
  <c r="G131" i="6"/>
  <c r="G132" i="6" s="1"/>
  <c r="G124" i="6"/>
  <c r="G125" i="6" s="1"/>
  <c r="G133" i="6" s="1"/>
  <c r="E123" i="6"/>
  <c r="F123" i="6"/>
  <c r="G123" i="6"/>
  <c r="E122" i="6"/>
  <c r="E124" i="6" s="1"/>
  <c r="F122" i="6"/>
  <c r="F180" i="6" s="1"/>
  <c r="G122" i="6"/>
  <c r="G180" i="6" s="1"/>
  <c r="C37" i="10"/>
  <c r="C35" i="10"/>
  <c r="C36" i="10"/>
  <c r="E19" i="10"/>
  <c r="E6" i="15"/>
  <c r="E7" i="15"/>
  <c r="E8" i="15"/>
  <c r="E9" i="15"/>
  <c r="E10" i="15"/>
  <c r="E11" i="15"/>
  <c r="E12" i="15"/>
  <c r="E13" i="15"/>
  <c r="E14" i="15"/>
  <c r="E15" i="15"/>
  <c r="E16" i="15"/>
  <c r="E17" i="15"/>
  <c r="F124" i="6" l="1"/>
  <c r="F125" i="6" s="1"/>
  <c r="F133" i="6" s="1"/>
  <c r="E180" i="6"/>
  <c r="E125" i="6"/>
  <c r="E133" i="6" s="1"/>
  <c r="D18" i="15" l="1"/>
  <c r="F18" i="15"/>
  <c r="G18" i="15"/>
  <c r="C18" i="15"/>
  <c r="D59" i="23" l="1"/>
  <c r="E59" i="23" s="1"/>
  <c r="F59" i="23" s="1"/>
  <c r="D58" i="23"/>
  <c r="E58" i="23" s="1"/>
  <c r="F58" i="23" s="1"/>
  <c r="D102" i="6"/>
  <c r="E102" i="6" s="1"/>
  <c r="F102" i="6" s="1"/>
  <c r="G102" i="6" s="1"/>
  <c r="E98" i="6"/>
  <c r="F98" i="6" s="1"/>
  <c r="G98" i="6" s="1"/>
  <c r="C67" i="23"/>
  <c r="C68" i="23" s="1"/>
  <c r="E81" i="6"/>
  <c r="F81" i="6" s="1"/>
  <c r="G81" i="6" s="1"/>
  <c r="E46" i="6"/>
  <c r="F46" i="6" s="1"/>
  <c r="G46" i="6" s="1"/>
  <c r="D25" i="6"/>
  <c r="E25" i="6" s="1"/>
  <c r="F25" i="6" s="1"/>
  <c r="G25" i="6" s="1"/>
  <c r="B56" i="12" l="1"/>
  <c r="C29" i="12" s="1"/>
  <c r="E29" i="12" s="1"/>
  <c r="D67" i="23" l="1"/>
  <c r="D68" i="23" s="1"/>
  <c r="C43" i="12"/>
  <c r="E43" i="12" s="1"/>
  <c r="C35" i="12"/>
  <c r="E35" i="12" s="1"/>
  <c r="C40" i="12"/>
  <c r="E40" i="12" s="1"/>
  <c r="C32" i="12"/>
  <c r="E32" i="12" s="1"/>
  <c r="C39" i="12"/>
  <c r="E39" i="12" s="1"/>
  <c r="C31" i="12"/>
  <c r="E31" i="12" s="1"/>
  <c r="C36" i="12"/>
  <c r="E36" i="12" s="1"/>
  <c r="C28" i="12"/>
  <c r="E28" i="12" s="1"/>
  <c r="C42" i="12"/>
  <c r="E42" i="12" s="1"/>
  <c r="C38" i="12"/>
  <c r="E38" i="12" s="1"/>
  <c r="C34" i="12"/>
  <c r="E34" i="12" s="1"/>
  <c r="C30" i="12"/>
  <c r="E30" i="12" s="1"/>
  <c r="C41" i="12"/>
  <c r="E41" i="12" s="1"/>
  <c r="C37" i="12"/>
  <c r="E37" i="12" s="1"/>
  <c r="C33" i="12"/>
  <c r="E33" i="12" s="1"/>
  <c r="E67" i="23" l="1"/>
  <c r="E68" i="23" s="1"/>
  <c r="G85" i="6"/>
  <c r="F67" i="23" l="1"/>
  <c r="F68" i="23" s="1"/>
  <c r="F66" i="23" s="1"/>
  <c r="D125" i="23"/>
  <c r="E125" i="23"/>
  <c r="F125" i="23"/>
  <c r="C125" i="23"/>
  <c r="D124" i="23"/>
  <c r="E124" i="23"/>
  <c r="F124" i="23"/>
  <c r="C124" i="23"/>
  <c r="D123" i="23"/>
  <c r="E123" i="23"/>
  <c r="F123" i="23"/>
  <c r="C123" i="23"/>
  <c r="D122" i="23"/>
  <c r="E122" i="23"/>
  <c r="F122" i="23"/>
  <c r="C122" i="23"/>
  <c r="D115" i="23"/>
  <c r="E115" i="23"/>
  <c r="F115" i="23"/>
  <c r="C115" i="23"/>
  <c r="D81" i="23"/>
  <c r="D80" i="23" s="1"/>
  <c r="E81" i="23"/>
  <c r="E80" i="23" s="1"/>
  <c r="F81" i="23"/>
  <c r="F80" i="23" s="1"/>
  <c r="C81" i="23"/>
  <c r="C80" i="23" s="1"/>
  <c r="D77" i="23"/>
  <c r="E77" i="23"/>
  <c r="F77" i="23"/>
  <c r="C77" i="23"/>
  <c r="D72" i="23"/>
  <c r="E72" i="23"/>
  <c r="F72" i="23"/>
  <c r="C72" i="23"/>
  <c r="C69" i="23"/>
  <c r="D66" i="23"/>
  <c r="E66" i="23"/>
  <c r="C66" i="23"/>
  <c r="D55" i="23"/>
  <c r="E55" i="23"/>
  <c r="F55" i="23"/>
  <c r="C55" i="23"/>
  <c r="D52" i="23"/>
  <c r="E52" i="23"/>
  <c r="F52" i="23"/>
  <c r="C52" i="23"/>
  <c r="D49" i="23"/>
  <c r="E49" i="23"/>
  <c r="F49" i="23"/>
  <c r="C49" i="23"/>
  <c r="D46" i="23"/>
  <c r="E46" i="23"/>
  <c r="F46" i="23"/>
  <c r="C46" i="23"/>
  <c r="D37" i="23"/>
  <c r="E37" i="23"/>
  <c r="F37" i="23"/>
  <c r="C37" i="23"/>
  <c r="D31" i="23"/>
  <c r="E31" i="23"/>
  <c r="F31" i="23"/>
  <c r="D26" i="23"/>
  <c r="D32" i="23" s="1"/>
  <c r="E26" i="23"/>
  <c r="F26" i="23"/>
  <c r="C26" i="23"/>
  <c r="D16" i="23"/>
  <c r="D21" i="23" s="1"/>
  <c r="E16" i="23"/>
  <c r="E21" i="23" s="1"/>
  <c r="F16" i="23"/>
  <c r="F21" i="23" s="1"/>
  <c r="C16" i="23"/>
  <c r="C21" i="23" s="1"/>
  <c r="D9" i="23"/>
  <c r="D14" i="23" s="1"/>
  <c r="E9" i="23"/>
  <c r="E14" i="23" s="1"/>
  <c r="F9" i="23"/>
  <c r="F14" i="23" s="1"/>
  <c r="C9" i="23"/>
  <c r="C121" i="23" l="1"/>
  <c r="C126" i="23" s="1"/>
  <c r="E32" i="23"/>
  <c r="D121" i="23"/>
  <c r="D126" i="23" s="1"/>
  <c r="F32" i="23"/>
  <c r="E22" i="23"/>
  <c r="D22" i="23"/>
  <c r="D33" i="23" s="1"/>
  <c r="F22" i="23"/>
  <c r="F121" i="23"/>
  <c r="F126" i="23" s="1"/>
  <c r="E121" i="23"/>
  <c r="E126" i="23" s="1"/>
  <c r="E33" i="23" l="1"/>
  <c r="E93" i="23" s="1"/>
  <c r="F33" i="23"/>
  <c r="F93" i="23" s="1"/>
  <c r="D93" i="23"/>
  <c r="C46" i="3" l="1"/>
  <c r="D46" i="3"/>
  <c r="M46" i="3" l="1"/>
  <c r="B46" i="3"/>
  <c r="L46" i="3" s="1"/>
  <c r="A46" i="3"/>
  <c r="F46" i="3" s="1"/>
  <c r="K46" i="3" s="1"/>
  <c r="B45" i="3"/>
  <c r="H19" i="15"/>
  <c r="E19" i="15"/>
  <c r="I19" i="15" l="1"/>
  <c r="A185" i="6"/>
  <c r="E65" i="6" l="1"/>
  <c r="F65" i="6"/>
  <c r="G65" i="6"/>
  <c r="F15" i="6" l="1"/>
  <c r="D65" i="6" l="1"/>
  <c r="D15" i="6" l="1"/>
  <c r="C106" i="6" l="1"/>
  <c r="E103" i="6" l="1"/>
  <c r="F103" i="6"/>
  <c r="G103" i="6"/>
  <c r="D103" i="6"/>
  <c r="D47" i="6"/>
  <c r="C46" i="6"/>
  <c r="G86" i="6" l="1"/>
  <c r="F70" i="23" s="1"/>
  <c r="F71" i="23" l="1"/>
  <c r="F69" i="23"/>
  <c r="C58" i="6"/>
  <c r="C13" i="2" l="1"/>
  <c r="C75" i="1"/>
  <c r="F17" i="22" s="1"/>
  <c r="D9" i="6" l="1"/>
  <c r="D36" i="6" l="1"/>
  <c r="D33" i="6"/>
  <c r="E33" i="6"/>
  <c r="D14" i="15" l="1"/>
  <c r="C13" i="3" l="1"/>
  <c r="D13" i="3"/>
  <c r="B13" i="3"/>
  <c r="B14" i="3"/>
  <c r="C14" i="3"/>
  <c r="D14" i="3"/>
  <c r="C12" i="3"/>
  <c r="D12" i="3"/>
  <c r="C24" i="2"/>
  <c r="D24" i="2"/>
  <c r="B24" i="2"/>
  <c r="B13" i="2"/>
  <c r="B75" i="1"/>
  <c r="C16" i="1"/>
  <c r="D16" i="1"/>
  <c r="B16" i="1"/>
  <c r="B26" i="2" l="1"/>
  <c r="C26" i="2"/>
  <c r="B45" i="2"/>
  <c r="B25" i="2"/>
  <c r="D32" i="2"/>
  <c r="B32" i="2"/>
  <c r="B48" i="2" s="1"/>
  <c r="B36" i="2"/>
  <c r="B49" i="2" s="1"/>
  <c r="B63" i="1"/>
  <c r="C68" i="1"/>
  <c r="C89" i="1" s="1"/>
  <c r="C20" i="3" s="1"/>
  <c r="D68" i="1"/>
  <c r="B68" i="1"/>
  <c r="B89" i="1" s="1"/>
  <c r="B20" i="3" s="1"/>
  <c r="B42" i="1"/>
  <c r="G32" i="1" s="1"/>
  <c r="C30" i="1"/>
  <c r="D30" i="1"/>
  <c r="B30" i="1"/>
  <c r="C63" i="1"/>
  <c r="D63" i="1"/>
  <c r="C60" i="1"/>
  <c r="D60" i="1"/>
  <c r="B60" i="1"/>
  <c r="C57" i="1"/>
  <c r="D57" i="1"/>
  <c r="B57" i="1"/>
  <c r="B25" i="1"/>
  <c r="B29" i="1" s="1"/>
  <c r="B18" i="1"/>
  <c r="B51" i="2" l="1"/>
  <c r="B52" i="2"/>
  <c r="B50" i="2"/>
  <c r="B55" i="2" s="1"/>
  <c r="B37" i="2"/>
  <c r="B43" i="1"/>
  <c r="B44" i="1" s="1"/>
  <c r="B93" i="1"/>
  <c r="D56" i="1"/>
  <c r="D15" i="3" s="1"/>
  <c r="C56" i="1"/>
  <c r="C15" i="3" s="1"/>
  <c r="C11" i="3" s="1"/>
  <c r="B56" i="1"/>
  <c r="B57" i="2" l="1"/>
  <c r="B47" i="3"/>
  <c r="B56" i="2"/>
  <c r="D187" i="6"/>
  <c r="C89" i="5"/>
  <c r="D89" i="5"/>
  <c r="B89" i="5"/>
  <c r="C84" i="5"/>
  <c r="D84" i="5"/>
  <c r="B84" i="5"/>
  <c r="C68" i="5"/>
  <c r="D68" i="5"/>
  <c r="B68" i="5"/>
  <c r="C61" i="5"/>
  <c r="D61" i="5"/>
  <c r="B61" i="5"/>
  <c r="B42" i="5"/>
  <c r="C42" i="5"/>
  <c r="D42" i="5"/>
  <c r="C33" i="5"/>
  <c r="D33" i="5"/>
  <c r="B33" i="5"/>
  <c r="C12" i="5"/>
  <c r="D12" i="5"/>
  <c r="B12" i="5"/>
  <c r="B4" i="5"/>
  <c r="C4" i="5"/>
  <c r="D4" i="5"/>
  <c r="M24" i="3"/>
  <c r="L24" i="3"/>
  <c r="M3" i="3"/>
  <c r="L3" i="3"/>
  <c r="H3" i="3"/>
  <c r="H24" i="3"/>
  <c r="I24" i="3"/>
  <c r="G24" i="3"/>
  <c r="C24" i="3"/>
  <c r="D24" i="3"/>
  <c r="B24" i="3"/>
  <c r="I3" i="3"/>
  <c r="G3" i="3"/>
  <c r="B3" i="3"/>
  <c r="D3" i="3"/>
  <c r="C3" i="3"/>
  <c r="B48" i="3" l="1"/>
  <c r="C5" i="2"/>
  <c r="D5" i="2"/>
  <c r="B5" i="2"/>
  <c r="C55" i="12"/>
  <c r="E55" i="12" s="1"/>
  <c r="C54" i="12" l="1"/>
  <c r="E54" i="12" s="1"/>
  <c r="C53" i="12"/>
  <c r="E53" i="12" s="1"/>
  <c r="C52" i="12"/>
  <c r="E52" i="12" s="1"/>
  <c r="C51" i="12"/>
  <c r="E51" i="12" s="1"/>
  <c r="C50" i="12"/>
  <c r="E50" i="12" s="1"/>
  <c r="D176" i="6"/>
  <c r="D175" i="6"/>
  <c r="D118" i="6"/>
  <c r="D117" i="6"/>
  <c r="D34" i="10"/>
  <c r="C34" i="10" l="1"/>
  <c r="D42" i="10"/>
  <c r="D45" i="10" s="1"/>
  <c r="C176" i="6"/>
  <c r="C175" i="6"/>
  <c r="C117" i="6"/>
  <c r="C118" i="6"/>
  <c r="H17" i="15" l="1"/>
  <c r="H16" i="15"/>
  <c r="H15" i="15"/>
  <c r="F14" i="15"/>
  <c r="D186" i="6" l="1"/>
  <c r="I16" i="15"/>
  <c r="C17" i="10" s="1"/>
  <c r="D17" i="10" s="1"/>
  <c r="I17" i="15"/>
  <c r="H14" i="15"/>
  <c r="I15" i="15"/>
  <c r="C16" i="10" s="1"/>
  <c r="D16" i="10" s="1"/>
  <c r="C128" i="6" l="1"/>
  <c r="I14" i="15"/>
  <c r="D119" i="23" l="1"/>
  <c r="E119" i="23"/>
  <c r="C119" i="23"/>
  <c r="F119" i="23"/>
  <c r="E127" i="23" l="1"/>
  <c r="F127" i="23"/>
  <c r="D127" i="23"/>
  <c r="C127" i="23"/>
  <c r="E96" i="6"/>
  <c r="E101" i="6" s="1"/>
  <c r="F96" i="6"/>
  <c r="F101" i="6" s="1"/>
  <c r="G96" i="6"/>
  <c r="G101" i="6" s="1"/>
  <c r="D96" i="6"/>
  <c r="D101" i="6" s="1"/>
  <c r="G92" i="6"/>
  <c r="F92" i="6"/>
  <c r="E92" i="6"/>
  <c r="E89" i="6"/>
  <c r="F89" i="6"/>
  <c r="G89" i="6"/>
  <c r="E86" i="6"/>
  <c r="D70" i="23" s="1"/>
  <c r="F86" i="6"/>
  <c r="E70" i="23" s="1"/>
  <c r="E82" i="6"/>
  <c r="F82" i="6"/>
  <c r="G82" i="6"/>
  <c r="E77" i="6"/>
  <c r="D64" i="23" s="1"/>
  <c r="F77" i="6"/>
  <c r="E64" i="23" s="1"/>
  <c r="G77" i="6"/>
  <c r="F64" i="23" s="1"/>
  <c r="C64" i="23"/>
  <c r="G71" i="6"/>
  <c r="F44" i="23" s="1"/>
  <c r="F71" i="6"/>
  <c r="E44" i="23" s="1"/>
  <c r="E71" i="6"/>
  <c r="D44" i="23" s="1"/>
  <c r="D71" i="6"/>
  <c r="C44" i="23" s="1"/>
  <c r="G68" i="6"/>
  <c r="F68" i="6"/>
  <c r="G15" i="6"/>
  <c r="E15" i="6"/>
  <c r="E9" i="6"/>
  <c r="F9" i="6"/>
  <c r="G9" i="6"/>
  <c r="E47" i="6"/>
  <c r="F47" i="6"/>
  <c r="G47" i="6"/>
  <c r="E40" i="6"/>
  <c r="E45" i="6" s="1"/>
  <c r="F40" i="6"/>
  <c r="F45" i="6" s="1"/>
  <c r="G40" i="6"/>
  <c r="G45" i="6" s="1"/>
  <c r="D40" i="6"/>
  <c r="D45" i="6" s="1"/>
  <c r="E36" i="6"/>
  <c r="F36" i="6"/>
  <c r="G36" i="6"/>
  <c r="F33" i="6"/>
  <c r="G33" i="6"/>
  <c r="E30" i="6"/>
  <c r="F30" i="6"/>
  <c r="G30" i="6"/>
  <c r="D30" i="6"/>
  <c r="E26" i="6"/>
  <c r="F26" i="6"/>
  <c r="G26" i="6"/>
  <c r="D26" i="6"/>
  <c r="E21" i="6"/>
  <c r="F21" i="6"/>
  <c r="G21" i="6"/>
  <c r="D21" i="6"/>
  <c r="F45" i="23" l="1"/>
  <c r="F43" i="23"/>
  <c r="E71" i="23"/>
  <c r="E69" i="23" s="1"/>
  <c r="D71" i="23"/>
  <c r="D69" i="23"/>
  <c r="C45" i="23"/>
  <c r="C43" i="23" s="1"/>
  <c r="D45" i="23"/>
  <c r="D43" i="23"/>
  <c r="E45" i="23"/>
  <c r="E43" i="23"/>
  <c r="D41" i="23"/>
  <c r="D106" i="23" s="1"/>
  <c r="E109" i="6"/>
  <c r="E41" i="23"/>
  <c r="E42" i="23" s="1"/>
  <c r="F109" i="6"/>
  <c r="F41" i="23"/>
  <c r="F106" i="23" s="1"/>
  <c r="G109" i="6"/>
  <c r="D65" i="23"/>
  <c r="D63" i="23" s="1"/>
  <c r="D112" i="23"/>
  <c r="F65" i="23"/>
  <c r="F63" i="23" s="1"/>
  <c r="F112" i="23"/>
  <c r="F76" i="23"/>
  <c r="F113" i="23" s="1"/>
  <c r="C65" i="23"/>
  <c r="C63" i="23" s="1"/>
  <c r="C112" i="23"/>
  <c r="E65" i="23"/>
  <c r="E63" i="23" s="1"/>
  <c r="E112" i="23"/>
  <c r="C76" i="23"/>
  <c r="C113" i="23" s="1"/>
  <c r="E76" i="23"/>
  <c r="E113" i="23" s="1"/>
  <c r="D76" i="23"/>
  <c r="D113" i="23" s="1"/>
  <c r="D152" i="6"/>
  <c r="F74" i="6"/>
  <c r="F111" i="6" s="1"/>
  <c r="E74" i="6"/>
  <c r="E111" i="6" s="1"/>
  <c r="G74" i="6"/>
  <c r="G111" i="6" s="1"/>
  <c r="C36" i="6"/>
  <c r="C21" i="6"/>
  <c r="C9" i="6"/>
  <c r="C30" i="6"/>
  <c r="C15" i="6"/>
  <c r="C33" i="6"/>
  <c r="D148" i="6"/>
  <c r="D95" i="6"/>
  <c r="F95" i="6"/>
  <c r="D39" i="6"/>
  <c r="F39" i="6"/>
  <c r="F51" i="6" s="1"/>
  <c r="E95" i="6"/>
  <c r="G39" i="6"/>
  <c r="G51" i="6" s="1"/>
  <c r="D146" i="6"/>
  <c r="G95" i="6"/>
  <c r="E39" i="6"/>
  <c r="E51" i="6" s="1"/>
  <c r="E40" i="23" l="1"/>
  <c r="E36" i="23" s="1"/>
  <c r="E60" i="23" s="1"/>
  <c r="E89" i="23"/>
  <c r="E92" i="23" s="1"/>
  <c r="F42" i="23"/>
  <c r="E106" i="23"/>
  <c r="E132" i="23" s="1"/>
  <c r="D42" i="23"/>
  <c r="E116" i="23"/>
  <c r="E130" i="23" s="1"/>
  <c r="F116" i="23"/>
  <c r="F130" i="23" s="1"/>
  <c r="D116" i="23"/>
  <c r="D130" i="23" s="1"/>
  <c r="F62" i="23"/>
  <c r="F86" i="23" s="1"/>
  <c r="E62" i="23"/>
  <c r="E86" i="23" s="1"/>
  <c r="C62" i="23"/>
  <c r="C86" i="23" s="1"/>
  <c r="D62" i="23"/>
  <c r="D86" i="23" s="1"/>
  <c r="D110" i="23"/>
  <c r="D129" i="23" s="1"/>
  <c r="D132" i="23"/>
  <c r="F110" i="23"/>
  <c r="F132" i="23"/>
  <c r="E110" i="23"/>
  <c r="C116" i="23"/>
  <c r="D51" i="6"/>
  <c r="C39" i="6"/>
  <c r="D40" i="23" l="1"/>
  <c r="D36" i="23" s="1"/>
  <c r="D60" i="23" s="1"/>
  <c r="D89" i="23"/>
  <c r="D92" i="23" s="1"/>
  <c r="F40" i="23"/>
  <c r="F36" i="23" s="1"/>
  <c r="F60" i="23" s="1"/>
  <c r="F89" i="23"/>
  <c r="F92" i="23" s="1"/>
  <c r="E87" i="23"/>
  <c r="E94" i="23" s="1"/>
  <c r="F87" i="23"/>
  <c r="D87" i="23"/>
  <c r="D88" i="23" s="1"/>
  <c r="E117" i="23"/>
  <c r="E128" i="23" s="1"/>
  <c r="F117" i="23"/>
  <c r="F128" i="23" s="1"/>
  <c r="F129" i="23"/>
  <c r="F131" i="23" s="1"/>
  <c r="F133" i="23" s="1"/>
  <c r="D131" i="23"/>
  <c r="D133" i="23" s="1"/>
  <c r="D117" i="23"/>
  <c r="D128" i="23" s="1"/>
  <c r="E129" i="23"/>
  <c r="E131" i="23" s="1"/>
  <c r="E133" i="23" s="1"/>
  <c r="E88" i="23"/>
  <c r="C130" i="23"/>
  <c r="C60" i="12"/>
  <c r="D60" i="12" s="1"/>
  <c r="E60" i="12" s="1"/>
  <c r="F94" i="23" l="1"/>
  <c r="F88" i="23"/>
  <c r="D94" i="23"/>
  <c r="C44" i="12"/>
  <c r="E44" i="12" s="1"/>
  <c r="C48" i="12"/>
  <c r="E48" i="12" s="1"/>
  <c r="C45" i="12"/>
  <c r="E45" i="12" s="1"/>
  <c r="C49" i="12"/>
  <c r="E49" i="12" s="1"/>
  <c r="C47" i="12"/>
  <c r="E47" i="12" s="1"/>
  <c r="C46" i="12"/>
  <c r="E46" i="12" s="1"/>
  <c r="C26" i="12"/>
  <c r="E26" i="12" s="1"/>
  <c r="C27" i="12"/>
  <c r="E27" i="12" s="1"/>
  <c r="C25" i="12"/>
  <c r="E25" i="12" s="1"/>
  <c r="C56" i="12" l="1"/>
  <c r="E56" i="12"/>
  <c r="B66" i="12" s="1"/>
  <c r="C110" i="6"/>
  <c r="C82" i="6"/>
  <c r="C85" i="6"/>
  <c r="C86" i="6"/>
  <c r="C89" i="6"/>
  <c r="C92" i="6"/>
  <c r="C96" i="6"/>
  <c r="C102" i="6"/>
  <c r="C103" i="6"/>
  <c r="C77" i="6"/>
  <c r="C65" i="6"/>
  <c r="C71" i="6"/>
  <c r="C54" i="6"/>
  <c r="C50" i="6"/>
  <c r="C26" i="6"/>
  <c r="C29" i="6"/>
  <c r="C40" i="6"/>
  <c r="C44" i="6"/>
  <c r="C47" i="6"/>
  <c r="H5" i="15" l="1"/>
  <c r="H9" i="15"/>
  <c r="H10" i="15"/>
  <c r="H11" i="15"/>
  <c r="H12" i="15"/>
  <c r="H8" i="15"/>
  <c r="H7" i="15"/>
  <c r="H6" i="15"/>
  <c r="H13" i="15"/>
  <c r="E5" i="15"/>
  <c r="E18" i="15" s="1"/>
  <c r="H18" i="15" l="1"/>
  <c r="B68" i="12"/>
  <c r="I7" i="15"/>
  <c r="I5" i="15"/>
  <c r="C6" i="10" s="1"/>
  <c r="D6" i="10" s="1"/>
  <c r="I12" i="15"/>
  <c r="I8" i="15"/>
  <c r="I9" i="15"/>
  <c r="I11" i="15"/>
  <c r="I13" i="15"/>
  <c r="I10" i="15"/>
  <c r="C68" i="12" l="1"/>
  <c r="D68" i="12" l="1"/>
  <c r="E68" i="12" l="1"/>
  <c r="F68" i="12" s="1"/>
  <c r="D107" i="6"/>
  <c r="C101" i="6"/>
  <c r="C95" i="6"/>
  <c r="C45" i="6"/>
  <c r="F107" i="6"/>
  <c r="F108" i="6" s="1"/>
  <c r="E107" i="6"/>
  <c r="E108" i="6" s="1"/>
  <c r="G107" i="6"/>
  <c r="G108" i="6" s="1"/>
  <c r="I6" i="15"/>
  <c r="I18" i="15" s="1"/>
  <c r="C45" i="2"/>
  <c r="D45" i="2"/>
  <c r="C36" i="2"/>
  <c r="C37" i="2" s="1"/>
  <c r="D36" i="2"/>
  <c r="D37" i="2" s="1"/>
  <c r="C48" i="2"/>
  <c r="D75" i="1"/>
  <c r="D89" i="1" s="1"/>
  <c r="D20" i="3" s="1"/>
  <c r="C54" i="1"/>
  <c r="D54" i="1"/>
  <c r="B54" i="1"/>
  <c r="D42" i="1"/>
  <c r="C42" i="1"/>
  <c r="H32" i="1" s="1"/>
  <c r="C25" i="1"/>
  <c r="C29" i="1" s="1"/>
  <c r="D25" i="1"/>
  <c r="D29" i="1" s="1"/>
  <c r="C18" i="1"/>
  <c r="D18" i="1"/>
  <c r="G68" i="12" l="1"/>
  <c r="D94" i="1"/>
  <c r="B92" i="1"/>
  <c r="B94" i="1"/>
  <c r="C94" i="1"/>
  <c r="C93" i="1"/>
  <c r="C43" i="1"/>
  <c r="C44" i="1" s="1"/>
  <c r="D93" i="1"/>
  <c r="D49" i="2"/>
  <c r="C49" i="2"/>
  <c r="C52" i="2" s="1"/>
  <c r="D43" i="1"/>
  <c r="D44" i="1" s="1"/>
  <c r="D92" i="1"/>
  <c r="C92" i="1"/>
  <c r="C25" i="10"/>
  <c r="D25" i="10" s="1"/>
  <c r="D165" i="6"/>
  <c r="C107" i="6"/>
  <c r="C51" i="6"/>
  <c r="H68" i="12" l="1"/>
  <c r="C50" i="2"/>
  <c r="C51" i="2"/>
  <c r="I68" i="12" l="1"/>
  <c r="C28" i="15"/>
  <c r="C26" i="15" s="1"/>
  <c r="C24" i="15"/>
  <c r="J68" i="12" l="1"/>
  <c r="C23" i="15"/>
  <c r="C28" i="23" s="1"/>
  <c r="C31" i="23" s="1"/>
  <c r="C32" i="23" s="1"/>
  <c r="C19" i="10"/>
  <c r="D19" i="10" s="1"/>
  <c r="A14" i="10"/>
  <c r="B14" i="10"/>
  <c r="A15" i="10"/>
  <c r="B15" i="10"/>
  <c r="A18" i="10"/>
  <c r="B18" i="10"/>
  <c r="A9" i="10"/>
  <c r="B9" i="10"/>
  <c r="A10" i="10"/>
  <c r="B10" i="10"/>
  <c r="A11" i="10"/>
  <c r="B11" i="10"/>
  <c r="A12" i="10"/>
  <c r="B12" i="10"/>
  <c r="A13" i="10"/>
  <c r="B13" i="10"/>
  <c r="A8" i="10"/>
  <c r="B8" i="10"/>
  <c r="C18" i="10"/>
  <c r="D18" i="10" s="1"/>
  <c r="C12" i="10"/>
  <c r="D12" i="10" s="1"/>
  <c r="C11" i="10"/>
  <c r="D11" i="10" s="1"/>
  <c r="K68" i="12" l="1"/>
  <c r="C25" i="15"/>
  <c r="D188" i="6"/>
  <c r="E24" i="10"/>
  <c r="C10" i="10"/>
  <c r="D10" i="10" s="1"/>
  <c r="C14" i="10"/>
  <c r="D14" i="10" s="1"/>
  <c r="C15" i="10"/>
  <c r="D15" i="10" s="1"/>
  <c r="C9" i="10"/>
  <c r="D9" i="10" s="1"/>
  <c r="C8" i="10"/>
  <c r="D8" i="10" s="1"/>
  <c r="C13" i="10"/>
  <c r="D13" i="10" s="1"/>
  <c r="B72" i="12" l="1"/>
  <c r="D123" i="6"/>
  <c r="C72" i="12" l="1"/>
  <c r="C129" i="6"/>
  <c r="C123" i="6"/>
  <c r="D72" i="12" l="1"/>
  <c r="C187" i="6"/>
  <c r="C186" i="6"/>
  <c r="D181" i="6"/>
  <c r="E181" i="6"/>
  <c r="F181" i="6"/>
  <c r="G181" i="6"/>
  <c r="D154" i="6"/>
  <c r="E154" i="6"/>
  <c r="F154" i="6"/>
  <c r="G154" i="6"/>
  <c r="D162" i="6"/>
  <c r="E162" i="6"/>
  <c r="F162" i="6"/>
  <c r="G162" i="6"/>
  <c r="D164" i="6"/>
  <c r="E164" i="6"/>
  <c r="F164" i="6"/>
  <c r="G164" i="6"/>
  <c r="D168" i="6"/>
  <c r="E168" i="6"/>
  <c r="F168" i="6"/>
  <c r="G168" i="6"/>
  <c r="G112" i="6"/>
  <c r="F112" i="6"/>
  <c r="E112" i="6"/>
  <c r="E72" i="12" l="1"/>
  <c r="C181" i="6"/>
  <c r="C164" i="6"/>
  <c r="C162" i="6"/>
  <c r="C168" i="6"/>
  <c r="C154" i="6"/>
  <c r="D163" i="6"/>
  <c r="E163" i="6"/>
  <c r="F163" i="6"/>
  <c r="G163" i="6"/>
  <c r="E160" i="6"/>
  <c r="G159" i="6"/>
  <c r="D157" i="6"/>
  <c r="E157" i="6"/>
  <c r="F157" i="6"/>
  <c r="G157" i="6"/>
  <c r="D156" i="6"/>
  <c r="E156" i="6"/>
  <c r="F156" i="6"/>
  <c r="G156" i="6"/>
  <c r="D155" i="6"/>
  <c r="E155" i="6"/>
  <c r="F155" i="6"/>
  <c r="G155" i="6"/>
  <c r="D153" i="6"/>
  <c r="E153" i="6"/>
  <c r="F153" i="6"/>
  <c r="G153" i="6"/>
  <c r="E152" i="6"/>
  <c r="F152" i="6"/>
  <c r="G152" i="6"/>
  <c r="F72" i="12" l="1"/>
  <c r="C152" i="6"/>
  <c r="C155" i="6"/>
  <c r="C157" i="6"/>
  <c r="C153" i="6"/>
  <c r="C156" i="6"/>
  <c r="C163" i="6"/>
  <c r="D159" i="6"/>
  <c r="D161" i="6"/>
  <c r="D160" i="6"/>
  <c r="E159" i="6"/>
  <c r="F159" i="6"/>
  <c r="E161" i="6"/>
  <c r="F158" i="6"/>
  <c r="E158" i="6"/>
  <c r="G72" i="12" l="1"/>
  <c r="C159" i="6"/>
  <c r="G161" i="6"/>
  <c r="F160" i="6"/>
  <c r="G158" i="6"/>
  <c r="F161" i="6"/>
  <c r="D158" i="6"/>
  <c r="G160" i="6"/>
  <c r="E165" i="6"/>
  <c r="D11" i="12" s="1"/>
  <c r="H72" i="12" l="1"/>
  <c r="C160" i="6"/>
  <c r="C161" i="6"/>
  <c r="C11" i="12"/>
  <c r="C158" i="6"/>
  <c r="G165" i="6"/>
  <c r="F11" i="12" s="1"/>
  <c r="F165" i="6"/>
  <c r="E11" i="12" s="1"/>
  <c r="E113" i="6"/>
  <c r="E136" i="6" s="1"/>
  <c r="I72" i="12" l="1"/>
  <c r="C165" i="6"/>
  <c r="F113" i="6"/>
  <c r="F136" i="6" s="1"/>
  <c r="G113" i="6"/>
  <c r="G136" i="6" s="1"/>
  <c r="J72" i="12" l="1"/>
  <c r="B11" i="12"/>
  <c r="G148" i="6"/>
  <c r="F148" i="6"/>
  <c r="E148" i="6"/>
  <c r="E146" i="6"/>
  <c r="F146" i="6"/>
  <c r="G146" i="6"/>
  <c r="K72" i="12" l="1"/>
  <c r="C148" i="6"/>
  <c r="C146" i="6"/>
  <c r="B76" i="12" l="1"/>
  <c r="C76" i="12" l="1"/>
  <c r="D76" i="12" l="1"/>
  <c r="E76" i="12" l="1"/>
  <c r="B6" i="10"/>
  <c r="B7" i="10"/>
  <c r="F76" i="12" l="1"/>
  <c r="F189" i="6"/>
  <c r="E189" i="6"/>
  <c r="G189" i="6"/>
  <c r="C7" i="10"/>
  <c r="D7" i="10" s="1"/>
  <c r="G76" i="12" l="1"/>
  <c r="G190" i="6"/>
  <c r="F12" i="12"/>
  <c r="F17" i="12" s="1"/>
  <c r="F190" i="6"/>
  <c r="E12" i="12"/>
  <c r="E17" i="12" s="1"/>
  <c r="E190" i="6"/>
  <c r="D12" i="12"/>
  <c r="D17" i="12" s="1"/>
  <c r="C130" i="6"/>
  <c r="C188" i="6"/>
  <c r="D189" i="6"/>
  <c r="D131" i="6"/>
  <c r="H76" i="12" l="1"/>
  <c r="C189" i="6"/>
  <c r="C12" i="12"/>
  <c r="D132" i="6"/>
  <c r="C132" i="6" s="1"/>
  <c r="C131" i="6"/>
  <c r="D190" i="6"/>
  <c r="C190" i="6" s="1"/>
  <c r="I76" i="12" l="1"/>
  <c r="B12" i="12"/>
  <c r="C17" i="12"/>
  <c r="B17" i="12" s="1"/>
  <c r="C29" i="15"/>
  <c r="C13" i="23" s="1"/>
  <c r="C14" i="23" s="1"/>
  <c r="C22" i="23" s="1"/>
  <c r="C33" i="23" s="1"/>
  <c r="J76" i="12" l="1"/>
  <c r="C93" i="23"/>
  <c r="C26" i="10"/>
  <c r="D26" i="10" s="1"/>
  <c r="C24" i="10"/>
  <c r="D24" i="10" s="1"/>
  <c r="D27" i="15"/>
  <c r="K76" i="12" l="1"/>
  <c r="C29" i="10"/>
  <c r="D29" i="10" s="1"/>
  <c r="B80" i="12" l="1"/>
  <c r="A29" i="10"/>
  <c r="B19" i="10"/>
  <c r="A7" i="10"/>
  <c r="A6" i="10"/>
  <c r="C80" i="12" l="1"/>
  <c r="E37" i="10"/>
  <c r="D37" i="10"/>
  <c r="D122" i="6" s="1"/>
  <c r="F37" i="10"/>
  <c r="G37" i="10"/>
  <c r="D80" i="12" l="1"/>
  <c r="G182" i="6"/>
  <c r="G183" i="6" s="1"/>
  <c r="E182" i="6"/>
  <c r="E183" i="6" s="1"/>
  <c r="D124" i="6"/>
  <c r="D180" i="6"/>
  <c r="C122" i="6"/>
  <c r="F182" i="6"/>
  <c r="F183" i="6" s="1"/>
  <c r="E80" i="12" l="1"/>
  <c r="C124" i="6"/>
  <c r="C180" i="6"/>
  <c r="D182" i="6"/>
  <c r="C182" i="6" s="1"/>
  <c r="F80" i="12" l="1"/>
  <c r="B40" i="2"/>
  <c r="G80" i="12" l="1"/>
  <c r="H80" i="12" l="1"/>
  <c r="I80" i="12" l="1"/>
  <c r="J80" i="12" l="1"/>
  <c r="B38" i="2"/>
  <c r="C38" i="2"/>
  <c r="D36" i="3"/>
  <c r="C28" i="3"/>
  <c r="D26" i="3"/>
  <c r="B9" i="3"/>
  <c r="D28" i="3"/>
  <c r="C29" i="3"/>
  <c r="D29" i="3"/>
  <c r="B29" i="3"/>
  <c r="B28" i="3"/>
  <c r="A21" i="3"/>
  <c r="A22" i="3"/>
  <c r="A25" i="3"/>
  <c r="A26" i="3"/>
  <c r="A27" i="3"/>
  <c r="A30" i="3"/>
  <c r="A31" i="3"/>
  <c r="A32" i="3"/>
  <c r="A33" i="3"/>
  <c r="A34" i="3"/>
  <c r="A35" i="3"/>
  <c r="A36" i="3"/>
  <c r="A37" i="3"/>
  <c r="A38" i="3"/>
  <c r="A39" i="3"/>
  <c r="A40" i="3"/>
  <c r="A41" i="3"/>
  <c r="A42" i="3"/>
  <c r="A43" i="3"/>
  <c r="A44" i="3"/>
  <c r="A45" i="3"/>
  <c r="A47" i="3"/>
  <c r="B27" i="5"/>
  <c r="C45" i="3"/>
  <c r="L45" i="3" s="1"/>
  <c r="D45" i="3"/>
  <c r="B35" i="3"/>
  <c r="C35" i="3"/>
  <c r="D35" i="3"/>
  <c r="B39" i="3"/>
  <c r="B21" i="5" s="1"/>
  <c r="C39" i="3"/>
  <c r="D39" i="3"/>
  <c r="B40" i="3"/>
  <c r="B22" i="5" s="1"/>
  <c r="C40" i="3"/>
  <c r="D40" i="3"/>
  <c r="B32" i="3"/>
  <c r="B17" i="5" s="1"/>
  <c r="C32" i="3"/>
  <c r="D32" i="3"/>
  <c r="B33" i="3"/>
  <c r="C33" i="3"/>
  <c r="D33" i="3"/>
  <c r="B34" i="3"/>
  <c r="B49" i="3" s="1"/>
  <c r="C34" i="3"/>
  <c r="D34" i="3"/>
  <c r="C26" i="3"/>
  <c r="C25" i="3"/>
  <c r="H46" i="3" s="1"/>
  <c r="C19" i="3"/>
  <c r="D19" i="3"/>
  <c r="B19" i="3"/>
  <c r="B15" i="3"/>
  <c r="C17" i="3"/>
  <c r="D17" i="3"/>
  <c r="C18" i="3"/>
  <c r="D18" i="3"/>
  <c r="B18" i="3"/>
  <c r="B17" i="3"/>
  <c r="B12" i="3"/>
  <c r="C7" i="3"/>
  <c r="D7" i="3"/>
  <c r="C8" i="3"/>
  <c r="D8" i="3"/>
  <c r="C9" i="3"/>
  <c r="D9" i="3"/>
  <c r="B8" i="3"/>
  <c r="B7" i="3"/>
  <c r="C47" i="2"/>
  <c r="D47" i="2"/>
  <c r="B47" i="2"/>
  <c r="C46" i="2"/>
  <c r="D46" i="2"/>
  <c r="B46" i="2"/>
  <c r="K80" i="12" l="1"/>
  <c r="B50" i="3"/>
  <c r="M45" i="3"/>
  <c r="B11" i="3"/>
  <c r="B87" i="5" s="1"/>
  <c r="D16" i="3"/>
  <c r="C16" i="3"/>
  <c r="H34" i="3"/>
  <c r="H29" i="3"/>
  <c r="H40" i="3"/>
  <c r="H39" i="3"/>
  <c r="H25" i="3"/>
  <c r="H33" i="3"/>
  <c r="H45" i="3"/>
  <c r="H32" i="3"/>
  <c r="H28" i="3"/>
  <c r="H35" i="3"/>
  <c r="H26" i="3"/>
  <c r="L9" i="3"/>
  <c r="L7" i="3"/>
  <c r="M14" i="3"/>
  <c r="M12" i="3"/>
  <c r="M18" i="3"/>
  <c r="M19" i="3"/>
  <c r="M33" i="3"/>
  <c r="M35" i="3"/>
  <c r="L28" i="3"/>
  <c r="C73" i="5"/>
  <c r="C66" i="5"/>
  <c r="C74" i="5"/>
  <c r="C67" i="5"/>
  <c r="L29" i="3"/>
  <c r="M34" i="3"/>
  <c r="L33" i="3"/>
  <c r="L35" i="3"/>
  <c r="M8" i="3"/>
  <c r="L12" i="3"/>
  <c r="M15" i="3"/>
  <c r="L14" i="3"/>
  <c r="L18" i="3"/>
  <c r="L19" i="3"/>
  <c r="M17" i="3"/>
  <c r="L8" i="3"/>
  <c r="M13" i="3"/>
  <c r="L15" i="3"/>
  <c r="M9" i="3"/>
  <c r="M7" i="3"/>
  <c r="L13" i="3"/>
  <c r="L17" i="3"/>
  <c r="C27" i="5"/>
  <c r="M39" i="3"/>
  <c r="D21" i="5"/>
  <c r="L34" i="3"/>
  <c r="M40" i="3"/>
  <c r="D22" i="5"/>
  <c r="L39" i="3"/>
  <c r="C21" i="5"/>
  <c r="L32" i="3"/>
  <c r="C17" i="5"/>
  <c r="M28" i="3"/>
  <c r="D18" i="5"/>
  <c r="C13" i="5"/>
  <c r="M32" i="3"/>
  <c r="D17" i="5"/>
  <c r="L40" i="3"/>
  <c r="C22" i="5"/>
  <c r="D27" i="5"/>
  <c r="M29" i="3"/>
  <c r="M26" i="3"/>
  <c r="B36" i="3"/>
  <c r="B18" i="5" s="1"/>
  <c r="C82" i="5"/>
  <c r="C80" i="5"/>
  <c r="C81" i="5"/>
  <c r="C36" i="3"/>
  <c r="M36" i="3" s="1"/>
  <c r="D38" i="2"/>
  <c r="B26" i="3"/>
  <c r="B16" i="3"/>
  <c r="D11" i="3"/>
  <c r="C87" i="5"/>
  <c r="B84" i="12" l="1"/>
  <c r="D87" i="5"/>
  <c r="H36" i="3"/>
  <c r="L26" i="3"/>
  <c r="M11" i="3"/>
  <c r="L16" i="3"/>
  <c r="L11" i="3"/>
  <c r="M16" i="3"/>
  <c r="L36" i="3"/>
  <c r="C18" i="5"/>
  <c r="C84" i="12" l="1"/>
  <c r="C41" i="3"/>
  <c r="H41" i="3" s="1"/>
  <c r="D41" i="3"/>
  <c r="B41" i="3"/>
  <c r="B23" i="5" s="1"/>
  <c r="B39" i="2"/>
  <c r="B37" i="3"/>
  <c r="B19" i="5" s="1"/>
  <c r="C39" i="2"/>
  <c r="D39" i="2"/>
  <c r="D37" i="3"/>
  <c r="C85" i="1"/>
  <c r="F11" i="22" s="1"/>
  <c r="D85" i="1"/>
  <c r="B85" i="1"/>
  <c r="C82" i="1"/>
  <c r="F10" i="22" s="1"/>
  <c r="D82" i="1"/>
  <c r="B82" i="1"/>
  <c r="D84" i="12" l="1"/>
  <c r="D6" i="3"/>
  <c r="D5" i="3" s="1"/>
  <c r="C6" i="3"/>
  <c r="M41" i="3"/>
  <c r="D23" i="5"/>
  <c r="D19" i="5"/>
  <c r="L41" i="3"/>
  <c r="C23" i="5"/>
  <c r="D4" i="3"/>
  <c r="C4" i="3"/>
  <c r="B4" i="3"/>
  <c r="C36" i="5"/>
  <c r="C25" i="2"/>
  <c r="C40" i="2" s="1"/>
  <c r="C27" i="2"/>
  <c r="B43" i="3"/>
  <c r="B25" i="5" s="1"/>
  <c r="B30" i="3"/>
  <c r="B15" i="5" s="1"/>
  <c r="D43" i="3"/>
  <c r="D30" i="3"/>
  <c r="C30" i="3"/>
  <c r="H30" i="3" s="1"/>
  <c r="C43" i="3"/>
  <c r="H43" i="3" s="1"/>
  <c r="B6" i="3"/>
  <c r="C27" i="3"/>
  <c r="H27" i="3" s="1"/>
  <c r="C37" i="3"/>
  <c r="H37" i="3" s="1"/>
  <c r="E84" i="12" l="1"/>
  <c r="D21" i="3"/>
  <c r="I4" i="3" s="1"/>
  <c r="F12" i="22"/>
  <c r="C21" i="22" s="1"/>
  <c r="D10" i="3"/>
  <c r="D91" i="5" s="1"/>
  <c r="C31" i="3"/>
  <c r="M6" i="3"/>
  <c r="C72" i="5"/>
  <c r="C65" i="5"/>
  <c r="D86" i="5"/>
  <c r="D85" i="5"/>
  <c r="C70" i="5"/>
  <c r="C63" i="5"/>
  <c r="C5" i="3"/>
  <c r="M5" i="3" s="1"/>
  <c r="C79" i="5"/>
  <c r="L6" i="3"/>
  <c r="C77" i="5"/>
  <c r="L4" i="3"/>
  <c r="M4" i="3"/>
  <c r="L30" i="3"/>
  <c r="C15" i="5"/>
  <c r="L37" i="3"/>
  <c r="C19" i="5"/>
  <c r="M37" i="3"/>
  <c r="M30" i="3"/>
  <c r="D15" i="5"/>
  <c r="C14" i="5"/>
  <c r="L43" i="3"/>
  <c r="C25" i="5"/>
  <c r="M43" i="3"/>
  <c r="D25" i="5"/>
  <c r="D7" i="5"/>
  <c r="B5" i="3"/>
  <c r="B10" i="3" s="1"/>
  <c r="B91" i="5" s="1"/>
  <c r="C38" i="3"/>
  <c r="H38" i="3" s="1"/>
  <c r="C35" i="5"/>
  <c r="C42" i="3"/>
  <c r="H42" i="3" s="1"/>
  <c r="C55" i="2"/>
  <c r="C47" i="3" s="1"/>
  <c r="C42" i="2"/>
  <c r="C41" i="2"/>
  <c r="F84" i="12" l="1"/>
  <c r="H31" i="3"/>
  <c r="C34" i="5" s="1"/>
  <c r="C48" i="3"/>
  <c r="H47" i="3"/>
  <c r="L47" i="3"/>
  <c r="C57" i="2"/>
  <c r="C56" i="2"/>
  <c r="F19" i="22"/>
  <c r="B92" i="5"/>
  <c r="B22" i="3"/>
  <c r="C10" i="3"/>
  <c r="C91" i="5" s="1"/>
  <c r="C78" i="5"/>
  <c r="D90" i="5"/>
  <c r="C16" i="5"/>
  <c r="C21" i="3"/>
  <c r="H4" i="3" s="1"/>
  <c r="I10" i="3"/>
  <c r="I5" i="3"/>
  <c r="I6" i="3"/>
  <c r="I21" i="3"/>
  <c r="I7" i="3"/>
  <c r="I19" i="3"/>
  <c r="I8" i="3"/>
  <c r="I12" i="3"/>
  <c r="I17" i="3"/>
  <c r="I14" i="3"/>
  <c r="I18" i="3"/>
  <c r="I9" i="3"/>
  <c r="I13" i="3"/>
  <c r="I15" i="3"/>
  <c r="I16" i="3"/>
  <c r="I11" i="3"/>
  <c r="L5" i="3"/>
  <c r="B86" i="5"/>
  <c r="B85" i="5"/>
  <c r="C86" i="5"/>
  <c r="C85" i="5"/>
  <c r="C71" i="5"/>
  <c r="C64" i="5"/>
  <c r="B94" i="5"/>
  <c r="D95" i="5"/>
  <c r="D97" i="5"/>
  <c r="D96" i="5"/>
  <c r="C7" i="5"/>
  <c r="D5" i="5"/>
  <c r="C20" i="5"/>
  <c r="C24" i="5"/>
  <c r="B6" i="5"/>
  <c r="B7" i="5"/>
  <c r="B21" i="3"/>
  <c r="G5" i="3" s="1"/>
  <c r="C44" i="3"/>
  <c r="H44" i="3" s="1"/>
  <c r="G84" i="12" l="1"/>
  <c r="H48" i="3"/>
  <c r="C49" i="3"/>
  <c r="L48" i="3"/>
  <c r="C48" i="5"/>
  <c r="C52" i="5" s="1"/>
  <c r="C22" i="3"/>
  <c r="H22" i="3" s="1"/>
  <c r="C92" i="5"/>
  <c r="D6" i="5"/>
  <c r="D10" i="5" s="1"/>
  <c r="D92" i="5"/>
  <c r="D22" i="3"/>
  <c r="I22" i="3" s="1"/>
  <c r="M10" i="3"/>
  <c r="C43" i="5"/>
  <c r="C90" i="5"/>
  <c r="D58" i="5"/>
  <c r="D93" i="5"/>
  <c r="I20" i="3"/>
  <c r="C6" i="5"/>
  <c r="C10" i="5" s="1"/>
  <c r="D94" i="5"/>
  <c r="B90" i="5"/>
  <c r="G10" i="3"/>
  <c r="M20" i="3"/>
  <c r="L20" i="3"/>
  <c r="D53" i="5"/>
  <c r="C94" i="5"/>
  <c r="C62" i="5"/>
  <c r="H17" i="3"/>
  <c r="H11" i="3"/>
  <c r="H8" i="3"/>
  <c r="H16" i="3"/>
  <c r="H19" i="3"/>
  <c r="M21" i="3"/>
  <c r="C97" i="5"/>
  <c r="H18" i="3"/>
  <c r="H14" i="3"/>
  <c r="H10" i="3"/>
  <c r="C69" i="5"/>
  <c r="H15" i="3"/>
  <c r="C58" i="5"/>
  <c r="C76" i="5"/>
  <c r="C93" i="5"/>
  <c r="C96" i="5"/>
  <c r="C53" i="5"/>
  <c r="C5" i="5"/>
  <c r="C95" i="5"/>
  <c r="H12" i="3"/>
  <c r="H9" i="3"/>
  <c r="H13" i="3"/>
  <c r="H5" i="3"/>
  <c r="H7" i="3"/>
  <c r="H21" i="3"/>
  <c r="G20" i="3"/>
  <c r="H20" i="3"/>
  <c r="H6" i="3"/>
  <c r="G21" i="3"/>
  <c r="G12" i="3"/>
  <c r="G17" i="3"/>
  <c r="G19" i="3"/>
  <c r="G8" i="3"/>
  <c r="G7" i="3"/>
  <c r="G9" i="3"/>
  <c r="G15" i="3"/>
  <c r="G14" i="3"/>
  <c r="G18" i="3"/>
  <c r="G13" i="3"/>
  <c r="G16" i="3"/>
  <c r="G11" i="3"/>
  <c r="G6" i="3"/>
  <c r="G4" i="3"/>
  <c r="G22" i="3"/>
  <c r="B10" i="5"/>
  <c r="B97" i="5"/>
  <c r="B93" i="5"/>
  <c r="B96" i="5"/>
  <c r="B95" i="5"/>
  <c r="B53" i="5"/>
  <c r="B58" i="5"/>
  <c r="L10" i="3"/>
  <c r="B5" i="5"/>
  <c r="L21" i="3"/>
  <c r="C26" i="5"/>
  <c r="B8" i="5"/>
  <c r="C37" i="5"/>
  <c r="C50" i="3" l="1"/>
  <c r="C47" i="5"/>
  <c r="C51" i="5" s="1"/>
  <c r="C57" i="5"/>
  <c r="D8" i="5"/>
  <c r="L22" i="3"/>
  <c r="C8" i="5"/>
  <c r="C9" i="5" s="1"/>
  <c r="M22" i="3"/>
  <c r="C49" i="5"/>
  <c r="C45" i="5"/>
  <c r="C28" i="5"/>
  <c r="L50" i="3" l="1"/>
  <c r="D9" i="5"/>
  <c r="C38" i="5"/>
  <c r="C29" i="5"/>
  <c r="H49" i="3" l="1"/>
  <c r="C40" i="5" s="1"/>
  <c r="C44" i="5"/>
  <c r="H50" i="3"/>
  <c r="C39" i="5" s="1"/>
  <c r="C30" i="5"/>
  <c r="C31" i="5" l="1"/>
  <c r="C56" i="5"/>
  <c r="C54" i="5"/>
  <c r="C59" i="5" s="1"/>
  <c r="B27" i="3"/>
  <c r="B25" i="3"/>
  <c r="G46" i="3" l="1"/>
  <c r="G47" i="3"/>
  <c r="G48" i="3"/>
  <c r="G49" i="3"/>
  <c r="G50" i="3"/>
  <c r="G27" i="3"/>
  <c r="G30" i="3"/>
  <c r="G33" i="3"/>
  <c r="G37" i="3"/>
  <c r="B35" i="5" s="1"/>
  <c r="G41" i="3"/>
  <c r="B36" i="5" s="1"/>
  <c r="G45" i="3"/>
  <c r="G43" i="3"/>
  <c r="G34" i="3"/>
  <c r="G29" i="3"/>
  <c r="G32" i="3"/>
  <c r="G36" i="3"/>
  <c r="G40" i="3"/>
  <c r="G25" i="3"/>
  <c r="G28" i="3"/>
  <c r="G35" i="3"/>
  <c r="G39" i="3"/>
  <c r="G26" i="3"/>
  <c r="B71" i="5"/>
  <c r="B64" i="5"/>
  <c r="B74" i="5"/>
  <c r="B67" i="5"/>
  <c r="B73" i="5"/>
  <c r="B66" i="5"/>
  <c r="B72" i="5"/>
  <c r="B65" i="5"/>
  <c r="B63" i="5"/>
  <c r="B70" i="5"/>
  <c r="B48" i="5"/>
  <c r="B52" i="5" s="1"/>
  <c r="B62" i="5"/>
  <c r="B69" i="5"/>
  <c r="B13" i="5"/>
  <c r="L25" i="3"/>
  <c r="B14" i="5"/>
  <c r="L27" i="3"/>
  <c r="B77" i="5"/>
  <c r="B78" i="5"/>
  <c r="B82" i="5"/>
  <c r="B27" i="2"/>
  <c r="B79" i="5"/>
  <c r="B76" i="5"/>
  <c r="B80" i="5"/>
  <c r="B81" i="5"/>
  <c r="B38" i="3" l="1"/>
  <c r="G38" i="3" s="1"/>
  <c r="B31" i="3"/>
  <c r="L31" i="3" s="1"/>
  <c r="B41" i="2"/>
  <c r="B42" i="2"/>
  <c r="B42" i="3"/>
  <c r="G42" i="3" s="1"/>
  <c r="B57" i="5"/>
  <c r="L38" i="3" l="1"/>
  <c r="B20" i="5"/>
  <c r="B16" i="5"/>
  <c r="G31" i="3"/>
  <c r="B34" i="5" s="1"/>
  <c r="B24" i="5"/>
  <c r="L42" i="3"/>
  <c r="B44" i="3"/>
  <c r="G44" i="3" s="1"/>
  <c r="B43" i="5" l="1"/>
  <c r="B26" i="5"/>
  <c r="L44" i="3"/>
  <c r="B37" i="5"/>
  <c r="B47" i="5" l="1"/>
  <c r="B51" i="5" s="1"/>
  <c r="B45" i="5"/>
  <c r="B49" i="5"/>
  <c r="B28" i="5"/>
  <c r="B38" i="5" l="1"/>
  <c r="B29" i="5"/>
  <c r="B40" i="5" l="1"/>
  <c r="B44" i="5"/>
  <c r="B30" i="5"/>
  <c r="L49" i="3"/>
  <c r="B39" i="5" l="1"/>
  <c r="B56" i="5"/>
  <c r="B54" i="5"/>
  <c r="B59" i="5" s="1"/>
  <c r="B31" i="5"/>
  <c r="E42" i="10" l="1"/>
  <c r="E45" i="10" l="1"/>
  <c r="D96" i="23" l="1"/>
  <c r="F42" i="10" l="1"/>
  <c r="F45" i="10" l="1"/>
  <c r="E96" i="23" l="1"/>
  <c r="G42" i="10" l="1"/>
  <c r="G45" i="10" s="1"/>
  <c r="F96" i="23" l="1"/>
  <c r="D177" i="6" l="1"/>
  <c r="E192" i="6"/>
  <c r="F192" i="6"/>
  <c r="G192" i="6"/>
  <c r="D119" i="6"/>
  <c r="D120" i="6" s="1"/>
  <c r="C120" i="6" l="1"/>
  <c r="C119" i="6"/>
  <c r="C177" i="6"/>
  <c r="D178" i="6"/>
  <c r="D125" i="6"/>
  <c r="D133" i="6" l="1"/>
  <c r="C125" i="6"/>
  <c r="C178" i="6"/>
  <c r="D183" i="6"/>
  <c r="C183" i="6" l="1"/>
  <c r="D192" i="6"/>
  <c r="C133" i="6"/>
  <c r="C192" i="6" l="1"/>
  <c r="B9" i="12"/>
  <c r="I41" i="3"/>
  <c r="D36" i="5" s="1"/>
  <c r="D69" i="5"/>
  <c r="D70" i="5"/>
  <c r="I43" i="3"/>
  <c r="I39" i="3"/>
  <c r="I32" i="3"/>
  <c r="D66" i="5"/>
  <c r="I29" i="3"/>
  <c r="I33" i="3"/>
  <c r="I28" i="3"/>
  <c r="D25" i="3"/>
  <c r="D62" i="5" s="1"/>
  <c r="D27" i="2"/>
  <c r="D13" i="2"/>
  <c r="D27" i="3" s="1"/>
  <c r="M27" i="3" l="1"/>
  <c r="I27" i="3"/>
  <c r="D14" i="5"/>
  <c r="D80" i="5"/>
  <c r="D67" i="5"/>
  <c r="D81" i="5"/>
  <c r="D65" i="5"/>
  <c r="I45" i="3"/>
  <c r="I36" i="3"/>
  <c r="I30" i="3"/>
  <c r="D77" i="5"/>
  <c r="D25" i="2"/>
  <c r="D26" i="2"/>
  <c r="I25" i="3"/>
  <c r="D74" i="5"/>
  <c r="D73" i="5"/>
  <c r="D72" i="5"/>
  <c r="D63" i="5"/>
  <c r="I37" i="3"/>
  <c r="D35" i="5" s="1"/>
  <c r="D48" i="5"/>
  <c r="D70" i="6"/>
  <c r="D68" i="6" s="1"/>
  <c r="D48" i="2"/>
  <c r="D82" i="5"/>
  <c r="I34" i="3"/>
  <c r="D64" i="5"/>
  <c r="D71" i="5"/>
  <c r="I26" i="3"/>
  <c r="I40" i="3"/>
  <c r="M25" i="3"/>
  <c r="D79" i="5"/>
  <c r="D76" i="5"/>
  <c r="D14" i="6"/>
  <c r="D13" i="5"/>
  <c r="I46" i="3"/>
  <c r="I35" i="3"/>
  <c r="D78" i="5"/>
  <c r="D109" i="6" l="1"/>
  <c r="C41" i="23"/>
  <c r="C68" i="6"/>
  <c r="D74" i="6"/>
  <c r="D12" i="6"/>
  <c r="D147" i="6" s="1"/>
  <c r="E14" i="6"/>
  <c r="D52" i="5"/>
  <c r="D57" i="5"/>
  <c r="D31" i="3"/>
  <c r="D41" i="2"/>
  <c r="D42" i="2"/>
  <c r="D40" i="2"/>
  <c r="D38" i="3" s="1"/>
  <c r="D51" i="2"/>
  <c r="D52" i="2"/>
  <c r="D42" i="3"/>
  <c r="D50" i="2"/>
  <c r="F14" i="6" l="1"/>
  <c r="E12" i="6"/>
  <c r="M42" i="3"/>
  <c r="D24" i="5"/>
  <c r="I42" i="3"/>
  <c r="I38" i="3"/>
  <c r="D20" i="5"/>
  <c r="M38" i="3"/>
  <c r="D111" i="6"/>
  <c r="D108" i="6"/>
  <c r="C74" i="6"/>
  <c r="C106" i="23"/>
  <c r="C42" i="23"/>
  <c r="C40" i="23"/>
  <c r="C36" i="23" s="1"/>
  <c r="C60" i="23" s="1"/>
  <c r="C87" i="23" s="1"/>
  <c r="M31" i="3"/>
  <c r="D16" i="5"/>
  <c r="I31" i="3"/>
  <c r="D34" i="5" s="1"/>
  <c r="D18" i="6"/>
  <c r="D44" i="3"/>
  <c r="D55" i="2"/>
  <c r="C109" i="6"/>
  <c r="D112" i="6"/>
  <c r="C110" i="23" l="1"/>
  <c r="C132" i="23"/>
  <c r="D56" i="2"/>
  <c r="D47" i="3"/>
  <c r="D43" i="5"/>
  <c r="D57" i="2"/>
  <c r="D113" i="6"/>
  <c r="C108" i="6"/>
  <c r="C111" i="6"/>
  <c r="E18" i="6"/>
  <c r="E147" i="6"/>
  <c r="C89" i="23"/>
  <c r="C92" i="23" s="1"/>
  <c r="C94" i="23" s="1"/>
  <c r="C96" i="23" s="1"/>
  <c r="C98" i="23" s="1"/>
  <c r="D97" i="23" s="1"/>
  <c r="D98" i="23" s="1"/>
  <c r="E97" i="23" s="1"/>
  <c r="E98" i="23" s="1"/>
  <c r="F97" i="23" s="1"/>
  <c r="F98" i="23" s="1"/>
  <c r="D52" i="6"/>
  <c r="D166" i="6" s="1"/>
  <c r="D53" i="6"/>
  <c r="D55" i="6"/>
  <c r="C112" i="6"/>
  <c r="D149" i="6"/>
  <c r="F12" i="6"/>
  <c r="G14" i="6"/>
  <c r="G12" i="6" s="1"/>
  <c r="C88" i="23"/>
  <c r="D26" i="5"/>
  <c r="M44" i="3"/>
  <c r="I44" i="3"/>
  <c r="D37" i="5" s="1"/>
  <c r="G147" i="6" l="1"/>
  <c r="G18" i="6"/>
  <c r="F18" i="6"/>
  <c r="C18" i="6" s="1"/>
  <c r="F147" i="6"/>
  <c r="C12" i="6"/>
  <c r="C147" i="6"/>
  <c r="D45" i="5"/>
  <c r="D49" i="5"/>
  <c r="E149" i="6"/>
  <c r="D8" i="12" s="1"/>
  <c r="D10" i="12" s="1"/>
  <c r="E52" i="6"/>
  <c r="E55" i="6"/>
  <c r="E169" i="6" s="1"/>
  <c r="E53" i="6"/>
  <c r="I47" i="3"/>
  <c r="D38" i="5" s="1"/>
  <c r="D28" i="5"/>
  <c r="D48" i="3"/>
  <c r="M47" i="3"/>
  <c r="D136" i="6"/>
  <c r="C113" i="6"/>
  <c r="C8" i="12"/>
  <c r="D56" i="6"/>
  <c r="D167" i="6"/>
  <c r="D169" i="6"/>
  <c r="C129" i="23"/>
  <c r="C131" i="23" s="1"/>
  <c r="C133" i="23" s="1"/>
  <c r="C117" i="23"/>
  <c r="C128" i="23" s="1"/>
  <c r="C10" i="12" l="1"/>
  <c r="C13" i="12"/>
  <c r="G149" i="6"/>
  <c r="F8" i="12" s="1"/>
  <c r="G52" i="6"/>
  <c r="G53" i="6"/>
  <c r="G55" i="6"/>
  <c r="G169" i="6" s="1"/>
  <c r="E166" i="6"/>
  <c r="E167" i="6"/>
  <c r="D13" i="12" s="1"/>
  <c r="D14" i="12" s="1"/>
  <c r="D15" i="12" s="1"/>
  <c r="E56" i="6"/>
  <c r="E170" i="6" s="1"/>
  <c r="F149" i="6"/>
  <c r="F53" i="6"/>
  <c r="F55" i="6"/>
  <c r="F169" i="6" s="1"/>
  <c r="C169" i="6" s="1"/>
  <c r="F52" i="6"/>
  <c r="D138" i="6"/>
  <c r="E137" i="6" s="1"/>
  <c r="E138" i="6" s="1"/>
  <c r="F137" i="6" s="1"/>
  <c r="F138" i="6" s="1"/>
  <c r="G137" i="6" s="1"/>
  <c r="G138" i="6" s="1"/>
  <c r="C136" i="6"/>
  <c r="D170" i="6"/>
  <c r="D49" i="3"/>
  <c r="I48" i="3"/>
  <c r="D29" i="5"/>
  <c r="M48" i="3"/>
  <c r="C55" i="6"/>
  <c r="D47" i="5"/>
  <c r="D51" i="5" s="1"/>
  <c r="D57" i="6"/>
  <c r="C52" i="6" l="1"/>
  <c r="D16" i="12"/>
  <c r="C61" i="12"/>
  <c r="C63" i="12" s="1"/>
  <c r="F10" i="12"/>
  <c r="C14" i="12"/>
  <c r="F167" i="6"/>
  <c r="E13" i="12" s="1"/>
  <c r="E14" i="12" s="1"/>
  <c r="F56" i="6"/>
  <c r="F57" i="6" s="1"/>
  <c r="F171" i="6" s="1"/>
  <c r="F195" i="6" s="1"/>
  <c r="G166" i="6"/>
  <c r="C166" i="6" s="1"/>
  <c r="D59" i="6"/>
  <c r="E58" i="6" s="1"/>
  <c r="D171" i="6"/>
  <c r="F166" i="6"/>
  <c r="E57" i="6"/>
  <c r="E171" i="6" s="1"/>
  <c r="E195" i="6" s="1"/>
  <c r="D44" i="5"/>
  <c r="D30" i="5"/>
  <c r="M49" i="3"/>
  <c r="D50" i="3"/>
  <c r="I49" i="3"/>
  <c r="D40" i="5" s="1"/>
  <c r="E8" i="12"/>
  <c r="C149" i="6"/>
  <c r="G56" i="6"/>
  <c r="G170" i="6" s="1"/>
  <c r="G167" i="6"/>
  <c r="F13" i="12" s="1"/>
  <c r="F14" i="12" s="1"/>
  <c r="C53" i="6"/>
  <c r="E59" i="6" l="1"/>
  <c r="F58" i="6" s="1"/>
  <c r="F170" i="6"/>
  <c r="C170" i="6" s="1"/>
  <c r="C56" i="6"/>
  <c r="B14" i="12"/>
  <c r="B13" i="12"/>
  <c r="M50" i="3"/>
  <c r="D31" i="5"/>
  <c r="I50" i="3"/>
  <c r="D39" i="5" s="1"/>
  <c r="F59" i="6"/>
  <c r="G58" i="6" s="1"/>
  <c r="D56" i="5"/>
  <c r="D54" i="5"/>
  <c r="D59" i="5" s="1"/>
  <c r="F15" i="12"/>
  <c r="D195" i="6"/>
  <c r="C195" i="6" s="1"/>
  <c r="C167" i="6"/>
  <c r="C57" i="6"/>
  <c r="C15" i="12"/>
  <c r="E10" i="12"/>
  <c r="B8" i="12"/>
  <c r="G57" i="6"/>
  <c r="G171" i="6" s="1"/>
  <c r="G195" i="6" s="1"/>
  <c r="C171" i="6" l="1"/>
  <c r="F16" i="12"/>
  <c r="E61" i="12"/>
  <c r="E15" i="12"/>
  <c r="B15" i="12" s="1"/>
  <c r="B10" i="12"/>
  <c r="C16" i="12"/>
  <c r="B19" i="12"/>
  <c r="B61" i="12"/>
  <c r="B63" i="12" s="1"/>
  <c r="C19" i="12"/>
  <c r="G59" i="6"/>
  <c r="E16" i="12" l="1"/>
  <c r="B18" i="12" s="1"/>
  <c r="D61" i="12"/>
  <c r="D63" i="12" s="1"/>
  <c r="H77" i="12"/>
  <c r="F73" i="12"/>
  <c r="E69" i="12"/>
  <c r="D69" i="12"/>
  <c r="G69" i="12"/>
  <c r="D73" i="12"/>
  <c r="E77" i="12"/>
  <c r="J73" i="12"/>
  <c r="D81" i="12"/>
  <c r="F85" i="12"/>
  <c r="C85" i="12"/>
  <c r="G81" i="12"/>
  <c r="B77" i="12"/>
  <c r="I77" i="12"/>
  <c r="B69" i="12"/>
  <c r="H73" i="12"/>
  <c r="H69" i="12"/>
  <c r="B73" i="12"/>
  <c r="D77" i="12"/>
  <c r="K77" i="12"/>
  <c r="K73" i="12"/>
  <c r="J69" i="12"/>
  <c r="G73" i="12"/>
  <c r="I73" i="12"/>
  <c r="K69" i="12"/>
  <c r="E81" i="12"/>
  <c r="F81" i="12"/>
  <c r="J77" i="12"/>
  <c r="C77" i="12"/>
  <c r="B85" i="12"/>
  <c r="I81" i="12"/>
  <c r="C81" i="12"/>
  <c r="G85" i="12"/>
  <c r="C73" i="12"/>
  <c r="E73" i="12"/>
  <c r="G77" i="12"/>
  <c r="I69" i="12"/>
  <c r="E85" i="12"/>
  <c r="F77" i="12"/>
  <c r="B81" i="12"/>
  <c r="F69" i="12"/>
  <c r="D85" i="12"/>
  <c r="H81" i="12"/>
  <c r="J81" i="12"/>
  <c r="C69" i="12"/>
  <c r="K81" i="12"/>
  <c r="E62" i="12" l="1"/>
  <c r="E63" i="12" s="1"/>
  <c r="B16" i="12"/>
</calcChain>
</file>

<file path=xl/sharedStrings.xml><?xml version="1.0" encoding="utf-8"?>
<sst xmlns="http://schemas.openxmlformats.org/spreadsheetml/2006/main" count="952" uniqueCount="602">
  <si>
    <t>1. Terenuri si constructii</t>
  </si>
  <si>
    <t>2. Instalatii tehnice si masini</t>
  </si>
  <si>
    <t>I.Stocuri:</t>
  </si>
  <si>
    <t>1. Materii prime si materiale consumabile</t>
  </si>
  <si>
    <t>2. Productia in curs de executie</t>
  </si>
  <si>
    <t>3. Produse finite si marfuri</t>
  </si>
  <si>
    <t>4. Avansuri pentru cumparari stocuri</t>
  </si>
  <si>
    <t>Sold Creditor</t>
  </si>
  <si>
    <t>Sold Debitor</t>
  </si>
  <si>
    <t>Repartizarea profitului</t>
  </si>
  <si>
    <t>3. Alte instalatii, utilaje si mobilier</t>
  </si>
  <si>
    <t>C.Cheltuieli in avans</t>
  </si>
  <si>
    <t>IV.Casa si conturi la banci</t>
  </si>
  <si>
    <t>III.Investitii financiare pe termen scurt</t>
  </si>
  <si>
    <t>II.Creante</t>
  </si>
  <si>
    <t>A.Active imobilizate</t>
  </si>
  <si>
    <t>I.Imobilizari necorporale</t>
  </si>
  <si>
    <t>II.Imobilizari corporale</t>
  </si>
  <si>
    <t>III.Imobilizari financiare</t>
  </si>
  <si>
    <t>B.Active circulante</t>
  </si>
  <si>
    <t>F.Total active minus datorii curente</t>
  </si>
  <si>
    <t>I.Venituri in avans</t>
  </si>
  <si>
    <t>J.Capital si rezerve</t>
  </si>
  <si>
    <t>Datorii comerciale - furnizori</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</si>
  <si>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</si>
  <si>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</si>
  <si>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</si>
  <si>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</si>
  <si>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</si>
  <si>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</si>
  <si>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</si>
  <si>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</si>
  <si>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</si>
  <si>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</si>
  <si>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</si>
  <si>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</si>
  <si>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II.Prime de capital</t>
  </si>
  <si>
    <t>III.Rezerve din reevaluare</t>
  </si>
  <si>
    <t>V.Rezultatul reportat</t>
  </si>
  <si>
    <t>VI.Rezultatul exercitiului financiar</t>
  </si>
  <si>
    <t>TOTAL ACTIV</t>
  </si>
  <si>
    <t>TOTAL CAPITALURI SI DATORII</t>
  </si>
  <si>
    <t>IV.Rezerve</t>
  </si>
  <si>
    <t>Active imobilizate - total</t>
  </si>
  <si>
    <t>Active circulante - total</t>
  </si>
  <si>
    <t>Stocuri - total</t>
  </si>
  <si>
    <t>Datorii ce trebuie platite intr-o perioada mai mare de un an - total</t>
  </si>
  <si>
    <t>Capitaluri proprii - total</t>
  </si>
  <si>
    <t>Imobilizari corporale - total</t>
  </si>
  <si>
    <t>Patrimoniul public</t>
  </si>
  <si>
    <t>Capitaluri - total</t>
  </si>
  <si>
    <t>Cifra de afaceri neta</t>
  </si>
  <si>
    <t>Rezultatul din exploatare</t>
  </si>
  <si>
    <t>Rezultatul din exploatare Profit</t>
  </si>
  <si>
    <t>Rezultatul din exploatare Pierdere</t>
  </si>
  <si>
    <t>Venituri financiare</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</si>
  <si>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</si>
  <si>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</si>
  <si>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</si>
  <si>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</si>
  <si>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</si>
  <si>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</si>
  <si>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</si>
  <si>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</si>
  <si>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</si>
  <si>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</si>
  <si>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</si>
  <si>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</si>
  <si>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</si>
  <si>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</si>
  <si>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</si>
  <si>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</si>
  <si>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</si>
  <si>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Rezultatul net</t>
  </si>
  <si>
    <t>Rezultatul net Profit</t>
  </si>
  <si>
    <t>Rezultatul net Pierdere</t>
  </si>
  <si>
    <t>Alte venituri din exploatare</t>
  </si>
  <si>
    <t>Venituri din exploatare - total</t>
  </si>
  <si>
    <t xml:space="preserve">Cheltuieli cu materiile prime şi materialele consumabile </t>
  </si>
  <si>
    <t>Alte cheltuieli externe (cu energie şi apă)</t>
  </si>
  <si>
    <t xml:space="preserve">Cheltuieli privind mărfurile </t>
  </si>
  <si>
    <t>Cheltuieli cu personalul</t>
  </si>
  <si>
    <t>Ajustări de valoare privind imobilizările corporale şi necorporale</t>
  </si>
  <si>
    <t xml:space="preserve">Ajustări de valoare privind activele circulante </t>
  </si>
  <si>
    <t xml:space="preserve">Alte cheltuieli de exploatare </t>
  </si>
  <si>
    <t>Cheltuieli din exploatare - total</t>
  </si>
  <si>
    <t>Ajustări de valoare privind imobilizările financiare şi investiţiile financiare deţinute ca active circulante</t>
  </si>
  <si>
    <t xml:space="preserve">Cheltuieli privind dobânzile </t>
  </si>
  <si>
    <t xml:space="preserve">Alte cheltuieli financiare  </t>
  </si>
  <si>
    <t>Impozit pe profit</t>
  </si>
  <si>
    <t>Cash si echivalente de cash</t>
  </si>
  <si>
    <t>Creante de incasat</t>
  </si>
  <si>
    <t>Stocuri</t>
  </si>
  <si>
    <t>Active imobilizate</t>
  </si>
  <si>
    <t>Active curente</t>
  </si>
  <si>
    <t>Activ total</t>
  </si>
  <si>
    <t>Datorii curente</t>
  </si>
  <si>
    <t>Alte datorii pe termen scurt</t>
  </si>
  <si>
    <t>Datorii financiare pe termen scurt</t>
  </si>
  <si>
    <t>Datorii pe termen lung</t>
  </si>
  <si>
    <t>Datorii financiare pe termen lung</t>
  </si>
  <si>
    <t>Alte datorii pe termen lung</t>
  </si>
  <si>
    <t>Capital propriu</t>
  </si>
  <si>
    <t>Venituri inregistrate in avans</t>
  </si>
  <si>
    <t>Provizioane</t>
  </si>
  <si>
    <t>EBT</t>
  </si>
  <si>
    <t>EBIT</t>
  </si>
  <si>
    <t>EBITDA</t>
  </si>
  <si>
    <t>Cheltuieli monetare de exploatare</t>
  </si>
  <si>
    <t>Ajustări de valoare privind imobilizările, activele circulante si provizioanele</t>
  </si>
  <si>
    <t>Cheltuieli inregistrate in avans</t>
  </si>
  <si>
    <t>Rate de rentabilitate</t>
  </si>
  <si>
    <t>Rate de marja</t>
  </si>
  <si>
    <t>Durate de rotatie</t>
  </si>
  <si>
    <t>Viteze de rotatie</t>
  </si>
  <si>
    <t>Indicatori de echilibru financiar</t>
  </si>
  <si>
    <t>Rate de lichiditate</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</si>
  <si>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</si>
  <si>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</si>
  <si>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</si>
  <si>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</si>
  <si>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</si>
  <si>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</si>
  <si>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</si>
  <si>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</si>
  <si>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Cheltuieli de personal</t>
  </si>
  <si>
    <t>Imprumuturi bancare</t>
  </si>
  <si>
    <t>Rambursare imprumut bancar</t>
  </si>
  <si>
    <t xml:space="preserve">Dobanzi </t>
  </si>
  <si>
    <t>Rambursare imprumut (incl.dobanzi)</t>
  </si>
  <si>
    <t>TOTAL</t>
  </si>
  <si>
    <t>Incasari totale</t>
  </si>
  <si>
    <t>Plati totale</t>
  </si>
  <si>
    <t>Flux de numerar net</t>
  </si>
  <si>
    <t>Flux de numerar net actualizat</t>
  </si>
  <si>
    <t>RAMBURSARE CREDIT
se va completa cu informatii obtinute de la banca finantatoare</t>
  </si>
  <si>
    <t>Solduri intermediare de gestiune</t>
  </si>
  <si>
    <t>Rate de solvabilitate si indatorare</t>
  </si>
  <si>
    <t>CA (Cifra de afaceri neta)</t>
  </si>
  <si>
    <t>Nr. crt</t>
  </si>
  <si>
    <t>Denumirea capitolelor şi subcapitolelor</t>
  </si>
  <si>
    <t>Cheltuieli eligibile</t>
  </si>
  <si>
    <t>Cheltuieli neeligibile</t>
  </si>
  <si>
    <t>1.1</t>
  </si>
  <si>
    <t>1.2</t>
  </si>
  <si>
    <t>2.1</t>
  </si>
  <si>
    <t>3.1</t>
  </si>
  <si>
    <t>3.2</t>
  </si>
  <si>
    <t>3.3</t>
  </si>
  <si>
    <t>III</t>
  </si>
  <si>
    <t>TOTAL GENERAL</t>
  </si>
  <si>
    <t>SURSE DE FINANŢARE</t>
  </si>
  <si>
    <t>I</t>
  </si>
  <si>
    <t>Valoarea totală a cererii de finantare, din care :</t>
  </si>
  <si>
    <t xml:space="preserve">Valoarea totala eligibilă </t>
  </si>
  <si>
    <t>II</t>
  </si>
  <si>
    <t>Contribuţia proprie, din care :</t>
  </si>
  <si>
    <t xml:space="preserve">Contribuţia solicitantului la cheltuieli eligibile </t>
  </si>
  <si>
    <t>ASISTENŢĂ FINANCIARĂ NERAMBURSABILĂ SOLICITATĂ</t>
  </si>
  <si>
    <t>an 1</t>
  </si>
  <si>
    <t>an 2</t>
  </si>
  <si>
    <t>an 3</t>
  </si>
  <si>
    <t>an 4</t>
  </si>
  <si>
    <t>Venituri din vanzari produse</t>
  </si>
  <si>
    <t>Venituri din prestari servicii</t>
  </si>
  <si>
    <t>Venituri din vanzari marfuri</t>
  </si>
  <si>
    <t>Venituri din alte activitati</t>
  </si>
  <si>
    <t>Total cheltuieli materiale</t>
  </si>
  <si>
    <t>Cheltuieli cu materiile prime si cu materialele consumabile</t>
  </si>
  <si>
    <t xml:space="preserve">Cheltuieli privind marfurile </t>
  </si>
  <si>
    <t>Implementare</t>
  </si>
  <si>
    <t>I.Capital, din care</t>
  </si>
  <si>
    <t>Implementare si operare</t>
  </si>
  <si>
    <t>VANF (valoarea actualizata neta financiara)</t>
  </si>
  <si>
    <t>RIRF (rata interna de rentabilitate financiara)</t>
  </si>
  <si>
    <t>Investitie</t>
  </si>
  <si>
    <t xml:space="preserve">    Capital subscris vărsat</t>
  </si>
  <si>
    <t xml:space="preserve">    Capital subscris nevărsat</t>
  </si>
  <si>
    <t xml:space="preserve">    Patrimoniu regiei</t>
  </si>
  <si>
    <t xml:space="preserve">    Patrimoniul institutelor naționale de cercetare-dezvoltare</t>
  </si>
  <si>
    <t>Alte cheltuieli financiare</t>
  </si>
  <si>
    <t>Cheltuielile privind dobanzile</t>
  </si>
  <si>
    <t>Cheltuieli cu amortizarile</t>
  </si>
  <si>
    <t>Total venituri financiare</t>
  </si>
  <si>
    <t>Venituri din dobanzi</t>
  </si>
  <si>
    <t>Total venituri din exploatare</t>
  </si>
  <si>
    <t>REZULTATUL NET AL EXERCIŢIULUI FINANCIAR</t>
  </si>
  <si>
    <t>Impozit pe profit/cifra de afaceri</t>
  </si>
  <si>
    <t>REZULTATUL BRUT AL EXERCIŢIULUI FINANCIAR</t>
  </si>
  <si>
    <t xml:space="preserve">Total cheltuieli financiare </t>
  </si>
  <si>
    <t>CHELTUIELI FINANCIARE DIN CARE</t>
  </si>
  <si>
    <t>TOTAL VENITURI FINANCIARE</t>
  </si>
  <si>
    <t>Total cheltuieli de exploatare</t>
  </si>
  <si>
    <t>Cheltuieli cu personalul – total</t>
  </si>
  <si>
    <t>CHELTUIELI DE EXPLOATARE</t>
  </si>
  <si>
    <t>Venituri  din productia realizata pentru scopuri proprii si capitalizata</t>
  </si>
  <si>
    <t xml:space="preserve">Cifra de afaceri </t>
  </si>
  <si>
    <t>VENITURI DIN EXPLOATARE</t>
  </si>
  <si>
    <t>CATEGORIA</t>
  </si>
  <si>
    <t>Nr. Crt.</t>
  </si>
  <si>
    <t>Aport la capitalul societatii  (imprumuturi de la actionari/asociati)</t>
  </si>
  <si>
    <t>Vanzari de active, incl TVA</t>
  </si>
  <si>
    <t>Credite pe termen lung, din care</t>
  </si>
  <si>
    <t>Imprumut pentru realizarea investitiei</t>
  </si>
  <si>
    <t>Alte Credite pe termen mediu si lung, leasinguri, alte datorii financiare</t>
  </si>
  <si>
    <t>Credite pe termen scurt</t>
  </si>
  <si>
    <t xml:space="preserve"> Ajutor nerambursabil (inclusiv avans)</t>
  </si>
  <si>
    <t xml:space="preserve">Rambursari de Credite pe termen mediu si lung, din care:  </t>
  </si>
  <si>
    <t xml:space="preserve">      Rate la alte credite pe termen mediu si lung, leasinguri, alte datorii financ.</t>
  </si>
  <si>
    <t>Rambursari de credite pe termen scurt</t>
  </si>
  <si>
    <t xml:space="preserve">     La alte credite pe termen mediu si lung, leasinguri, alte datorii financiare</t>
  </si>
  <si>
    <t>Flux de lichiditati din activitatea de investitii si finantare</t>
  </si>
  <si>
    <t>Venituri din exploatare, incl TVA</t>
  </si>
  <si>
    <t>11.2.</t>
  </si>
  <si>
    <t>11.3.</t>
  </si>
  <si>
    <t>11.4.</t>
  </si>
  <si>
    <t>11.6.</t>
  </si>
  <si>
    <t>11.9.</t>
  </si>
  <si>
    <t>12.</t>
  </si>
  <si>
    <t>12.1.</t>
  </si>
  <si>
    <t>12.2.</t>
  </si>
  <si>
    <t>12.3.</t>
  </si>
  <si>
    <t>12.4.</t>
  </si>
  <si>
    <t>Plati TVA</t>
  </si>
  <si>
    <t>Rambursari TVA</t>
  </si>
  <si>
    <t xml:space="preserve">Plati/incasari pentru impozite si taxe  </t>
  </si>
  <si>
    <t>FLUX DE LICHIDITATI (CASH FLOW)</t>
  </si>
  <si>
    <t xml:space="preserve">Flux de lichiditati net al perioadei </t>
  </si>
  <si>
    <t xml:space="preserve">Disponibil de numerar la sfarsitul perioadei </t>
  </si>
  <si>
    <t>Total intrari de lichiditati din activitatea de finantare</t>
  </si>
  <si>
    <t>ACTIVITATEA DE FINANTARE</t>
  </si>
  <si>
    <t>ACTIVITATEA DE INVESTITII</t>
  </si>
  <si>
    <t>2.1.</t>
  </si>
  <si>
    <t>2.2.</t>
  </si>
  <si>
    <t>Total intrari de lichididati din activitatea de investitii</t>
  </si>
  <si>
    <t>Total iesiri de lichididati din activitatea de investitii</t>
  </si>
  <si>
    <t>Total iesiri de lichiditati din activitatea finantare</t>
  </si>
  <si>
    <t>Flux de lichiditati din activitatea de  finantare</t>
  </si>
  <si>
    <t>Flux de lichiditati din activitatea de  investitii</t>
  </si>
  <si>
    <t>ACTIVITATEA DE EXPLOATARE</t>
  </si>
  <si>
    <t>Total intrari de lichiditati din activitatea de exploatare</t>
  </si>
  <si>
    <t>INCASARI DIN ACTIVITATEA DE FINANTARE</t>
  </si>
  <si>
    <t>PLATI DIN ACTIVITATEA DE FINANTARE</t>
  </si>
  <si>
    <t>INCASARI DIN ACTIVITATEA DE INVESTITII</t>
  </si>
  <si>
    <t>INCASARI DIN ACTIVITATEA DE EXPLOATARE</t>
  </si>
  <si>
    <t>PLATI DIN ACTIVITATEA DE EXPLOATARE</t>
  </si>
  <si>
    <t>Cheltuieli din exploatare, incl TVA</t>
  </si>
  <si>
    <t>Total iesiri de lichiditati din activitatea de exploatare</t>
  </si>
  <si>
    <t>Flux de lichiditati brut din activitatea de  exploatare</t>
  </si>
  <si>
    <t xml:space="preserve">     La credite pe termen scurt</t>
  </si>
  <si>
    <t>Flux de lichiditati total brut inainte de plati pentru impozit pe profit /cifra de afaceri si ajustare TVA</t>
  </si>
  <si>
    <t>Alte cheltuieli externe (cu energia si apa)</t>
  </si>
  <si>
    <t>Salarii si indemnizatii</t>
  </si>
  <si>
    <t>Alte cheltuieli de exploatare (prestatii externe, alte impozite, taxe si varsaminte asimilate, alte cheltuieli)</t>
  </si>
  <si>
    <t>Alte cheltuieli materiale</t>
  </si>
  <si>
    <t>Alte venituri financiare (din diferente de curs valutar, din sconturi obtinute, din investitii financiare pe termen scurt, din investitii financiare cedate, alte venituri financiare)</t>
  </si>
  <si>
    <t>Venituri din interese de participare</t>
  </si>
  <si>
    <t>Venituri din investitii si imprumuturi care fac parte din activele imobilizate</t>
  </si>
  <si>
    <t>Alte cheltuieli financiare (pierderi din creante legate de participatii, din diferente de curs valutar, din sconturi obtinute, privind investitiile financiare cedate, alte cheltuieli financiare)</t>
  </si>
  <si>
    <t>Rezultat curent</t>
  </si>
  <si>
    <t xml:space="preserve">Flux de lichiditati net din activitatea de exploatare </t>
  </si>
  <si>
    <t xml:space="preserve">Achizitii de active fixe corporale, incl TVA </t>
  </si>
  <si>
    <t>Achizitii de active fixe necorporale, incl TVA</t>
  </si>
  <si>
    <t>Cresterea investitiilor in curs (esalonat cf. Grafic realizare)</t>
  </si>
  <si>
    <t>Alte cheltuieli de exploatare (prestatii externe, alte impozite, taxe si varsaminte asimilate, alte cheltuieli), din care:</t>
  </si>
  <si>
    <t>In acest tabel sunt inregistrate incasarile si platile aferente activitatilor de exploatare si de investitii generate exclusiv de proiectul de investitie</t>
  </si>
  <si>
    <t>Investitie actualizata</t>
  </si>
  <si>
    <t xml:space="preserve">Disponibil de numerar la inceputul perioadei </t>
  </si>
  <si>
    <t>Sume datorate institutiilor de credit (surse imprumutate) generate de proiectul de investitii</t>
  </si>
  <si>
    <t>Alte datorii (pe termen lung si scurt)</t>
  </si>
  <si>
    <t>Grad indatorare</t>
  </si>
  <si>
    <t>Profit net</t>
  </si>
  <si>
    <t>EBIT - impozit</t>
  </si>
  <si>
    <t>* in cazul microintreprinderilor, se va calcula impozitul pe profit sau impozitul pe cifra de afaceri, dupa cum este cazul</t>
  </si>
  <si>
    <t xml:space="preserve">    cantitate  produse</t>
  </si>
  <si>
    <t xml:space="preserve">    pret unitar (produs)</t>
  </si>
  <si>
    <t xml:space="preserve">    cantitatea  de servicii </t>
  </si>
  <si>
    <t xml:space="preserve">    tariful / unitatea de măsură specifică</t>
  </si>
  <si>
    <t xml:space="preserve">    cantitate marfuri</t>
  </si>
  <si>
    <t xml:space="preserve">    pret unitar (marfa)</t>
  </si>
  <si>
    <t xml:space="preserve">    consum de materii prime </t>
  </si>
  <si>
    <t xml:space="preserve">    pret unitar materii prime</t>
  </si>
  <si>
    <t xml:space="preserve">    consum de materiale consumabile</t>
  </si>
  <si>
    <t xml:space="preserve">    pret unitar materiale consumabile</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</si>
  <si>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</si>
  <si>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</si>
  <si>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</si>
  <si>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</si>
  <si>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</si>
  <si>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</si>
  <si>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</si>
  <si>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Cheltuieli cu personalul angajat</t>
  </si>
  <si>
    <t xml:space="preserve">    număr de angajați</t>
  </si>
  <si>
    <t xml:space="preserve">    salariul de bază prognozat/luna</t>
  </si>
  <si>
    <t xml:space="preserve">    numar de luni / an </t>
  </si>
  <si>
    <t xml:space="preserve">    cantitatea necesară de servicii mentenanța</t>
  </si>
  <si>
    <t xml:space="preserve">        - Cheltuieli de intretinere si reparatii capitale</t>
  </si>
  <si>
    <t>Cheltuieli financiare (Cheltuieli privind dobanzile la imprumuturile contractate pentru activitatea aferenta investitiei)</t>
  </si>
  <si>
    <t>Impozit pe profit/venit</t>
  </si>
  <si>
    <t>Flux de lichiditati net din activitatea de  exploatare (FARA proiect)</t>
  </si>
  <si>
    <t>Flux de lichiditati brut din activitatea de  exploatare  (FARA proiect)</t>
  </si>
  <si>
    <t>Plati/incasari pentru impozite si taxe   (FARA proiect)</t>
  </si>
  <si>
    <t>Flux de lichiditati brut din activitatea de  exploatare  (CU proiect)</t>
  </si>
  <si>
    <t>Plati/incasari pentru impozite si taxe   (CU proiect)</t>
  </si>
  <si>
    <t>Flux de lichiditati net din activitatea de  exploatare (CU proiect)</t>
  </si>
  <si>
    <t>INCASARI DIN ACTIVITATEA DE EXPLOATARE  (marginale)</t>
  </si>
  <si>
    <t>Total incasari din activitatea de exploatare (marginale)</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</si>
  <si>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</si>
  <si>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</si>
  <si>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</si>
  <si>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</si>
  <si>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</si>
  <si>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Credite pentru realizarea investiției</t>
  </si>
  <si>
    <t xml:space="preserve">Rambursari de Credite, din care:  </t>
  </si>
  <si>
    <t>Total incasari (intrari de lichiditati) din activitatea de exploatare (FARA proiect)</t>
  </si>
  <si>
    <t>Total plati (iesiri de lichiditati) din activitatea de exploatare  (FARA proiect)</t>
  </si>
  <si>
    <t>Total incasari (intrari de lichiditati) din activitatea de exploatare (CU proiect)</t>
  </si>
  <si>
    <t>Total plati (iesiri de lichiditati) din activitatea de exploatare  (CU proiect)</t>
  </si>
  <si>
    <t>Total incasari (intrari de lichiditati) din activitatea de finantare</t>
  </si>
  <si>
    <t>Total plati (iesiri de lichiditati) din activitatea finantare</t>
  </si>
  <si>
    <t xml:space="preserve">Cheltuieli cu asigurarile si protectia sociala </t>
  </si>
  <si>
    <t>Sume datorate institutiilor de credit excluzandu-le pe cele generate de proiectul de investitii</t>
  </si>
  <si>
    <t>Valoare reziduala*</t>
  </si>
  <si>
    <t>1)</t>
  </si>
  <si>
    <t>2)</t>
  </si>
  <si>
    <t>3)</t>
  </si>
  <si>
    <t>Atunci când întreprinderea a primit ajutor pentru salvare și nu a rambursat încă împrumutul sau nu a încetat garanția sau a primit ajutoare pentru restructurare și face încă obiectul unui plan de restructurare.</t>
  </si>
  <si>
    <t>Atunci când întreprinderea face obiectul unei proceduri colective de insolvență sau îndeplinește criteriile prevăzute de legislația națională pentru inițierea unei proceduri colective de insolvență la cererea creditorilor săi.</t>
  </si>
  <si>
    <t>Rezultatul reportat</t>
  </si>
  <si>
    <t>Rezultatul exercitiului financiar</t>
  </si>
  <si>
    <t>Rezultatul total acumulat</t>
  </si>
  <si>
    <t>Dacă Rezultatul total acumulat este pozitiv, atunci solicitantul nu se încadrează în categoria întreprinderilor în dificultate.</t>
  </si>
  <si>
    <t>Capital social subscris si varsat</t>
  </si>
  <si>
    <t>Prime de capital</t>
  </si>
  <si>
    <t>Rezerve din reevaluare</t>
  </si>
  <si>
    <t>Rezerve</t>
  </si>
  <si>
    <t>i) Se calculează Rezultatul total acumulat al solicitantului</t>
  </si>
  <si>
    <t>Pentru a fi eligibil, solicitantul trebuie să nu se încadreze în categoria întreprinderilor în dificultate.</t>
  </si>
  <si>
    <t>Rezultat:</t>
  </si>
  <si>
    <t>O întreprindere este considerată a fi în dificultate dacă este îndeplinită cel puțin una dintre următoarele condiții*:</t>
  </si>
  <si>
    <t>AN 1</t>
  </si>
  <si>
    <t>AN 2</t>
  </si>
  <si>
    <t>AN 3</t>
  </si>
  <si>
    <t>AN 4</t>
  </si>
  <si>
    <t>Impozit *</t>
  </si>
  <si>
    <t>din care C+M</t>
  </si>
  <si>
    <t>Valoare de inventar (lei)</t>
  </si>
  <si>
    <t>Pondere (%)</t>
  </si>
  <si>
    <t>Durata de viata (ani)</t>
  </si>
  <si>
    <t>Durata de viata medie (ani)</t>
  </si>
  <si>
    <t>Valoare reziduala</t>
  </si>
  <si>
    <t>Total flux de numerar</t>
  </si>
  <si>
    <t>Fluxuri de numerar</t>
  </si>
  <si>
    <t>Venituri din  vanzari produse (fără TVA)</t>
  </si>
  <si>
    <t>Venituri din prestari servicii (fără TVA)</t>
  </si>
  <si>
    <t>Venituri din vanzari marfuri (fără TVA)</t>
  </si>
  <si>
    <t>Dividende (inclusiv impozitele aferentăe)</t>
  </si>
  <si>
    <t>TVA aferentă veniturilor din vanzari produse</t>
  </si>
  <si>
    <t>TVA aferentă veniturilor din  prestari servicii</t>
  </si>
  <si>
    <t>TVA aferentă veniturilor din vanzari marfuri</t>
  </si>
  <si>
    <t>TVA aferentă din subventii de exploatare aferentăe cifrei de afaceri nete</t>
  </si>
  <si>
    <t>TVA aferentă altor venituri din exploatare</t>
  </si>
  <si>
    <t>Alte venituri din exploatare (fără TVA)</t>
  </si>
  <si>
    <t>Venituri din alte activități (fără TVA)</t>
  </si>
  <si>
    <t>TVA aferentă veniturilor din alte activități</t>
  </si>
  <si>
    <t>Cheltuieli cu materiile prime si cu materialele consumabile (fără TVA)</t>
  </si>
  <si>
    <t>TVA aferentă cheltuielilor cu materiile prime si cu materialele consumabile (fără TVA)</t>
  </si>
  <si>
    <t>Alte cheltuieli materiale  (fără TVA)</t>
  </si>
  <si>
    <t>TVA aferentă altor cheltuieli materiale</t>
  </si>
  <si>
    <t>TVA aferentă altor cheltuieli externe (cu energia si apa)</t>
  </si>
  <si>
    <t>Alte cheltuieli externe (cu energia si apa) fără TVA</t>
  </si>
  <si>
    <t>Cheltuieli privind marfurile (fără TVA)</t>
  </si>
  <si>
    <t xml:space="preserve">TVA aferentă cheltuielilor privind marfurile </t>
  </si>
  <si>
    <t>Ate cheltuieli din exploatare (fără TVA)</t>
  </si>
  <si>
    <t>TVA aferentă altor cheltuieli din exploatare</t>
  </si>
  <si>
    <t>Denumire</t>
  </si>
  <si>
    <t>Valoare (lei)</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</si>
  <si>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</si>
  <si>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</si>
  <si>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</si>
  <si>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</si>
  <si>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</si>
  <si>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</si>
  <si>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</si>
  <si>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</si>
  <si>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</si>
  <si>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</si>
  <si>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</si>
  <si>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</si>
  <si>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</si>
  <si>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</si>
  <si>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</si>
  <si>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</si>
  <si>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</si>
  <si>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</si>
  <si>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</si>
  <si>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R_Rexp = Rezultat exploatare / CA</t>
  </si>
  <si>
    <t>R_Rfin = Rezultat financiar / CA</t>
  </si>
  <si>
    <t>R_Rextr = Rezultat extraordinar / CA</t>
  </si>
  <si>
    <t>R_Rbrut = Rezultat brut / CA</t>
  </si>
  <si>
    <t>R_RN (sau R_PN) = Rezultat net (profit net) / CA</t>
  </si>
  <si>
    <t>R_EBITDA = EBITDA / CA</t>
  </si>
  <si>
    <t>R_EBIT = EBIT / CA</t>
  </si>
  <si>
    <t>ROA (rentabilitatea activelor) = PN/Active</t>
  </si>
  <si>
    <t>R_PN = PN/CA</t>
  </si>
  <si>
    <t>viteza de rotatie a activelor = CA/Active</t>
  </si>
  <si>
    <t>descompunere ROA = R_PN · viteza de rotatie a activelor</t>
  </si>
  <si>
    <t>descompunerea ROE = R_PN · viteza de rotatie a activelor 
· rata de structura aferenta capitalului propriu</t>
  </si>
  <si>
    <t>rata de structura aferenta capitalului propriu = Active/CPR</t>
  </si>
  <si>
    <t>R_(EBIT-impozit) = (EBIT-impozit)/CA</t>
  </si>
  <si>
    <t>rata de structura aferenta capitalului investit = Active/cap investit</t>
  </si>
  <si>
    <t>efect de levier = ROE-Rec</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</si>
  <si>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</si>
  <si>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</si>
  <si>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</si>
  <si>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</si>
  <si>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</si>
  <si>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</si>
  <si>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</si>
  <si>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</si>
  <si>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</si>
  <si>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</si>
  <si>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</si>
  <si>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</si>
  <si>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lichiditatea curenta  = active curente / datorii curente</t>
  </si>
  <si>
    <t>lichiditatea intermediara  = (active curente - stocuri) / datorii curente</t>
  </si>
  <si>
    <t>lichiditatea la vedere  =  lichiditati / datorii curente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</si>
  <si>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</si>
  <si>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</si>
  <si>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</si>
  <si>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</si>
  <si>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</si>
  <si>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</si>
  <si>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</si>
  <si>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</si>
  <si>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ROE (rentabilitatea capitalului propriu)  = PN/CPR</t>
  </si>
  <si>
    <t>Total eligibil</t>
  </si>
  <si>
    <t>Total neeligibil</t>
  </si>
  <si>
    <t>Nr crt</t>
  </si>
  <si>
    <r>
      <t xml:space="preserve">INFORMATII AFERENTE </t>
    </r>
    <r>
      <rPr>
        <b/>
        <sz val="10"/>
        <color rgb="FFFF0000"/>
        <rFont val="Calibri"/>
        <family val="2"/>
        <charset val="238"/>
        <scheme val="minor"/>
      </rPr>
      <t>FINANTARII PROIECTULUI DE INVESTITIE</t>
    </r>
  </si>
  <si>
    <r>
      <t xml:space="preserve">INFORMATII AFERENTE </t>
    </r>
    <r>
      <rPr>
        <b/>
        <sz val="10"/>
        <color rgb="FFFF0000"/>
        <rFont val="Calibri"/>
        <family val="2"/>
        <charset val="238"/>
        <scheme val="minor"/>
      </rPr>
      <t>INTREGII ENTITATI</t>
    </r>
  </si>
  <si>
    <t>Buget cerere</t>
  </si>
  <si>
    <t>Total ani</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</si>
  <si>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</si>
  <si>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Contribuţia proprie totală (la cheltuieli eligibile și neeligibile), asigurată din:</t>
  </si>
  <si>
    <t>(durata de viață post operare rămasă, în ani)</t>
  </si>
  <si>
    <t>An</t>
  </si>
  <si>
    <t>Rata de actualizare financiară</t>
  </si>
  <si>
    <t>Total</t>
  </si>
  <si>
    <t>Venituri din subventii de exploatare aferentă cifrei de afaceri nete (fără TVA)</t>
  </si>
  <si>
    <t>Ajutor nerambursabil</t>
  </si>
  <si>
    <t>Flux de lichiditati din activitatea de finantare</t>
  </si>
  <si>
    <t xml:space="preserve"> 2A - BUGETUL CERERII DE FINANTARE</t>
  </si>
  <si>
    <t>1A - Bilanțul</t>
  </si>
  <si>
    <t xml:space="preserve"> 3A - Proiecții financiare aferente proiectului de investiție în perioada de implementare și operare</t>
  </si>
  <si>
    <t>3B - Rentabilitatea investiției</t>
  </si>
  <si>
    <t>1B - Contul de profit și pierdere</t>
  </si>
  <si>
    <t>Istoric Bilanț</t>
  </si>
  <si>
    <t>Istoric cont de profit și pierdere</t>
  </si>
  <si>
    <t>Indicatori structură bilanț (% din total activ)</t>
  </si>
  <si>
    <t>Indicatori modificare relativă</t>
  </si>
  <si>
    <t>Indicatori structură CPP (% in cifra de afaceri)</t>
  </si>
  <si>
    <t>2B - Planul investitional</t>
  </si>
  <si>
    <t>Nr</t>
  </si>
  <si>
    <t xml:space="preserve">      Rate la imprumut - cofinantare la proiect</t>
  </si>
  <si>
    <t xml:space="preserve">     La imprumut - cofinantare la proiect</t>
  </si>
  <si>
    <t>descompunere Rec = Rec = R_(EBIT-impozit) · viteza de rotatie a activelor · rata de structura aferenta capitalului investit</t>
  </si>
  <si>
    <t>Rec (rentabilitatea capitalului investit)  = (EBIT-impozit)/capital investit, unde CI=CPR+DTL+prov</t>
  </si>
  <si>
    <t>I.a.</t>
  </si>
  <si>
    <t>I.b.</t>
  </si>
  <si>
    <t>II.a.</t>
  </si>
  <si>
    <t>II.b.</t>
  </si>
  <si>
    <t>Capitol</t>
  </si>
  <si>
    <t>SURSE DE FINANTARE</t>
  </si>
  <si>
    <t xml:space="preserve">   - Surse proprii</t>
  </si>
  <si>
    <t xml:space="preserve">   - Imprumuturi bancare / surse imprumutate</t>
  </si>
  <si>
    <t>Tabel 1: PROIECTII FINANCIARE - FARA ADOPTAREA PROIECTULUI DE INVESTITIE</t>
  </si>
  <si>
    <t>INCASARI DIN ACTIVITATEA DE EXPLOATARE (fara investitie)</t>
  </si>
  <si>
    <t xml:space="preserve">Venituri din exploatare, incl TVA </t>
  </si>
  <si>
    <t xml:space="preserve">Cheltuieli de exploatare, incl TVA </t>
  </si>
  <si>
    <t>PLATI DIN ACTIVITATEA DE EXPLOATARE (fara investitie)</t>
  </si>
  <si>
    <t>PLATI DIN ACTIVITATEA DE EXPLOATARE  (cu adoptarea investitiei)</t>
  </si>
  <si>
    <t>INCASARI DIN ACTIVITATEA DE EXPLOATARE  (cu adoptarea investitiei)</t>
  </si>
  <si>
    <t>Tabel 2: PROIECTII FINANCIARE - CU ADOPTAREA PROIECTULUI DE INVESTITIE</t>
  </si>
  <si>
    <t>Cresterea investitiilor in curs</t>
  </si>
  <si>
    <r>
      <t xml:space="preserve">Completați următoarele tabele cu </t>
    </r>
    <r>
      <rPr>
        <b/>
        <sz val="9"/>
        <color theme="1"/>
        <rFont val="Calibri"/>
        <family val="2"/>
        <charset val="238"/>
        <scheme val="minor"/>
      </rPr>
      <t xml:space="preserve">proiecțiile de venituri și cheltuieli aferente </t>
    </r>
    <r>
      <rPr>
        <b/>
        <u/>
        <sz val="9"/>
        <color theme="1"/>
        <rFont val="Calibri"/>
        <family val="2"/>
        <charset val="238"/>
        <scheme val="minor"/>
      </rPr>
      <t>doar activității ce face obiectul proiectului de investiții</t>
    </r>
    <r>
      <rPr>
        <sz val="9"/>
        <color theme="1"/>
        <rFont val="Calibri"/>
        <family val="2"/>
        <charset val="238"/>
        <scheme val="minor"/>
      </rPr>
      <t xml:space="preserve">
</t>
    </r>
    <r>
      <rPr>
        <b/>
        <sz val="9"/>
        <color theme="1"/>
        <rFont val="Calibri"/>
        <family val="2"/>
        <charset val="238"/>
        <scheme val="minor"/>
      </rPr>
      <t>Tabel 1 - Proiecții financiare fără adoptarea proiectului de investiție:</t>
    </r>
    <r>
      <rPr>
        <sz val="9"/>
        <color theme="1"/>
        <rFont val="Calibri"/>
        <family val="2"/>
        <charset val="238"/>
        <scheme val="minor"/>
      </rPr>
      <t xml:space="preserv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
    </r>
    <r>
      <rPr>
        <b/>
        <sz val="9"/>
        <color theme="1"/>
        <rFont val="Calibri"/>
        <family val="2"/>
        <charset val="238"/>
        <scheme val="minor"/>
      </rPr>
      <t>Tabel 2 - Proiecții financiare cu adoptarea proiectului de investiție</t>
    </r>
    <r>
      <rPr>
        <sz val="9"/>
        <color theme="1"/>
        <rFont val="Calibri"/>
        <family val="2"/>
        <charset val="238"/>
        <scheme val="minor"/>
      </rPr>
      <t xml:space="preserv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
    </r>
    <r>
      <rPr>
        <b/>
        <sz val="9"/>
        <color theme="1"/>
        <rFont val="Calibri"/>
        <family val="2"/>
        <charset val="238"/>
        <scheme val="minor"/>
      </rPr>
      <t xml:space="preserve">Tabel 3 - Proiecții financiare marginale (incrementale)
= </t>
    </r>
    <r>
      <rPr>
        <sz val="9"/>
        <color theme="1"/>
        <rFont val="Calibri"/>
        <family val="2"/>
        <charset val="238"/>
        <scheme val="minor"/>
      </rPr>
      <t>Proiecții financiare cu adoptarea proiectului de investiție - Proiecții financiare fără adoptarea proiectului de investiție</t>
    </r>
  </si>
  <si>
    <t>Tabel 3: PROIECTII FINANCIARE INCREMENTALE (marginale)</t>
  </si>
  <si>
    <t>Rate la imprumut - cofinantare la proiect</t>
  </si>
  <si>
    <t>Flux de lichiditati din investitii si finantare</t>
  </si>
  <si>
    <t>FLUX DE LICHIDITATI TOTAL 
(activitatile de exploatare, finantare, investitii)</t>
  </si>
  <si>
    <t>Flux de lichiditati din investitii</t>
  </si>
  <si>
    <t>Total plati din investitii</t>
  </si>
  <si>
    <t xml:space="preserve">Venituri din exploatare (marginale), incl TVA </t>
  </si>
  <si>
    <t xml:space="preserve">Cheltuieli de exploatare (marginale), incl TVA </t>
  </si>
  <si>
    <t>Total plati din finantare</t>
  </si>
  <si>
    <t>Flux de lichiditati din finantare</t>
  </si>
  <si>
    <t>Total incasari din finantare</t>
  </si>
  <si>
    <t>FLUX DE LICHIDITATI TOTAL 
(exploatare, finantare, investitii)</t>
  </si>
  <si>
    <t xml:space="preserve">    Cheltuieli de intretinere si reparatii capitale</t>
  </si>
  <si>
    <t>Post operare (continuare)</t>
  </si>
  <si>
    <r>
      <rPr>
        <b/>
        <sz val="9"/>
        <color theme="1"/>
        <rFont val="Calibri"/>
        <family val="2"/>
        <charset val="238"/>
        <scheme val="minor"/>
      </rPr>
      <t>*) Modalitatea de calcul a valorii reziduale</t>
    </r>
    <r>
      <rPr>
        <sz val="9"/>
        <color theme="1"/>
        <rFont val="Calibri"/>
        <family val="2"/>
        <charset val="238"/>
        <scheme val="minor"/>
      </rPr>
      <t xml:space="preserv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r>
  </si>
  <si>
    <t>Implementare si operare (ani)</t>
  </si>
  <si>
    <t>Post operare (ani)</t>
  </si>
  <si>
    <t>Tabel 2 - Proiectia Contului de profit si pierdere la nivelul intregii activitati a intreprinderii, pe perioada de implementare a proiectului</t>
  </si>
  <si>
    <t>Tabel 1 - Proiectia fluxului de numerar la nivelul intregii activitati a intreprinderii, cu ajutor nerambursabil, pe perioada de implementare si operare a investitiei</t>
  </si>
  <si>
    <t>Ajustari de valoare si provizioane, amortizare - total</t>
  </si>
  <si>
    <t>Venituri din subventii de exploatare aferente cifrei de afaceri nete</t>
  </si>
  <si>
    <t>1C - Analiza financiară extinsă</t>
  </si>
  <si>
    <t>1D - Analiza financiară - Indicatori</t>
  </si>
  <si>
    <t>Completarea informațiilor se face în mod automat, în baza informațiilor introduse în foile de lucru 1.A-Bilanțul și 1.B-Contul de profit și pierdere, precum și a Analizei financiare extinse (foaia de lucru 1C)</t>
  </si>
  <si>
    <t>1E -Verificarea încadrării solicitantului în categoria întreprinderilor în dificultate</t>
  </si>
  <si>
    <t>Total incasari din exploatare</t>
  </si>
  <si>
    <t>Total plati din exploatare</t>
  </si>
  <si>
    <t>4 - Proiecții financiare la nivelul întreprinderii</t>
  </si>
  <si>
    <t>Contribuţia solicitantului la cheltuieli neeligibile, inclusiv TVA aferenta</t>
  </si>
  <si>
    <t>Valoarea totala neeligibilă, inclusiv TVA aferenta</t>
  </si>
  <si>
    <t>Activ</t>
  </si>
  <si>
    <t>Sume de reluat într-o perioadă de până la un an</t>
  </si>
  <si>
    <t>Sume de reluat într-o perioadă mai mare de un an</t>
  </si>
  <si>
    <t>1. Sume de reluat într-o perioadă de până la un an</t>
  </si>
  <si>
    <t>2. Sume de reluat într-o perioadă mai mare de un an</t>
  </si>
  <si>
    <t xml:space="preserve">1. Subvenţii pentru investiţii </t>
  </si>
  <si>
    <t>2. Venituri înregistrate în avans</t>
  </si>
  <si>
    <t>Sume de reluat intr-o perioada de pana la un an</t>
  </si>
  <si>
    <t>Sume de reluat intr-o perioada mai mare de un an</t>
  </si>
  <si>
    <r>
      <rPr>
        <sz val="10"/>
        <rFont val="Calibri"/>
        <family val="2"/>
        <charset val="238"/>
        <scheme val="minor"/>
      </rPr>
      <t>3. Venituri în avans aferente activelor primite prin transfer de la clienţi</t>
    </r>
    <r>
      <rPr>
        <b/>
        <sz val="10"/>
        <rFont val="Calibri"/>
        <family val="2"/>
        <charset val="238"/>
        <scheme val="minor"/>
      </rPr>
      <t xml:space="preserve"> </t>
    </r>
  </si>
  <si>
    <t>Fondul comercial negativ</t>
  </si>
  <si>
    <t>D.Datorii: sumele care trebuie platite intr-o perioada de pana la un an</t>
  </si>
  <si>
    <t xml:space="preserve">    Alte elemente de capitaluri proprii</t>
  </si>
  <si>
    <t>Acţiuni proprii</t>
  </si>
  <si>
    <t>Câştiguri legate de instrumentele de capitaluri proprii</t>
  </si>
  <si>
    <t>Pierderi legate de instrumentele de capitaluri proprii</t>
  </si>
  <si>
    <t>Patrimoniul privat</t>
  </si>
  <si>
    <t>G.Datorii: sumele care trebuie platite intr-o perioada mai mare de un an</t>
  </si>
  <si>
    <t>Alte venituri financiare</t>
  </si>
  <si>
    <t>Venituri din subvenţii de exploatare pentru dobânda datorată</t>
  </si>
  <si>
    <t>Venituri din dobânzi</t>
  </si>
  <si>
    <t>Alte impozite neprezentate la elementele de mai sus</t>
  </si>
  <si>
    <t>4. Investiții imobiliare</t>
  </si>
  <si>
    <t>5. Imobilizări corporale în curs de execuție</t>
  </si>
  <si>
    <t>6. Investiții imobiliare în curs de execuție</t>
  </si>
  <si>
    <t>7. Avansuri acordate pentru imobilizări corporale</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</si>
  <si>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</si>
  <si>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</si>
  <si>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</si>
  <si>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</si>
  <si>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</si>
  <si>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Reduceri comerciale primite</t>
  </si>
  <si>
    <t>Datorii: sumele care trebuie platite intr-o perioada de pana la un an</t>
  </si>
  <si>
    <t>E.Active circulante nete/datorii curente nete</t>
  </si>
  <si>
    <t>H.Provizioane</t>
  </si>
  <si>
    <t xml:space="preserve">Ajustări privind provizioanele  </t>
  </si>
  <si>
    <t xml:space="preserve">Cheltuieli materiale, materii prime, mărfuri – total </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</si>
  <si>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</si>
  <si>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</si>
  <si>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</si>
  <si>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 În conformitate  cu prevederile Regulamentului (UE) nr. 651/2014 al Comisiei din 17 iunie 2014 de declarare a anumitor categorii de ajutoare compatibile cu piața internă în aplicarea articolelor 107 și 108 din tratat</t>
  </si>
  <si>
    <t>[completați cu denumirea activului]</t>
  </si>
  <si>
    <t>Regularizare TVA</t>
  </si>
  <si>
    <t>Valoarea totală a cererii de finantare, din care:</t>
  </si>
  <si>
    <t>TVA eligibil</t>
  </si>
  <si>
    <t>DA</t>
  </si>
  <si>
    <t>NU</t>
  </si>
  <si>
    <r>
      <t>PLATI DIN ACTIVITATEA DE INVESTITII</t>
    </r>
    <r>
      <rPr>
        <sz val="9"/>
        <rFont val="Calibri"/>
        <family val="2"/>
        <scheme val="minor"/>
      </rPr>
      <t xml:space="preserve"> (inlcusiv reinvestirile din cadrul proiectului de investitii)</t>
    </r>
  </si>
  <si>
    <t>ACTIVITATEA DE INVESTITII (inclusiv  reinvestirile din perioada post implementare)</t>
  </si>
  <si>
    <t>Alte venituri din exploatare (inclusiv veniturile din subventii pentru investitii)</t>
  </si>
  <si>
    <t>Valoare TVA neeligibil</t>
  </si>
  <si>
    <r>
      <t xml:space="preserve">Când mai mult de jumătate din capitalul social subscris a dispărut din cauza pierderilor acumulate.
</t>
    </r>
    <r>
      <rPr>
        <b/>
        <i/>
        <sz val="10"/>
        <rFont val="Calibri"/>
        <family val="2"/>
        <charset val="238"/>
      </rPr>
      <t>(Această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r>
  </si>
  <si>
    <r>
      <t>ii) Dacă Rezultatul total acumulat este negativ (</t>
    </r>
    <r>
      <rPr>
        <b/>
        <sz val="10"/>
        <rFont val="Calibri"/>
        <family val="2"/>
        <charset val="238"/>
      </rPr>
      <t>Pierdere acumulata</t>
    </r>
    <r>
      <rPr>
        <sz val="10"/>
        <rFont val="Calibri"/>
        <family val="2"/>
        <charset val="238"/>
      </rPr>
      <t xml:space="preserve">), atunci se calculează </t>
    </r>
    <r>
      <rPr>
        <b/>
        <sz val="10"/>
        <rFont val="Calibri"/>
        <family val="2"/>
        <charset val="238"/>
      </rPr>
      <t xml:space="preserve">Pierderile de capital </t>
    </r>
    <r>
      <rPr>
        <sz val="10"/>
        <rFont val="Calibri"/>
        <family val="2"/>
        <charset val="238"/>
      </rPr>
      <t>(Pierderea acumulata + Prime de capital + Rezerve din reevaluare + Rezerve)</t>
    </r>
  </si>
  <si>
    <r>
      <t xml:space="preserve">TVA eligibil (nedeductibil) ?
</t>
    </r>
    <r>
      <rPr>
        <b/>
        <i/>
        <sz val="9"/>
        <rFont val="Calibri"/>
        <family val="2"/>
        <charset val="238"/>
        <scheme val="minor"/>
      </rPr>
      <t>(selecteaza)</t>
    </r>
  </si>
  <si>
    <t>VENITURI TOTALE</t>
  </si>
  <si>
    <t>CHELTUIELI TOTALE</t>
  </si>
  <si>
    <t>Cheltuieli eligibile, fără TVA</t>
  </si>
  <si>
    <t>TVA nerecuperabilă, aferentă cheltuielilor eligibile</t>
  </si>
  <si>
    <t>Cheltuieli neeligibile, fără TVA</t>
  </si>
  <si>
    <t>iii) Dacă valoarea rezultată este pozitivă (&gt;=0), ori valoarea rezultată negativă reprezintă cel mult 50% din Capital social subscris si vărsat, atunci solicitantul nu se încadrează în categoria întreprinderilor în dificultate.</t>
  </si>
  <si>
    <t>Pierdere de capital (dacă rezultatul este negativ)</t>
  </si>
  <si>
    <t xml:space="preserve"> TVA recuperabilă aferentă cheltuielilor eligibile</t>
  </si>
  <si>
    <t>Cheltuieli cu realizarea/achizitia constructiilor</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</si>
  <si>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</si>
  <si>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</si>
  <si>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</si>
  <si>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</si>
  <si>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</si>
  <si>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</si>
  <si>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</si>
  <si>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</si>
  <si>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</si>
  <si>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</si>
  <si>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</si>
  <si>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</si>
  <si>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</si>
  <si>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</si>
  <si>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</si>
  <si>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Cheltuieli pentru realizare de depozite de echipamente medicale, medicamente, materiale sanitare, destinate interventiei pentru situatii de urgenta</t>
  </si>
  <si>
    <t>Cheltuilei cu reabilitarea/modernizarea/extinderea si/sau realizarea unor depouri pentru mijloacelor de transport din dotare sau pentru cele care urmeaza a se achizitiona</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</si>
  <si>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</si>
  <si>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Cheltuieli privind dotarea mijloacelor de transport existente cu echipamente si tehnologii care conduc la imbunatatirea confortului/calitatii serviciilor de transport persoane si marfuri prestate</t>
  </si>
  <si>
    <t>AN Implementare</t>
  </si>
  <si>
    <t>AN</t>
  </si>
  <si>
    <t>CONSTRUCTIE</t>
  </si>
  <si>
    <t>Cheltuieli cu energia +apa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</si>
</sst>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0"/>
      <name val="Calibri"/>
      <family val="2"/>
      <charset val="238"/>
    </font>
    <font>
      <sz val="11"/>
      <color theme="1"/>
      <name val="Calibri"/>
      <family val="2"/>
      <charset val="238"/>
      <scheme val="minor"/>
    </font>
    <font>
      <sz val="11"/>
      <color theme="1"/>
      <name val="Calibri"/>
      <family val="2"/>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b/>
      <i/>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10"/>
      <color rgb="FFFF0000"/>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b/>
      <u/>
      <sz val="9"/>
      <color theme="1"/>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9"/>
      <name val="Calibri"/>
      <family val="2"/>
      <scheme val="minor"/>
    </font>
    <font>
      <b/>
      <i/>
      <sz val="9"/>
      <name val="Calibri"/>
      <family val="2"/>
      <charset val="238"/>
      <scheme val="minor"/>
    </font>
    <font>
      <sz val="8"/>
      <name val="Calibri"/>
      <family val="2"/>
      <charset val="238"/>
    </font>
    <font>
      <sz val="10"/>
      <color rgb="FF000000"/>
      <name val="Calibri"/>
      <family val="2"/>
    </font>
    <font>
      <b/>
      <sz val="11"/>
      <color rgb="FFFF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6">
    <xf numFmtId="0" fontId="0" fillId="0" borderId="0"/>
    <xf numFmtId="0" fontId="17" fillId="0" borderId="0"/>
    <xf numFmtId="0" fontId="3" fillId="0" borderId="0"/>
    <xf numFmtId="9" fontId="18" fillId="0" borderId="0" applyFont="0" applyFill="0" applyBorder="0" applyAlignment="0" applyProtection="0"/>
    <xf numFmtId="0" fontId="2" fillId="0" borderId="0"/>
    <xf numFmtId="9" fontId="28" fillId="0" borderId="0" applyFont="0" applyFill="0" applyBorder="0" applyAlignment="0" applyProtection="0"/>
  </cellStyleXfs>
  <cellXfs count="554">
    <xf numFmtId="0" fontId="0" fillId="0" borderId="0" xfId="0"/>
    <xf numFmtId="0" fontId="26" fillId="0" borderId="0" xfId="0" applyFont="1" applyAlignment="1">
      <alignment horizontal="left" vertical="top" wrapText="1"/>
    </xf>
    <xf numFmtId="0" fontId="26" fillId="0" borderId="13" xfId="0" applyFont="1" applyBorder="1" applyAlignment="1">
      <alignment vertical="top"/>
    </xf>
    <xf numFmtId="0" fontId="26" fillId="0" borderId="4" xfId="0" applyFont="1" applyBorder="1" applyAlignment="1">
      <alignment vertical="top"/>
    </xf>
    <xf numFmtId="0" fontId="42" fillId="0" borderId="3" xfId="4" applyNumberFormat="1" applyFont="1" applyFill="1" applyBorder="1" applyAlignment="1" applyProtection="1">
      <alignment horizontal="right" vertical="top" wrapText="1"/>
    </xf>
    <xf numFmtId="0" fontId="42" fillId="0" borderId="3" xfId="0" applyNumberFormat="1" applyFont="1" applyFill="1" applyBorder="1" applyAlignment="1" applyProtection="1">
      <alignment horizontal="right" vertical="top" wrapText="1"/>
    </xf>
    <xf numFmtId="4" fontId="42" fillId="0" borderId="3" xfId="4" applyNumberFormat="1" applyFont="1" applyFill="1" applyBorder="1" applyAlignment="1" applyProtection="1">
      <alignment horizontal="left" vertical="top" wrapText="1"/>
    </xf>
    <xf numFmtId="0" fontId="25" fillId="0" borderId="3" xfId="0" applyNumberFormat="1" applyFont="1" applyFill="1" applyBorder="1" applyAlignment="1">
      <alignment horizontal="right" vertical="top"/>
    </xf>
    <xf numFmtId="4" fontId="42" fillId="0" borderId="3" xfId="0" applyNumberFormat="1" applyFont="1" applyFill="1" applyBorder="1" applyAlignment="1" applyProtection="1">
      <alignment vertical="top" wrapText="1"/>
    </xf>
    <xf numFmtId="0" fontId="42" fillId="0" borderId="3" xfId="0" applyNumberFormat="1" applyFont="1" applyFill="1" applyBorder="1" applyAlignment="1">
      <alignment vertical="top"/>
    </xf>
    <xf numFmtId="0" fontId="43" fillId="0" borderId="0" xfId="4" applyNumberFormat="1" applyFont="1" applyFill="1" applyBorder="1" applyAlignment="1" applyProtection="1">
      <alignment horizontal="right" vertical="top" wrapText="1"/>
    </xf>
    <xf numFmtId="0" fontId="42" fillId="0" borderId="3" xfId="0" applyNumberFormat="1" applyFont="1" applyFill="1" applyBorder="1" applyAlignment="1">
      <alignment horizontal="right" vertical="top"/>
    </xf>
    <xf numFmtId="0" fontId="43" fillId="0" borderId="3" xfId="0" applyNumberFormat="1" applyFont="1" applyFill="1" applyBorder="1" applyAlignment="1">
      <alignment horizontal="right" vertical="top"/>
    </xf>
    <xf numFmtId="4" fontId="42" fillId="0" borderId="3" xfId="0" applyNumberFormat="1" applyFont="1" applyFill="1" applyBorder="1" applyAlignment="1" applyProtection="1">
      <alignment horizontal="left" vertical="top" wrapText="1"/>
    </xf>
    <xf numFmtId="0" fontId="42" fillId="0" borderId="0" xfId="0" applyNumberFormat="1" applyFont="1" applyFill="1" applyAlignment="1">
      <alignment horizontal="right" vertical="top"/>
    </xf>
    <xf numFmtId="0" fontId="42" fillId="0" borderId="0" xfId="0" applyNumberFormat="1" applyFont="1" applyAlignment="1">
      <alignment horizontal="right" vertical="top"/>
    </xf>
    <xf numFmtId="3" fontId="42" fillId="0" borderId="0" xfId="0" applyNumberFormat="1" applyFont="1" applyAlignment="1" applyProtection="1">
      <alignment horizontal="center" vertical="top"/>
    </xf>
    <xf numFmtId="4" fontId="43" fillId="0" borderId="3" xfId="0" applyNumberFormat="1" applyFont="1" applyFill="1" applyBorder="1" applyAlignment="1" applyProtection="1">
      <alignment vertical="top" wrapText="1"/>
    </xf>
    <xf numFmtId="0" fontId="38" fillId="0" borderId="0" xfId="1" applyFont="1" applyFill="1" applyAlignment="1" applyProtection="1">
      <alignment horizontal="left" vertical="top"/>
    </xf>
    <xf numFmtId="3" fontId="43" fillId="0" borderId="3" xfId="4" applyNumberFormat="1" applyFont="1" applyFill="1" applyBorder="1" applyAlignment="1" applyProtection="1">
      <alignment horizontal="center" vertical="center" wrapText="1"/>
    </xf>
    <xf numFmtId="0" fontId="15" fillId="0" borderId="0" xfId="0" applyFont="1" applyFill="1" applyBorder="1" applyAlignment="1" applyProtection="1">
      <alignment vertical="top"/>
    </xf>
    <xf numFmtId="0" fontId="42" fillId="0" borderId="0" xfId="0" applyFont="1" applyAlignment="1" applyProtection="1">
      <alignment vertical="top"/>
    </xf>
    <xf numFmtId="0" fontId="0" fillId="0" borderId="0" xfId="0" applyAlignment="1" applyProtection="1">
      <alignment vertical="top"/>
    </xf>
    <xf numFmtId="3" fontId="43" fillId="0" borderId="3" xfId="4" applyNumberFormat="1" applyFont="1" applyFill="1" applyBorder="1" applyAlignment="1" applyProtection="1">
      <alignment horizontal="center" vertical="top" wrapText="1"/>
    </xf>
    <xf numFmtId="0" fontId="42" fillId="0" borderId="3" xfId="0" quotePrefix="1" applyNumberFormat="1" applyFont="1" applyFill="1" applyBorder="1" applyAlignment="1" applyProtection="1">
      <alignment horizontal="right" vertical="top" wrapText="1"/>
    </xf>
    <xf numFmtId="0" fontId="23" fillId="0" borderId="0" xfId="0" applyFont="1" applyFill="1" applyBorder="1" applyAlignment="1" applyProtection="1">
      <alignment vertical="top"/>
    </xf>
    <xf numFmtId="0" fontId="43" fillId="0" borderId="3" xfId="0" applyNumberFormat="1" applyFont="1" applyFill="1" applyBorder="1" applyAlignment="1" applyProtection="1">
      <alignment horizontal="right" vertical="top" wrapText="1"/>
    </xf>
    <xf numFmtId="4" fontId="43" fillId="0" borderId="3" xfId="4" applyNumberFormat="1" applyFont="1" applyFill="1" applyBorder="1" applyAlignment="1" applyProtection="1">
      <alignment horizontal="left" vertical="top" wrapText="1"/>
    </xf>
    <xf numFmtId="4" fontId="43" fillId="0" borderId="3" xfId="0" applyNumberFormat="1" applyFont="1" applyFill="1" applyBorder="1" applyAlignment="1" applyProtection="1">
      <alignment horizontal="left" vertical="top" wrapText="1"/>
    </xf>
    <xf numFmtId="0" fontId="42" fillId="4" borderId="3" xfId="0" applyNumberFormat="1" applyFont="1" applyFill="1" applyBorder="1" applyAlignment="1" applyProtection="1">
      <alignment horizontal="right" vertical="top" wrapText="1"/>
    </xf>
    <xf numFmtId="4" fontId="43" fillId="4" borderId="3" xfId="0" applyNumberFormat="1" applyFont="1" applyFill="1" applyBorder="1" applyAlignment="1" applyProtection="1">
      <alignment vertical="top" wrapText="1"/>
    </xf>
    <xf numFmtId="3" fontId="42" fillId="0" borderId="3" xfId="4" applyNumberFormat="1" applyFont="1" applyFill="1" applyBorder="1" applyAlignment="1" applyProtection="1">
      <alignment vertical="top" wrapText="1"/>
    </xf>
    <xf numFmtId="0" fontId="42" fillId="0" borderId="3" xfId="0" applyFont="1" applyFill="1" applyBorder="1" applyAlignment="1" applyProtection="1">
      <alignment vertical="top" wrapText="1"/>
    </xf>
    <xf numFmtId="0" fontId="43" fillId="0" borderId="3" xfId="4" applyNumberFormat="1" applyFont="1" applyFill="1" applyBorder="1" applyAlignment="1" applyProtection="1">
      <alignment horizontal="right" vertical="top" wrapText="1"/>
    </xf>
    <xf numFmtId="0" fontId="42" fillId="0" borderId="0" xfId="0" applyNumberFormat="1" applyFont="1" applyFill="1" applyAlignment="1" applyProtection="1">
      <alignment vertical="top"/>
    </xf>
    <xf numFmtId="3" fontId="43" fillId="0" borderId="3" xfId="4" applyNumberFormat="1" applyFont="1" applyFill="1" applyBorder="1" applyAlignment="1" applyProtection="1">
      <alignment horizontal="left" vertical="top" wrapText="1"/>
    </xf>
    <xf numFmtId="3" fontId="43" fillId="0" borderId="4" xfId="4" applyNumberFormat="1" applyFont="1" applyFill="1" applyBorder="1" applyAlignment="1" applyProtection="1">
      <alignment vertical="top" wrapText="1"/>
    </xf>
    <xf numFmtId="0" fontId="42" fillId="0" borderId="0" xfId="0" applyNumberFormat="1" applyFont="1" applyFill="1" applyBorder="1" applyAlignment="1" applyProtection="1">
      <alignment horizontal="right" vertical="top"/>
    </xf>
    <xf numFmtId="0" fontId="36" fillId="0" borderId="0" xfId="0" applyFont="1" applyFill="1" applyAlignment="1" applyProtection="1">
      <alignment horizontal="left" vertical="top" wrapText="1"/>
    </xf>
    <xf numFmtId="4" fontId="29" fillId="0" borderId="0" xfId="0" applyNumberFormat="1" applyFont="1" applyFill="1" applyAlignment="1" applyProtection="1">
      <alignment horizontal="right" vertical="top"/>
    </xf>
    <xf numFmtId="4" fontId="29" fillId="0" borderId="0" xfId="0" applyNumberFormat="1" applyFont="1" applyFill="1" applyAlignment="1" applyProtection="1">
      <alignment vertical="top"/>
    </xf>
    <xf numFmtId="0" fontId="29" fillId="0" borderId="0" xfId="0" applyFont="1" applyFill="1" applyAlignment="1" applyProtection="1">
      <alignment vertical="top"/>
    </xf>
    <xf numFmtId="0" fontId="35" fillId="0" borderId="0" xfId="0" applyFont="1" applyFill="1" applyAlignment="1" applyProtection="1">
      <alignment horizontal="left" vertical="top" wrapText="1"/>
    </xf>
    <xf numFmtId="0" fontId="32" fillId="0" borderId="3" xfId="0" applyFont="1" applyBorder="1" applyAlignment="1" applyProtection="1">
      <alignment vertical="top" wrapText="1"/>
    </xf>
    <xf numFmtId="4" fontId="31" fillId="0" borderId="0" xfId="0" applyNumberFormat="1" applyFont="1" applyAlignment="1" applyProtection="1">
      <alignment vertical="top"/>
    </xf>
    <xf numFmtId="0" fontId="31" fillId="0" borderId="0" xfId="0" applyFont="1" applyAlignment="1" applyProtection="1">
      <alignment vertical="top"/>
    </xf>
    <xf numFmtId="4" fontId="32" fillId="0" borderId="0" xfId="0" applyNumberFormat="1" applyFont="1" applyAlignment="1" applyProtection="1">
      <alignment vertical="top"/>
    </xf>
    <xf numFmtId="0" fontId="32" fillId="0" borderId="0" xfId="0" applyFont="1" applyAlignment="1" applyProtection="1">
      <alignment vertical="top"/>
    </xf>
    <xf numFmtId="3" fontId="31" fillId="0" borderId="3" xfId="0" applyNumberFormat="1" applyFont="1" applyBorder="1" applyAlignment="1" applyProtection="1">
      <alignment vertical="top" wrapText="1"/>
    </xf>
    <xf numFmtId="4" fontId="31" fillId="2" borderId="3" xfId="0" applyNumberFormat="1" applyFont="1" applyFill="1" applyBorder="1" applyAlignment="1" applyProtection="1">
      <alignment horizontal="right" vertical="top"/>
      <protection locked="0"/>
    </xf>
    <xf numFmtId="4" fontId="31" fillId="0" borderId="3" xfId="0" applyNumberFormat="1" applyFont="1" applyBorder="1" applyAlignment="1" applyProtection="1">
      <alignment horizontal="right" vertical="top"/>
    </xf>
    <xf numFmtId="3" fontId="32" fillId="0" borderId="3" xfId="0" applyNumberFormat="1" applyFont="1" applyBorder="1" applyAlignment="1" applyProtection="1">
      <alignment vertical="top" wrapText="1"/>
    </xf>
    <xf numFmtId="4" fontId="32" fillId="0" borderId="3" xfId="0" applyNumberFormat="1" applyFont="1" applyBorder="1" applyAlignment="1" applyProtection="1">
      <alignment horizontal="right" vertical="top"/>
    </xf>
    <xf numFmtId="4" fontId="32" fillId="0" borderId="0" xfId="0" applyNumberFormat="1" applyFont="1" applyBorder="1" applyAlignment="1" applyProtection="1">
      <alignment vertical="top"/>
    </xf>
    <xf numFmtId="0" fontId="32" fillId="0" borderId="0" xfId="0" applyFont="1" applyBorder="1" applyAlignment="1" applyProtection="1">
      <alignment vertical="top"/>
    </xf>
    <xf numFmtId="4" fontId="31" fillId="0" borderId="0" xfId="0" applyNumberFormat="1" applyFont="1" applyBorder="1" applyAlignment="1" applyProtection="1">
      <alignment vertical="top"/>
    </xf>
    <xf numFmtId="0" fontId="31" fillId="0" borderId="0" xfId="0" applyFont="1" applyBorder="1" applyAlignment="1" applyProtection="1">
      <alignment vertical="top"/>
    </xf>
    <xf numFmtId="4" fontId="32" fillId="0" borderId="3" xfId="0" applyNumberFormat="1" applyFont="1" applyBorder="1" applyAlignment="1" applyProtection="1">
      <alignment vertical="top"/>
    </xf>
    <xf numFmtId="4" fontId="31" fillId="0" borderId="3" xfId="0" applyNumberFormat="1" applyFont="1" applyFill="1" applyBorder="1" applyAlignment="1" applyProtection="1">
      <alignment horizontal="right" vertical="top"/>
    </xf>
    <xf numFmtId="3" fontId="29" fillId="0" borderId="3" xfId="0" applyNumberFormat="1" applyFont="1" applyBorder="1" applyAlignment="1" applyProtection="1">
      <alignment vertical="top" wrapText="1"/>
    </xf>
    <xf numFmtId="4" fontId="32" fillId="2" borderId="3" xfId="0" applyNumberFormat="1" applyFont="1" applyFill="1" applyBorder="1" applyAlignment="1" applyProtection="1">
      <alignment horizontal="right" vertical="top"/>
      <protection locked="0"/>
    </xf>
    <xf numFmtId="0" fontId="31" fillId="0" borderId="0" xfId="0" applyFont="1" applyAlignment="1" applyProtection="1">
      <alignment vertical="top" wrapText="1"/>
    </xf>
    <xf numFmtId="4" fontId="31" fillId="0" borderId="0" xfId="0" applyNumberFormat="1" applyFont="1" applyAlignment="1" applyProtection="1">
      <alignment horizontal="right" vertical="top"/>
    </xf>
    <xf numFmtId="0" fontId="29" fillId="0" borderId="0" xfId="0" applyFont="1" applyFill="1" applyAlignment="1" applyProtection="1">
      <alignment vertical="top" wrapText="1"/>
    </xf>
    <xf numFmtId="4" fontId="32" fillId="0" borderId="3" xfId="0" applyNumberFormat="1" applyFont="1" applyFill="1" applyBorder="1" applyAlignment="1" applyProtection="1">
      <alignment horizontal="center" vertical="top"/>
    </xf>
    <xf numFmtId="0" fontId="19" fillId="0" borderId="0" xfId="0" applyFont="1" applyFill="1" applyAlignment="1" applyProtection="1">
      <alignment vertical="top"/>
    </xf>
    <xf numFmtId="0" fontId="32" fillId="0" borderId="3" xfId="0" applyFont="1" applyBorder="1" applyAlignment="1" applyProtection="1">
      <alignment vertical="top"/>
    </xf>
    <xf numFmtId="0" fontId="6" fillId="0" borderId="0" xfId="0" applyFont="1" applyAlignment="1" applyProtection="1">
      <alignment vertical="top"/>
    </xf>
    <xf numFmtId="0" fontId="31" fillId="0" borderId="3" xfId="0" applyFont="1" applyBorder="1" applyAlignment="1" applyProtection="1">
      <alignment vertical="top"/>
    </xf>
    <xf numFmtId="4" fontId="31" fillId="2" borderId="3" xfId="0" applyNumberFormat="1" applyFont="1" applyFill="1" applyBorder="1" applyAlignment="1" applyProtection="1">
      <alignment vertical="top"/>
      <protection locked="0"/>
    </xf>
    <xf numFmtId="4" fontId="31" fillId="0" borderId="3" xfId="0" applyNumberFormat="1" applyFont="1" applyBorder="1" applyAlignment="1" applyProtection="1">
      <alignment vertical="top"/>
    </xf>
    <xf numFmtId="0" fontId="0" fillId="0" borderId="0" xfId="0" applyFont="1" applyAlignment="1" applyProtection="1">
      <alignment vertical="top"/>
    </xf>
    <xf numFmtId="4" fontId="32" fillId="2" borderId="3" xfId="0" applyNumberFormat="1" applyFont="1" applyFill="1" applyBorder="1" applyAlignment="1" applyProtection="1">
      <alignment vertical="top"/>
      <protection locked="0"/>
    </xf>
    <xf numFmtId="4" fontId="6" fillId="0" borderId="0" xfId="0" applyNumberFormat="1" applyFont="1" applyAlignment="1" applyProtection="1">
      <alignment vertical="top"/>
    </xf>
    <xf numFmtId="4" fontId="0" fillId="0" borderId="0" xfId="0" applyNumberFormat="1" applyFont="1" applyAlignment="1" applyProtection="1">
      <alignment vertical="top"/>
    </xf>
    <xf numFmtId="4" fontId="0" fillId="0" borderId="0" xfId="0" applyNumberFormat="1" applyAlignment="1" applyProtection="1">
      <alignment vertical="top"/>
    </xf>
    <xf numFmtId="0" fontId="42" fillId="0" borderId="0" xfId="0" applyFont="1" applyFill="1" applyAlignment="1">
      <alignment vertical="top" wrapText="1"/>
    </xf>
    <xf numFmtId="10" fontId="42" fillId="0" borderId="0" xfId="0" applyNumberFormat="1" applyFont="1" applyFill="1" applyAlignment="1">
      <alignment vertical="top" wrapText="1"/>
    </xf>
    <xf numFmtId="0" fontId="42" fillId="0" borderId="0" xfId="0" applyFont="1" applyFill="1" applyAlignment="1">
      <alignment vertical="top"/>
    </xf>
    <xf numFmtId="0" fontId="31" fillId="0" borderId="0" xfId="0" applyFont="1" applyFill="1" applyAlignment="1">
      <alignment vertical="top"/>
    </xf>
    <xf numFmtId="0" fontId="43" fillId="0" borderId="3" xfId="0" applyFont="1" applyBorder="1" applyAlignment="1">
      <alignment vertical="top" wrapText="1"/>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0" fillId="0" borderId="0" xfId="0" applyAlignment="1">
      <alignment vertical="top"/>
    </xf>
    <xf numFmtId="3" fontId="43" fillId="0" borderId="3" xfId="0" applyNumberFormat="1" applyFont="1" applyBorder="1" applyAlignment="1">
      <alignment vertical="top" wrapText="1"/>
    </xf>
    <xf numFmtId="0" fontId="43" fillId="0" borderId="0" xfId="0" applyFont="1" applyAlignment="1">
      <alignment vertical="top" wrapText="1"/>
    </xf>
    <xf numFmtId="10" fontId="42" fillId="0" borderId="3" xfId="0" applyNumberFormat="1" applyFont="1" applyBorder="1" applyAlignment="1">
      <alignment vertical="top" wrapText="1"/>
    </xf>
    <xf numFmtId="10" fontId="43" fillId="0" borderId="3" xfId="0" applyNumberFormat="1" applyFont="1" applyBorder="1" applyAlignment="1">
      <alignment vertical="top" wrapText="1"/>
    </xf>
    <xf numFmtId="0" fontId="43" fillId="0" borderId="0" xfId="0" applyFont="1" applyAlignment="1">
      <alignment vertical="top"/>
    </xf>
    <xf numFmtId="0" fontId="32" fillId="0" borderId="0" xfId="0" applyFont="1" applyAlignment="1">
      <alignment vertical="top"/>
    </xf>
    <xf numFmtId="0" fontId="5" fillId="0" borderId="0" xfId="0" applyFont="1" applyAlignment="1">
      <alignment vertical="top"/>
    </xf>
    <xf numFmtId="0" fontId="42" fillId="0" borderId="3" xfId="0" applyFont="1" applyBorder="1" applyAlignment="1">
      <alignment vertical="top" wrapText="1"/>
    </xf>
    <xf numFmtId="3" fontId="42" fillId="0" borderId="3" xfId="0" applyNumberFormat="1" applyFont="1" applyBorder="1" applyAlignment="1">
      <alignment vertical="top" wrapText="1"/>
    </xf>
    <xf numFmtId="0" fontId="4" fillId="0" borderId="0" xfId="0" applyFont="1" applyAlignment="1">
      <alignment vertical="top"/>
    </xf>
    <xf numFmtId="3" fontId="43" fillId="0" borderId="0" xfId="0" applyNumberFormat="1" applyFont="1" applyAlignment="1">
      <alignment vertical="top" wrapText="1"/>
    </xf>
    <xf numFmtId="10" fontId="43" fillId="0" borderId="0" xfId="0" applyNumberFormat="1" applyFont="1" applyAlignment="1">
      <alignment vertical="top" wrapText="1"/>
    </xf>
    <xf numFmtId="0" fontId="42" fillId="0" borderId="3" xfId="0" applyFont="1" applyBorder="1" applyAlignment="1">
      <alignment horizontal="left" vertical="top"/>
    </xf>
    <xf numFmtId="0" fontId="46" fillId="0" borderId="0" xfId="0" applyFont="1" applyAlignment="1">
      <alignment vertical="top" wrapText="1"/>
    </xf>
    <xf numFmtId="0" fontId="46" fillId="0" borderId="0" xfId="0" applyFont="1" applyAlignment="1">
      <alignment vertical="top"/>
    </xf>
    <xf numFmtId="0" fontId="33" fillId="0" borderId="0" xfId="0" applyFont="1" applyAlignment="1">
      <alignment vertical="top"/>
    </xf>
    <xf numFmtId="0" fontId="16" fillId="0" borderId="0" xfId="0" applyFont="1" applyAlignment="1">
      <alignment vertical="top"/>
    </xf>
    <xf numFmtId="3" fontId="42" fillId="0" borderId="0" xfId="0" applyNumberFormat="1" applyFont="1" applyAlignment="1">
      <alignment vertical="top" wrapText="1"/>
    </xf>
    <xf numFmtId="10" fontId="42" fillId="0" borderId="0" xfId="0" applyNumberFormat="1" applyFont="1" applyAlignment="1">
      <alignment vertical="top" wrapText="1"/>
    </xf>
    <xf numFmtId="0" fontId="8" fillId="0" borderId="0" xfId="0" applyFont="1" applyAlignment="1">
      <alignment vertical="top"/>
    </xf>
    <xf numFmtId="0" fontId="20" fillId="0" borderId="0" xfId="0" applyFont="1" applyFill="1" applyAlignment="1">
      <alignment vertical="top"/>
    </xf>
    <xf numFmtId="0" fontId="31" fillId="0" borderId="3" xfId="0" applyFont="1" applyBorder="1" applyAlignment="1" applyProtection="1">
      <alignment vertical="top" wrapText="1"/>
    </xf>
    <xf numFmtId="3" fontId="31" fillId="0" borderId="3" xfId="0" applyNumberFormat="1" applyFont="1" applyBorder="1" applyAlignment="1" applyProtection="1">
      <alignment vertical="top"/>
    </xf>
    <xf numFmtId="10" fontId="31" fillId="0" borderId="3" xfId="0" applyNumberFormat="1" applyFont="1" applyBorder="1" applyAlignment="1" applyProtection="1">
      <alignment vertical="top"/>
    </xf>
    <xf numFmtId="3" fontId="31" fillId="0" borderId="0" xfId="0" applyNumberFormat="1" applyFont="1" applyAlignment="1" applyProtection="1">
      <alignment horizontal="right" vertical="top"/>
    </xf>
    <xf numFmtId="0" fontId="32" fillId="0" borderId="3" xfId="0" applyFont="1" applyBorder="1" applyAlignment="1">
      <alignment vertical="top" wrapText="1"/>
    </xf>
    <xf numFmtId="0" fontId="31" fillId="0" borderId="3" xfId="0" applyFont="1" applyBorder="1" applyAlignment="1">
      <alignment vertical="top" wrapText="1"/>
    </xf>
    <xf numFmtId="3" fontId="31" fillId="0" borderId="3" xfId="0" applyNumberFormat="1" applyFont="1" applyBorder="1" applyAlignment="1">
      <alignment vertical="top"/>
    </xf>
    <xf numFmtId="0" fontId="6" fillId="0" borderId="0" xfId="0" applyFont="1" applyAlignment="1">
      <alignment vertical="top"/>
    </xf>
    <xf numFmtId="0" fontId="31" fillId="3" borderId="3" xfId="0" applyFont="1" applyFill="1" applyBorder="1" applyAlignment="1">
      <alignment vertical="top" wrapText="1"/>
    </xf>
    <xf numFmtId="3" fontId="31" fillId="3" borderId="3" xfId="0" applyNumberFormat="1" applyFont="1" applyFill="1" applyBorder="1" applyAlignment="1">
      <alignment vertical="top"/>
    </xf>
    <xf numFmtId="0" fontId="32" fillId="0" borderId="3" xfId="0" applyFont="1" applyFill="1" applyBorder="1" applyAlignment="1" applyProtection="1">
      <alignment vertical="top" wrapText="1"/>
    </xf>
    <xf numFmtId="0" fontId="31" fillId="0" borderId="3" xfId="0" applyFont="1" applyFill="1" applyBorder="1" applyAlignment="1" applyProtection="1">
      <alignment vertical="top" wrapText="1"/>
    </xf>
    <xf numFmtId="9" fontId="31" fillId="0" borderId="3" xfId="0" applyNumberFormat="1" applyFont="1" applyFill="1" applyBorder="1" applyAlignment="1" applyProtection="1">
      <alignment vertical="top"/>
    </xf>
    <xf numFmtId="0" fontId="31" fillId="0" borderId="3" xfId="0" applyFont="1" applyFill="1" applyBorder="1" applyAlignment="1" applyProtection="1">
      <alignment vertical="top"/>
    </xf>
    <xf numFmtId="9" fontId="31" fillId="0" borderId="3" xfId="0" applyNumberFormat="1" applyFont="1" applyBorder="1" applyAlignment="1" applyProtection="1">
      <alignment vertical="top"/>
    </xf>
    <xf numFmtId="2" fontId="31" fillId="0" borderId="3" xfId="0" applyNumberFormat="1" applyFont="1" applyBorder="1" applyAlignment="1" applyProtection="1">
      <alignment vertical="top"/>
    </xf>
    <xf numFmtId="9" fontId="32" fillId="0" borderId="3" xfId="0" applyNumberFormat="1" applyFont="1" applyBorder="1" applyAlignment="1" applyProtection="1">
      <alignment vertical="top"/>
    </xf>
    <xf numFmtId="0" fontId="31" fillId="0" borderId="0" xfId="0" applyFont="1" applyAlignment="1">
      <alignment vertical="top" wrapText="1"/>
    </xf>
    <xf numFmtId="1" fontId="31" fillId="0" borderId="3" xfId="0" applyNumberFormat="1" applyFont="1" applyBorder="1" applyAlignment="1" applyProtection="1">
      <alignment vertical="top"/>
    </xf>
    <xf numFmtId="0" fontId="9" fillId="0" borderId="0" xfId="0" applyFont="1" applyAlignment="1">
      <alignment vertical="top"/>
    </xf>
    <xf numFmtId="0" fontId="32" fillId="0" borderId="0" xfId="0" applyFont="1" applyFill="1" applyBorder="1" applyAlignment="1" applyProtection="1">
      <alignment vertical="top" wrapText="1"/>
    </xf>
    <xf numFmtId="0" fontId="31" fillId="0" borderId="0" xfId="0" applyFont="1" applyBorder="1" applyAlignment="1" applyProtection="1">
      <alignment vertical="top" wrapText="1"/>
    </xf>
    <xf numFmtId="9" fontId="31" fillId="0" borderId="0" xfId="0" applyNumberFormat="1" applyFont="1" applyBorder="1" applyAlignment="1" applyProtection="1">
      <alignment vertical="top"/>
    </xf>
    <xf numFmtId="0" fontId="31" fillId="0" borderId="1" xfId="0" applyFont="1" applyBorder="1" applyAlignment="1" applyProtection="1">
      <alignment vertical="top" wrapText="1"/>
    </xf>
    <xf numFmtId="9" fontId="31" fillId="0" borderId="1" xfId="0" applyNumberFormat="1" applyFont="1" applyBorder="1" applyAlignment="1" applyProtection="1">
      <alignment vertical="top"/>
    </xf>
    <xf numFmtId="2" fontId="31" fillId="0" borderId="3" xfId="0" applyNumberFormat="1" applyFont="1" applyFill="1" applyBorder="1" applyAlignment="1" applyProtection="1">
      <alignment vertical="top"/>
    </xf>
    <xf numFmtId="0" fontId="31" fillId="0" borderId="0" xfId="0" applyFont="1" applyFill="1" applyAlignment="1" applyProtection="1">
      <alignment vertical="top" wrapText="1"/>
    </xf>
    <xf numFmtId="0" fontId="31" fillId="0" borderId="0" xfId="0" applyFont="1" applyFill="1" applyBorder="1" applyAlignment="1" applyProtection="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9" fillId="0" borderId="3" xfId="1" applyFont="1" applyFill="1" applyBorder="1" applyAlignment="1" applyProtection="1">
      <alignment vertical="top" wrapText="1"/>
    </xf>
    <xf numFmtId="0" fontId="21" fillId="0" borderId="0" xfId="1" applyFont="1" applyAlignment="1" applyProtection="1">
      <alignment vertical="top"/>
    </xf>
    <xf numFmtId="0" fontId="25" fillId="0" borderId="0" xfId="1" applyFont="1" applyAlignment="1" applyProtection="1">
      <alignment vertical="top"/>
    </xf>
    <xf numFmtId="0" fontId="22" fillId="0" borderId="0" xfId="1" applyFont="1" applyAlignment="1" applyProtection="1">
      <alignment vertical="top"/>
    </xf>
    <xf numFmtId="0" fontId="38" fillId="0" borderId="3" xfId="1" applyFont="1" applyFill="1" applyBorder="1" applyAlignment="1" applyProtection="1">
      <alignment horizontal="center" vertical="top" wrapText="1"/>
    </xf>
    <xf numFmtId="0" fontId="38" fillId="0" borderId="3" xfId="1" applyFont="1" applyFill="1" applyBorder="1" applyAlignment="1" applyProtection="1">
      <alignment vertical="top" wrapText="1"/>
    </xf>
    <xf numFmtId="4" fontId="11" fillId="0" borderId="0" xfId="0" applyNumberFormat="1" applyFont="1" applyFill="1" applyAlignment="1">
      <alignment horizontal="center" vertical="top"/>
    </xf>
    <xf numFmtId="4" fontId="11" fillId="0" borderId="0" xfId="0" applyNumberFormat="1" applyFont="1" applyAlignment="1">
      <alignment horizontal="center" vertical="top"/>
    </xf>
    <xf numFmtId="4" fontId="15" fillId="0" borderId="0" xfId="0" applyNumberFormat="1" applyFont="1" applyFill="1" applyBorder="1" applyAlignment="1">
      <alignment vertical="top"/>
    </xf>
    <xf numFmtId="4" fontId="12" fillId="0" borderId="0" xfId="0" applyNumberFormat="1" applyFont="1" applyAlignment="1">
      <alignment horizontal="center" vertical="top"/>
    </xf>
    <xf numFmtId="4" fontId="0" fillId="0" borderId="0" xfId="0" applyNumberFormat="1" applyFont="1" applyFill="1" applyAlignment="1">
      <alignment vertical="top"/>
    </xf>
    <xf numFmtId="4" fontId="12" fillId="0" borderId="0" xfId="0" applyNumberFormat="1" applyFont="1" applyFill="1" applyAlignment="1">
      <alignment horizontal="center" vertical="top"/>
    </xf>
    <xf numFmtId="4" fontId="12" fillId="0" borderId="0" xfId="0" applyNumberFormat="1" applyFont="1" applyFill="1" applyBorder="1" applyAlignment="1">
      <alignment horizontal="center" vertical="top"/>
    </xf>
    <xf numFmtId="4" fontId="0" fillId="0" borderId="0" xfId="0" applyNumberFormat="1" applyFont="1" applyAlignment="1">
      <alignment vertical="top"/>
    </xf>
    <xf numFmtId="4" fontId="6" fillId="0" borderId="0" xfId="0" applyNumberFormat="1" applyFont="1" applyAlignment="1">
      <alignment vertical="top"/>
    </xf>
    <xf numFmtId="4" fontId="6" fillId="0" borderId="0" xfId="0" applyNumberFormat="1" applyFont="1" applyFill="1" applyBorder="1" applyAlignment="1">
      <alignment vertical="top"/>
    </xf>
    <xf numFmtId="4" fontId="6" fillId="0" borderId="0" xfId="0" applyNumberFormat="1" applyFont="1" applyFill="1" applyAlignment="1">
      <alignment vertical="top"/>
    </xf>
    <xf numFmtId="4" fontId="0" fillId="0" borderId="0" xfId="0" applyNumberFormat="1" applyFont="1" applyFill="1" applyBorder="1" applyAlignment="1">
      <alignment vertical="top"/>
    </xf>
    <xf numFmtId="0" fontId="0" fillId="0" borderId="0" xfId="0" applyFont="1" applyFill="1" applyAlignment="1">
      <alignment vertical="top"/>
    </xf>
    <xf numFmtId="0" fontId="0" fillId="0" borderId="0" xfId="0" applyFont="1" applyAlignment="1">
      <alignment vertical="top"/>
    </xf>
    <xf numFmtId="3" fontId="42" fillId="0" borderId="0" xfId="0" applyNumberFormat="1" applyFont="1" applyAlignment="1" applyProtection="1">
      <alignment vertical="top"/>
    </xf>
    <xf numFmtId="0" fontId="30" fillId="0" borderId="0" xfId="0" applyFont="1" applyAlignment="1" applyProtection="1">
      <alignment vertical="top"/>
    </xf>
    <xf numFmtId="0" fontId="25" fillId="0" borderId="0" xfId="0" applyFont="1" applyAlignment="1" applyProtection="1">
      <alignment vertical="top" wrapText="1"/>
    </xf>
    <xf numFmtId="3" fontId="25" fillId="0" borderId="0" xfId="0" applyNumberFormat="1" applyFont="1" applyAlignment="1" applyProtection="1">
      <alignment vertical="top" wrapText="1"/>
    </xf>
    <xf numFmtId="3" fontId="42" fillId="0" borderId="0" xfId="0" applyNumberFormat="1" applyFont="1" applyAlignment="1" applyProtection="1">
      <alignment vertical="top" wrapText="1"/>
    </xf>
    <xf numFmtId="3" fontId="25" fillId="0" borderId="0" xfId="0" applyNumberFormat="1" applyFont="1" applyAlignment="1" applyProtection="1">
      <alignment vertical="top"/>
    </xf>
    <xf numFmtId="0" fontId="25" fillId="0" borderId="0" xfId="0" applyFont="1" applyFill="1" applyBorder="1" applyAlignment="1" applyProtection="1">
      <alignment horizontal="left" vertical="top" wrapText="1"/>
    </xf>
    <xf numFmtId="3" fontId="25" fillId="0" borderId="0" xfId="0" applyNumberFormat="1" applyFont="1" applyFill="1" applyBorder="1" applyAlignment="1" applyProtection="1">
      <alignment horizontal="left" vertical="top" wrapText="1"/>
    </xf>
    <xf numFmtId="3" fontId="25" fillId="0" borderId="0" xfId="0" applyNumberFormat="1" applyFont="1" applyBorder="1" applyAlignment="1" applyProtection="1">
      <alignment vertical="top"/>
    </xf>
    <xf numFmtId="3" fontId="29" fillId="0" borderId="0" xfId="0" applyNumberFormat="1" applyFont="1" applyBorder="1" applyAlignment="1" applyProtection="1">
      <alignment vertical="top"/>
    </xf>
    <xf numFmtId="3" fontId="41" fillId="0" borderId="0" xfId="0" applyNumberFormat="1" applyFont="1" applyBorder="1" applyAlignment="1" applyProtection="1">
      <alignment vertical="top"/>
    </xf>
    <xf numFmtId="3" fontId="38" fillId="0" borderId="0" xfId="0" applyNumberFormat="1" applyFont="1" applyBorder="1" applyAlignment="1" applyProtection="1">
      <alignment vertical="top"/>
    </xf>
    <xf numFmtId="0" fontId="43" fillId="0" borderId="0" xfId="0" applyFont="1" applyFill="1" applyAlignment="1">
      <alignment vertical="top" wrapText="1"/>
    </xf>
    <xf numFmtId="0" fontId="1" fillId="0" borderId="0" xfId="1" applyFont="1" applyAlignment="1" applyProtection="1">
      <alignment vertical="top"/>
    </xf>
    <xf numFmtId="3" fontId="32" fillId="0" borderId="3" xfId="0" applyNumberFormat="1" applyFont="1" applyBorder="1" applyAlignment="1" applyProtection="1">
      <alignment vertical="top"/>
    </xf>
    <xf numFmtId="0" fontId="37" fillId="0" borderId="3" xfId="0" applyFont="1" applyBorder="1" applyAlignment="1" applyProtection="1">
      <alignment vertical="top" wrapText="1"/>
    </xf>
    <xf numFmtId="4" fontId="31" fillId="0" borderId="0" xfId="0" applyNumberFormat="1" applyFont="1" applyAlignment="1" applyProtection="1">
      <alignment vertical="top" wrapText="1"/>
    </xf>
    <xf numFmtId="0" fontId="31" fillId="0" borderId="0" xfId="0" applyFont="1" applyFill="1" applyBorder="1" applyAlignment="1" applyProtection="1">
      <alignment vertical="top" wrapText="1"/>
    </xf>
    <xf numFmtId="9" fontId="31" fillId="0" borderId="0" xfId="0" applyNumberFormat="1" applyFont="1" applyFill="1" applyBorder="1" applyAlignment="1" applyProtection="1">
      <alignment vertical="top"/>
    </xf>
    <xf numFmtId="0" fontId="32" fillId="0" borderId="3" xfId="0" applyFont="1" applyFill="1" applyBorder="1" applyAlignment="1" applyProtection="1">
      <alignment vertical="top"/>
    </xf>
    <xf numFmtId="3" fontId="31" fillId="0" borderId="3" xfId="0" applyNumberFormat="1" applyFont="1" applyFill="1" applyBorder="1" applyAlignment="1" applyProtection="1">
      <alignment horizontal="right" vertical="top"/>
    </xf>
    <xf numFmtId="0" fontId="31" fillId="0" borderId="3" xfId="1" applyFont="1" applyFill="1" applyBorder="1" applyAlignment="1" applyProtection="1">
      <alignment vertical="top" wrapText="1"/>
    </xf>
    <xf numFmtId="0" fontId="31" fillId="4" borderId="3" xfId="0" applyFont="1" applyFill="1" applyBorder="1" applyAlignment="1" applyProtection="1">
      <alignment vertical="top" wrapText="1"/>
    </xf>
    <xf numFmtId="0" fontId="21" fillId="0" borderId="0" xfId="1" applyFont="1" applyFill="1" applyAlignment="1" applyProtection="1">
      <alignment horizontal="left" vertical="top" wrapText="1"/>
    </xf>
    <xf numFmtId="0" fontId="29" fillId="0" borderId="0" xfId="1" applyFont="1" applyFill="1" applyAlignment="1" applyProtection="1">
      <alignment vertical="top" wrapText="1"/>
    </xf>
    <xf numFmtId="0" fontId="38" fillId="0" borderId="0" xfId="1" applyFont="1" applyFill="1" applyAlignment="1" applyProtection="1">
      <alignment vertical="top" wrapText="1"/>
    </xf>
    <xf numFmtId="0" fontId="22" fillId="0" borderId="0" xfId="1" applyFont="1" applyFill="1" applyAlignment="1" applyProtection="1">
      <alignment vertical="top" wrapText="1"/>
    </xf>
    <xf numFmtId="0" fontId="21" fillId="0" borderId="0" xfId="1" applyFont="1" applyFill="1" applyAlignment="1" applyProtection="1">
      <alignment vertical="top"/>
    </xf>
    <xf numFmtId="49" fontId="31" fillId="0" borderId="3" xfId="1" applyNumberFormat="1" applyFont="1" applyFill="1" applyBorder="1" applyAlignment="1" applyProtection="1">
      <alignment vertical="top"/>
    </xf>
    <xf numFmtId="49" fontId="31" fillId="0" borderId="7" xfId="1" applyNumberFormat="1" applyFont="1" applyFill="1" applyBorder="1" applyAlignment="1" applyProtection="1">
      <alignment vertical="top"/>
    </xf>
    <xf numFmtId="49" fontId="29" fillId="0" borderId="0" xfId="1" applyNumberFormat="1" applyFont="1" applyFill="1" applyAlignment="1" applyProtection="1">
      <alignment vertical="top"/>
    </xf>
    <xf numFmtId="49" fontId="22" fillId="0" borderId="0" xfId="1" applyNumberFormat="1" applyFont="1" applyFill="1" applyAlignment="1" applyProtection="1">
      <alignment vertical="top"/>
    </xf>
    <xf numFmtId="49" fontId="29" fillId="0" borderId="3" xfId="1" applyNumberFormat="1" applyFont="1" applyFill="1" applyBorder="1" applyAlignment="1" applyProtection="1">
      <alignment horizontal="left" vertical="top"/>
    </xf>
    <xf numFmtId="0" fontId="32" fillId="0" borderId="3" xfId="1" applyFont="1" applyFill="1" applyBorder="1" applyAlignment="1" applyProtection="1">
      <alignment horizontal="right" vertical="top" wrapText="1"/>
    </xf>
    <xf numFmtId="0" fontId="31" fillId="0" borderId="7" xfId="1" applyFont="1" applyFill="1" applyBorder="1" applyAlignment="1" applyProtection="1">
      <alignment horizontal="right" vertical="top" wrapText="1"/>
    </xf>
    <xf numFmtId="0" fontId="41" fillId="0" borderId="3" xfId="0" applyNumberFormat="1" applyFont="1" applyBorder="1" applyAlignment="1">
      <alignment horizontal="right" vertical="top"/>
    </xf>
    <xf numFmtId="4" fontId="43" fillId="0" borderId="3" xfId="0" applyNumberFormat="1" applyFont="1" applyFill="1" applyBorder="1" applyAlignment="1">
      <alignment horizontal="left" vertical="top" wrapText="1"/>
    </xf>
    <xf numFmtId="3" fontId="43" fillId="0" borderId="3" xfId="0" applyNumberFormat="1" applyFont="1" applyFill="1" applyBorder="1" applyAlignment="1">
      <alignment horizontal="center" vertical="center"/>
    </xf>
    <xf numFmtId="3" fontId="42" fillId="0" borderId="0" xfId="0" applyNumberFormat="1" applyFont="1" applyAlignment="1" applyProtection="1">
      <alignment horizontal="right" vertical="top"/>
    </xf>
    <xf numFmtId="0" fontId="38" fillId="0" borderId="0" xfId="1" applyFont="1" applyFill="1" applyAlignment="1" applyProtection="1">
      <alignment horizontal="right" vertical="top"/>
    </xf>
    <xf numFmtId="3" fontId="43" fillId="0" borderId="3" xfId="0" applyNumberFormat="1" applyFont="1" applyFill="1" applyBorder="1" applyAlignment="1">
      <alignment horizontal="right" vertical="top"/>
    </xf>
    <xf numFmtId="3" fontId="42" fillId="2" borderId="3" xfId="0" applyNumberFormat="1" applyFont="1" applyFill="1" applyBorder="1" applyAlignment="1" applyProtection="1">
      <alignment horizontal="right" vertical="top"/>
      <protection locked="0"/>
    </xf>
    <xf numFmtId="3" fontId="41" fillId="0" borderId="3" xfId="0" applyNumberFormat="1" applyFont="1" applyFill="1" applyBorder="1" applyAlignment="1">
      <alignment horizontal="right" vertical="top"/>
    </xf>
    <xf numFmtId="3" fontId="42" fillId="0" borderId="3" xfId="0" applyNumberFormat="1" applyFont="1" applyFill="1" applyBorder="1" applyAlignment="1" applyProtection="1">
      <alignment horizontal="right" vertical="top"/>
    </xf>
    <xf numFmtId="3" fontId="42" fillId="0" borderId="3" xfId="0" applyNumberFormat="1" applyFont="1" applyFill="1" applyBorder="1" applyAlignment="1">
      <alignment horizontal="right" vertical="top"/>
    </xf>
    <xf numFmtId="3" fontId="43" fillId="0" borderId="0" xfId="0" applyNumberFormat="1" applyFont="1" applyFill="1" applyBorder="1" applyAlignment="1">
      <alignment horizontal="right" vertical="top"/>
    </xf>
    <xf numFmtId="3" fontId="43" fillId="0" borderId="3" xfId="0" applyNumberFormat="1" applyFont="1" applyFill="1" applyBorder="1" applyAlignment="1" applyProtection="1">
      <alignment horizontal="right" vertical="top"/>
    </xf>
    <xf numFmtId="3" fontId="42" fillId="0" borderId="0" xfId="0" applyNumberFormat="1" applyFont="1" applyFill="1" applyBorder="1" applyAlignment="1" applyProtection="1">
      <alignment horizontal="right" vertical="top"/>
    </xf>
    <xf numFmtId="3" fontId="43" fillId="0" borderId="0" xfId="0" applyNumberFormat="1" applyFont="1" applyFill="1" applyBorder="1" applyAlignment="1" applyProtection="1">
      <alignment horizontal="right" vertical="top"/>
    </xf>
    <xf numFmtId="3" fontId="43" fillId="0" borderId="0" xfId="0" applyNumberFormat="1" applyFont="1" applyAlignment="1" applyProtection="1">
      <alignment horizontal="right" vertical="top"/>
    </xf>
    <xf numFmtId="0" fontId="21" fillId="0" borderId="0" xfId="1" applyFont="1" applyFill="1" applyAlignment="1" applyProtection="1">
      <alignment horizontal="right" vertical="top"/>
    </xf>
    <xf numFmtId="4" fontId="31" fillId="2" borderId="3" xfId="1" applyNumberFormat="1" applyFont="1" applyFill="1" applyBorder="1" applyAlignment="1" applyProtection="1">
      <alignment horizontal="right" vertical="top"/>
      <protection locked="0"/>
    </xf>
    <xf numFmtId="4" fontId="31" fillId="0" borderId="3" xfId="1" applyNumberFormat="1" applyFont="1" applyFill="1" applyBorder="1" applyAlignment="1" applyProtection="1">
      <alignment horizontal="right" vertical="top"/>
    </xf>
    <xf numFmtId="4" fontId="32" fillId="0" borderId="3" xfId="1" applyNumberFormat="1" applyFont="1" applyFill="1" applyBorder="1" applyAlignment="1" applyProtection="1">
      <alignment horizontal="right" vertical="top"/>
    </xf>
    <xf numFmtId="4" fontId="31" fillId="2" borderId="7" xfId="1" applyNumberFormat="1" applyFont="1" applyFill="1" applyBorder="1" applyAlignment="1" applyProtection="1">
      <alignment horizontal="right" vertical="top"/>
      <protection locked="0"/>
    </xf>
    <xf numFmtId="4" fontId="31" fillId="0" borderId="7" xfId="1" applyNumberFormat="1" applyFont="1" applyFill="1" applyBorder="1" applyAlignment="1" applyProtection="1">
      <alignment horizontal="right" vertical="top"/>
    </xf>
    <xf numFmtId="4" fontId="32" fillId="0" borderId="7" xfId="1" applyNumberFormat="1" applyFont="1" applyFill="1" applyBorder="1" applyAlignment="1" applyProtection="1">
      <alignment horizontal="right" vertical="top"/>
    </xf>
    <xf numFmtId="4" fontId="29" fillId="0" borderId="0" xfId="1" applyNumberFormat="1" applyFont="1" applyFill="1" applyAlignment="1" applyProtection="1">
      <alignment horizontal="right" vertical="top"/>
    </xf>
    <xf numFmtId="4" fontId="29" fillId="0" borderId="0" xfId="1" applyNumberFormat="1" applyFont="1" applyAlignment="1" applyProtection="1">
      <alignment horizontal="right" vertical="top"/>
    </xf>
    <xf numFmtId="4" fontId="29" fillId="6" borderId="3" xfId="1" applyNumberFormat="1" applyFont="1" applyFill="1" applyBorder="1" applyAlignment="1" applyProtection="1">
      <alignment horizontal="right" vertical="top"/>
      <protection locked="0"/>
    </xf>
    <xf numFmtId="4" fontId="22" fillId="0" borderId="0" xfId="1" applyNumberFormat="1" applyFont="1" applyFill="1" applyAlignment="1" applyProtection="1">
      <alignment horizontal="right" vertical="top"/>
    </xf>
    <xf numFmtId="4" fontId="13" fillId="0" borderId="0" xfId="1" applyNumberFormat="1" applyFont="1" applyFill="1" applyAlignment="1" applyProtection="1">
      <alignment horizontal="right" vertical="top"/>
    </xf>
    <xf numFmtId="0" fontId="38" fillId="0" borderId="0" xfId="1" applyFont="1" applyFill="1" applyAlignment="1" applyProtection="1">
      <alignment horizontal="left" vertical="top" wrapText="1"/>
    </xf>
    <xf numFmtId="4" fontId="42" fillId="0" borderId="3" xfId="0" applyNumberFormat="1" applyFont="1" applyFill="1" applyBorder="1" applyAlignment="1">
      <alignment horizontal="left" vertical="top" wrapText="1"/>
    </xf>
    <xf numFmtId="4" fontId="43" fillId="0" borderId="0" xfId="0" applyNumberFormat="1" applyFont="1" applyFill="1" applyBorder="1" applyAlignment="1">
      <alignment horizontal="left" vertical="top" wrapText="1"/>
    </xf>
    <xf numFmtId="4" fontId="42" fillId="0" borderId="0" xfId="0" applyNumberFormat="1" applyFont="1" applyFill="1" applyBorder="1" applyAlignment="1" applyProtection="1">
      <alignment vertical="top" wrapText="1"/>
    </xf>
    <xf numFmtId="4" fontId="42" fillId="0" borderId="0" xfId="0" applyNumberFormat="1" applyFont="1" applyAlignment="1" applyProtection="1">
      <alignment vertical="top" wrapText="1"/>
    </xf>
    <xf numFmtId="4" fontId="43" fillId="0" borderId="0" xfId="0" applyNumberFormat="1" applyFont="1" applyFill="1" applyBorder="1" applyAlignment="1">
      <alignment vertical="top"/>
    </xf>
    <xf numFmtId="0" fontId="43" fillId="0" borderId="10" xfId="0" applyNumberFormat="1" applyFont="1" applyFill="1" applyBorder="1" applyAlignment="1">
      <alignment horizontal="right" vertical="top"/>
    </xf>
    <xf numFmtId="4" fontId="43" fillId="0" borderId="10" xfId="0" applyNumberFormat="1" applyFont="1" applyFill="1" applyBorder="1" applyAlignment="1" applyProtection="1">
      <alignment vertical="top" wrapText="1"/>
    </xf>
    <xf numFmtId="3" fontId="43" fillId="0" borderId="10" xfId="0" applyNumberFormat="1" applyFont="1" applyFill="1" applyBorder="1" applyAlignment="1" applyProtection="1">
      <alignment horizontal="right" vertical="top"/>
    </xf>
    <xf numFmtId="0" fontId="41" fillId="0" borderId="3" xfId="0" applyNumberFormat="1" applyFont="1" applyFill="1" applyBorder="1" applyAlignment="1">
      <alignment horizontal="right" vertical="top"/>
    </xf>
    <xf numFmtId="4" fontId="43" fillId="0" borderId="0" xfId="0" applyNumberFormat="1" applyFont="1" applyFill="1" applyBorder="1" applyAlignment="1" applyProtection="1">
      <alignment vertical="top"/>
    </xf>
    <xf numFmtId="4" fontId="6" fillId="0" borderId="0" xfId="0" applyNumberFormat="1" applyFont="1" applyBorder="1" applyAlignment="1">
      <alignment vertical="top"/>
    </xf>
    <xf numFmtId="4" fontId="43" fillId="0" borderId="3" xfId="0" applyNumberFormat="1" applyFont="1" applyFill="1" applyBorder="1" applyAlignment="1">
      <alignment vertical="top"/>
    </xf>
    <xf numFmtId="0" fontId="42" fillId="0" borderId="0" xfId="0" applyFont="1" applyAlignment="1" applyProtection="1">
      <alignment vertical="top" wrapText="1"/>
    </xf>
    <xf numFmtId="3" fontId="25" fillId="2" borderId="3" xfId="0" applyNumberFormat="1" applyFont="1" applyFill="1" applyBorder="1" applyAlignment="1" applyProtection="1">
      <alignment vertical="top" wrapText="1"/>
      <protection locked="0"/>
    </xf>
    <xf numFmtId="9" fontId="25" fillId="0" borderId="3" xfId="5" applyNumberFormat="1" applyFont="1" applyBorder="1" applyAlignment="1" applyProtection="1">
      <alignment vertical="top" wrapText="1"/>
    </xf>
    <xf numFmtId="3" fontId="25" fillId="0" borderId="3" xfId="0" applyNumberFormat="1" applyFont="1" applyBorder="1" applyAlignment="1" applyProtection="1">
      <alignment vertical="top" wrapText="1"/>
    </xf>
    <xf numFmtId="0" fontId="41" fillId="0" borderId="3" xfId="0" applyFont="1" applyBorder="1" applyAlignment="1" applyProtection="1">
      <alignment vertical="top" wrapText="1"/>
    </xf>
    <xf numFmtId="3" fontId="41" fillId="0" borderId="3" xfId="0" applyNumberFormat="1" applyFont="1" applyBorder="1" applyAlignment="1" applyProtection="1">
      <alignment vertical="top"/>
    </xf>
    <xf numFmtId="9" fontId="41" fillId="0" borderId="3" xfId="5" applyNumberFormat="1" applyFont="1" applyBorder="1" applyAlignment="1" applyProtection="1">
      <alignment vertical="top" wrapText="1"/>
    </xf>
    <xf numFmtId="0" fontId="25" fillId="2" borderId="3" xfId="0" applyFont="1" applyFill="1" applyBorder="1" applyAlignment="1" applyProtection="1">
      <alignment vertical="top" wrapText="1"/>
      <protection locked="0"/>
    </xf>
    <xf numFmtId="3" fontId="43" fillId="5" borderId="10" xfId="0" applyNumberFormat="1" applyFont="1" applyFill="1" applyBorder="1" applyAlignment="1" applyProtection="1">
      <alignment horizontal="center" vertical="top"/>
    </xf>
    <xf numFmtId="3" fontId="41" fillId="0" borderId="3" xfId="0" applyNumberFormat="1" applyFont="1" applyBorder="1" applyAlignment="1" applyProtection="1">
      <alignment horizontal="center" vertical="top"/>
    </xf>
    <xf numFmtId="3" fontId="41" fillId="0" borderId="3" xfId="0" applyNumberFormat="1" applyFont="1" applyFill="1" applyBorder="1" applyAlignment="1" applyProtection="1">
      <alignment horizontal="center" vertical="top"/>
    </xf>
    <xf numFmtId="3" fontId="25" fillId="0" borderId="3" xfId="0" applyNumberFormat="1" applyFont="1" applyBorder="1" applyAlignment="1" applyProtection="1">
      <alignment vertical="top"/>
    </xf>
    <xf numFmtId="0" fontId="25" fillId="0" borderId="3" xfId="0" applyFont="1" applyBorder="1" applyAlignment="1" applyProtection="1">
      <alignment horizontal="right" vertical="top" wrapText="1"/>
    </xf>
    <xf numFmtId="0" fontId="25" fillId="0" borderId="3" xfId="0" applyFont="1" applyBorder="1" applyAlignment="1" applyProtection="1">
      <alignment vertical="top" wrapText="1"/>
    </xf>
    <xf numFmtId="3" fontId="43" fillId="0" borderId="3" xfId="4" applyNumberFormat="1" applyFont="1" applyFill="1" applyBorder="1" applyAlignment="1" applyProtection="1">
      <alignment horizontal="right" vertical="top"/>
    </xf>
    <xf numFmtId="0" fontId="42" fillId="0" borderId="0" xfId="0" applyFont="1" applyFill="1" applyBorder="1" applyAlignment="1" applyProtection="1">
      <alignment vertical="top" wrapText="1"/>
    </xf>
    <xf numFmtId="3" fontId="42" fillId="0" borderId="3" xfId="0" applyNumberFormat="1" applyFont="1" applyFill="1" applyBorder="1" applyAlignment="1" applyProtection="1">
      <alignment horizontal="right" vertical="top" wrapText="1"/>
    </xf>
    <xf numFmtId="3" fontId="43" fillId="0" borderId="3" xfId="0" applyNumberFormat="1" applyFont="1" applyFill="1" applyBorder="1" applyAlignment="1" applyProtection="1">
      <alignment horizontal="right" vertical="top" wrapText="1"/>
    </xf>
    <xf numFmtId="3" fontId="43" fillId="4" borderId="3" xfId="0" applyNumberFormat="1" applyFont="1" applyFill="1" applyBorder="1" applyAlignment="1" applyProtection="1">
      <alignment horizontal="right" vertical="top"/>
    </xf>
    <xf numFmtId="3" fontId="42" fillId="0" borderId="3" xfId="4" applyNumberFormat="1" applyFont="1" applyFill="1" applyBorder="1" applyAlignment="1" applyProtection="1">
      <alignment horizontal="right" vertical="top"/>
    </xf>
    <xf numFmtId="3" fontId="42" fillId="0" borderId="3" xfId="4" applyNumberFormat="1" applyFont="1" applyFill="1" applyBorder="1" applyAlignment="1" applyProtection="1">
      <alignment horizontal="right" vertical="top" wrapText="1"/>
    </xf>
    <xf numFmtId="3" fontId="42" fillId="4" borderId="3" xfId="4" applyNumberFormat="1" applyFont="1" applyFill="1" applyBorder="1" applyAlignment="1" applyProtection="1">
      <alignment horizontal="right" vertical="top" wrapText="1"/>
    </xf>
    <xf numFmtId="3" fontId="43" fillId="4" borderId="3" xfId="4" applyNumberFormat="1" applyFont="1" applyFill="1" applyBorder="1" applyAlignment="1" applyProtection="1">
      <alignment horizontal="right" vertical="top" wrapText="1"/>
    </xf>
    <xf numFmtId="3" fontId="42" fillId="2" borderId="3" xfId="4" applyNumberFormat="1" applyFont="1" applyFill="1" applyBorder="1" applyAlignment="1" applyProtection="1">
      <alignment horizontal="right" vertical="top" wrapText="1"/>
      <protection locked="0"/>
    </xf>
    <xf numFmtId="3" fontId="43" fillId="0" borderId="3" xfId="0" applyNumberFormat="1" applyFont="1" applyFill="1" applyBorder="1" applyAlignment="1">
      <alignment horizontal="center" vertical="center"/>
    </xf>
    <xf numFmtId="3" fontId="15" fillId="0" borderId="0" xfId="0" applyNumberFormat="1" applyFont="1" applyFill="1" applyBorder="1" applyAlignment="1" applyProtection="1">
      <alignment vertical="top"/>
    </xf>
    <xf numFmtId="3" fontId="25" fillId="2" borderId="3" xfId="0" applyNumberFormat="1" applyFont="1" applyFill="1" applyBorder="1" applyAlignment="1" applyProtection="1">
      <alignment horizontal="right" vertical="top"/>
      <protection locked="0"/>
    </xf>
    <xf numFmtId="4" fontId="43" fillId="0" borderId="3" xfId="0" applyNumberFormat="1" applyFont="1" applyFill="1" applyBorder="1" applyAlignment="1">
      <alignment horizontal="center" vertical="center"/>
    </xf>
    <xf numFmtId="0" fontId="41" fillId="0" borderId="3" xfId="0" applyFont="1" applyBorder="1" applyAlignment="1" applyProtection="1">
      <alignment horizontal="center" vertical="center" wrapText="1"/>
    </xf>
    <xf numFmtId="3" fontId="41" fillId="0" borderId="3" xfId="0" applyNumberFormat="1" applyFont="1" applyBorder="1" applyAlignment="1" applyProtection="1">
      <alignment horizontal="center" vertical="center" wrapText="1"/>
    </xf>
    <xf numFmtId="4" fontId="32" fillId="4" borderId="3" xfId="0" applyNumberFormat="1" applyFont="1" applyFill="1" applyBorder="1" applyAlignment="1" applyProtection="1">
      <alignment horizontal="right" vertical="top"/>
    </xf>
    <xf numFmtId="0" fontId="36" fillId="0" borderId="0" xfId="0" applyFont="1" applyFill="1" applyAlignment="1" applyProtection="1">
      <alignment horizontal="left" vertical="top" wrapText="1"/>
    </xf>
    <xf numFmtId="4" fontId="43" fillId="0" borderId="3"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0" fontId="41" fillId="0" borderId="3" xfId="0" applyFont="1" applyFill="1" applyBorder="1" applyAlignment="1" applyProtection="1">
      <alignment horizontal="center" vertical="top"/>
    </xf>
    <xf numFmtId="3" fontId="43" fillId="0" borderId="3" xfId="4" applyNumberFormat="1" applyFont="1" applyFill="1" applyBorder="1" applyAlignment="1" applyProtection="1">
      <alignment horizontal="right" vertical="top" wrapText="1"/>
    </xf>
    <xf numFmtId="4" fontId="31" fillId="4" borderId="3" xfId="0" applyNumberFormat="1" applyFont="1" applyFill="1" applyBorder="1" applyAlignment="1" applyProtection="1">
      <alignment horizontal="right" vertical="top"/>
    </xf>
    <xf numFmtId="3" fontId="41" fillId="0" borderId="3" xfId="0" applyNumberFormat="1" applyFont="1" applyFill="1" applyBorder="1" applyAlignment="1" applyProtection="1">
      <alignment horizontal="right" vertical="top"/>
    </xf>
    <xf numFmtId="4" fontId="31" fillId="4" borderId="3" xfId="0" applyNumberFormat="1" applyFont="1" applyFill="1" applyBorder="1" applyAlignment="1" applyProtection="1">
      <alignment vertical="top"/>
    </xf>
    <xf numFmtId="0" fontId="38" fillId="0" borderId="3" xfId="1" applyFont="1" applyFill="1" applyBorder="1" applyAlignment="1" applyProtection="1">
      <alignment horizontal="right" vertical="top" wrapText="1"/>
      <protection locked="0"/>
    </xf>
    <xf numFmtId="0" fontId="31" fillId="0" borderId="0" xfId="0" applyFont="1" applyFill="1" applyAlignment="1" applyProtection="1">
      <alignment vertical="top"/>
    </xf>
    <xf numFmtId="0" fontId="0" fillId="0" borderId="0" xfId="0" applyFont="1" applyFill="1" applyAlignment="1" applyProtection="1">
      <alignment vertical="top"/>
    </xf>
    <xf numFmtId="0" fontId="31" fillId="0" borderId="0" xfId="0" applyFont="1" applyFill="1" applyAlignment="1" applyProtection="1">
      <alignment horizontal="left" vertical="top"/>
    </xf>
    <xf numFmtId="4" fontId="32" fillId="0" borderId="0" xfId="0" applyNumberFormat="1" applyFont="1" applyFill="1" applyAlignment="1" applyProtection="1">
      <alignment horizontal="center" vertical="top"/>
    </xf>
    <xf numFmtId="4" fontId="31" fillId="0" borderId="0" xfId="0" applyNumberFormat="1" applyFont="1" applyFill="1" applyBorder="1" applyAlignment="1" applyProtection="1">
      <alignment horizontal="right" vertical="top"/>
    </xf>
    <xf numFmtId="4" fontId="32" fillId="0" borderId="3" xfId="0" applyNumberFormat="1" applyFont="1" applyFill="1" applyBorder="1" applyAlignment="1" applyProtection="1">
      <alignment horizontal="center" vertical="center"/>
    </xf>
    <xf numFmtId="0" fontId="29" fillId="0" borderId="0" xfId="0" applyFont="1" applyAlignment="1" applyProtection="1">
      <alignment horizontal="center" vertical="top"/>
    </xf>
    <xf numFmtId="0" fontId="29" fillId="0" borderId="0" xfId="0" applyFont="1" applyBorder="1" applyAlignment="1" applyProtection="1">
      <alignment horizontal="center" vertical="top"/>
    </xf>
    <xf numFmtId="0" fontId="11" fillId="0" borderId="0" xfId="0" applyFont="1" applyAlignment="1" applyProtection="1">
      <alignment horizontal="center" vertical="top"/>
    </xf>
    <xf numFmtId="3" fontId="38" fillId="0" borderId="0" xfId="0" applyNumberFormat="1" applyFont="1" applyFill="1" applyBorder="1" applyAlignment="1" applyProtection="1">
      <alignment horizontal="center" vertical="top"/>
    </xf>
    <xf numFmtId="3" fontId="12" fillId="0" borderId="0" xfId="0" applyNumberFormat="1" applyFont="1" applyFill="1" applyBorder="1" applyAlignment="1" applyProtection="1">
      <alignment horizontal="center" vertical="top"/>
    </xf>
    <xf numFmtId="3" fontId="31" fillId="0" borderId="3" xfId="0" applyNumberFormat="1" applyFont="1" applyFill="1" applyBorder="1" applyAlignment="1" applyProtection="1">
      <alignment horizontal="left" vertical="top"/>
    </xf>
    <xf numFmtId="3" fontId="31" fillId="0" borderId="3" xfId="0" applyNumberFormat="1" applyFont="1" applyFill="1" applyBorder="1" applyAlignment="1" applyProtection="1">
      <alignment horizontal="left" vertical="top" wrapText="1"/>
    </xf>
    <xf numFmtId="4" fontId="38" fillId="0" borderId="3" xfId="0" applyNumberFormat="1" applyFont="1" applyFill="1" applyBorder="1" applyAlignment="1" applyProtection="1">
      <alignment horizontal="right" vertical="top"/>
    </xf>
    <xf numFmtId="3" fontId="29" fillId="0" borderId="0" xfId="0" applyNumberFormat="1" applyFont="1" applyFill="1" applyBorder="1" applyAlignment="1" applyProtection="1">
      <alignment horizontal="center" vertical="top"/>
    </xf>
    <xf numFmtId="3" fontId="11" fillId="0" borderId="0" xfId="0" applyNumberFormat="1" applyFont="1" applyFill="1" applyBorder="1" applyAlignment="1" applyProtection="1">
      <alignment horizontal="center" vertical="top"/>
    </xf>
    <xf numFmtId="4" fontId="32" fillId="0" borderId="3" xfId="0" applyNumberFormat="1" applyFont="1" applyFill="1" applyBorder="1" applyAlignment="1" applyProtection="1">
      <alignment horizontal="right" vertical="top"/>
    </xf>
    <xf numFmtId="49" fontId="38" fillId="0" borderId="3" xfId="0" applyNumberFormat="1" applyFont="1" applyFill="1" applyBorder="1" applyAlignment="1" applyProtection="1">
      <alignment horizontal="left" vertical="top"/>
    </xf>
    <xf numFmtId="0" fontId="38" fillId="0" borderId="3" xfId="0" applyFont="1" applyFill="1" applyBorder="1" applyAlignment="1" applyProtection="1">
      <alignment horizontal="right" vertical="top" wrapText="1"/>
    </xf>
    <xf numFmtId="3" fontId="24" fillId="0" borderId="0" xfId="0" applyNumberFormat="1" applyFont="1" applyFill="1" applyBorder="1" applyAlignment="1" applyProtection="1">
      <alignment horizontal="center" vertical="top"/>
    </xf>
    <xf numFmtId="0" fontId="29" fillId="0" borderId="0" xfId="0" applyFont="1" applyFill="1" applyBorder="1" applyAlignment="1" applyProtection="1">
      <alignment horizontal="left" vertical="top"/>
    </xf>
    <xf numFmtId="0" fontId="29" fillId="0" borderId="0" xfId="0" applyFont="1" applyFill="1" applyBorder="1" applyAlignment="1" applyProtection="1">
      <alignment vertical="top" wrapText="1"/>
    </xf>
    <xf numFmtId="4" fontId="32" fillId="0" borderId="0" xfId="0" applyNumberFormat="1" applyFont="1" applyFill="1" applyBorder="1" applyAlignment="1" applyProtection="1">
      <alignment horizontal="right" vertical="top"/>
    </xf>
    <xf numFmtId="4" fontId="32" fillId="0" borderId="0" xfId="0" applyNumberFormat="1" applyFont="1" applyFill="1" applyBorder="1" applyAlignment="1" applyProtection="1">
      <alignment horizontal="center" vertical="top"/>
    </xf>
    <xf numFmtId="3" fontId="13" fillId="0" borderId="0" xfId="0" applyNumberFormat="1" applyFont="1" applyFill="1" applyBorder="1" applyAlignment="1" applyProtection="1">
      <alignment horizontal="center" vertical="top"/>
    </xf>
    <xf numFmtId="0" fontId="38" fillId="0" borderId="0" xfId="0" applyFont="1" applyFill="1" applyBorder="1" applyAlignment="1" applyProtection="1">
      <alignment vertical="top" wrapText="1"/>
    </xf>
    <xf numFmtId="4" fontId="32" fillId="0" borderId="3" xfId="0" applyNumberFormat="1" applyFont="1" applyFill="1" applyBorder="1" applyAlignment="1" applyProtection="1">
      <alignment horizontal="center" vertical="center"/>
    </xf>
    <xf numFmtId="0" fontId="7" fillId="0" borderId="0" xfId="0" applyFont="1" applyFill="1" applyAlignment="1" applyProtection="1">
      <alignment vertical="top"/>
    </xf>
    <xf numFmtId="0" fontId="13" fillId="0" borderId="0" xfId="0" applyFont="1" applyAlignment="1" applyProtection="1">
      <alignment horizontal="center" vertical="top"/>
    </xf>
    <xf numFmtId="4" fontId="38" fillId="0" borderId="3" xfId="0" applyNumberFormat="1" applyFont="1" applyBorder="1" applyAlignment="1" applyProtection="1">
      <alignment horizontal="right" vertical="top"/>
    </xf>
    <xf numFmtId="0" fontId="38" fillId="0" borderId="0" xfId="0" applyFont="1" applyAlignment="1" applyProtection="1">
      <alignment horizontal="center" vertical="top"/>
    </xf>
    <xf numFmtId="0" fontId="38" fillId="0" borderId="0" xfId="0" applyFont="1" applyBorder="1" applyAlignment="1" applyProtection="1">
      <alignment horizontal="center" vertical="top"/>
    </xf>
    <xf numFmtId="0" fontId="10" fillId="0" borderId="0" xfId="0" applyFont="1" applyAlignment="1" applyProtection="1">
      <alignment horizontal="center" vertical="top"/>
    </xf>
    <xf numFmtId="0" fontId="38" fillId="0" borderId="0" xfId="0" applyFont="1" applyAlignment="1" applyProtection="1">
      <alignment horizontal="left" vertical="top"/>
    </xf>
    <xf numFmtId="0" fontId="38" fillId="0" borderId="0" xfId="0" applyFont="1" applyAlignment="1" applyProtection="1">
      <alignment horizontal="right" vertical="top" wrapText="1"/>
    </xf>
    <xf numFmtId="0" fontId="12" fillId="0" borderId="0" xfId="0" applyFont="1" applyAlignment="1" applyProtection="1">
      <alignment horizontal="center" vertical="top"/>
    </xf>
    <xf numFmtId="0" fontId="32" fillId="0" borderId="0" xfId="0" applyFont="1" applyFill="1" applyBorder="1" applyAlignment="1" applyProtection="1">
      <alignment horizontal="left" vertical="top" wrapText="1"/>
    </xf>
    <xf numFmtId="0" fontId="29" fillId="0" borderId="0" xfId="0" applyFont="1" applyAlignment="1" applyProtection="1">
      <alignment horizontal="left" vertical="top"/>
    </xf>
    <xf numFmtId="4" fontId="38" fillId="0" borderId="3" xfId="0" applyNumberFormat="1" applyFont="1" applyFill="1" applyBorder="1" applyAlignment="1" applyProtection="1">
      <alignment horizontal="center" vertical="top"/>
    </xf>
    <xf numFmtId="0" fontId="11" fillId="0" borderId="0" xfId="0" applyFont="1" applyBorder="1" applyAlignment="1" applyProtection="1">
      <alignment horizontal="center" vertical="top"/>
    </xf>
    <xf numFmtId="0" fontId="12" fillId="0" borderId="0" xfId="0" applyFont="1" applyBorder="1" applyAlignment="1" applyProtection="1">
      <alignment horizontal="center" vertical="top"/>
    </xf>
    <xf numFmtId="0" fontId="31" fillId="0" borderId="0" xfId="0" applyFont="1" applyFill="1" applyBorder="1" applyAlignment="1" applyProtection="1">
      <alignment horizontal="left" vertical="top" wrapText="1"/>
    </xf>
    <xf numFmtId="0" fontId="29" fillId="0" borderId="0" xfId="0" applyFont="1" applyFill="1" applyAlignment="1" applyProtection="1">
      <alignment horizontal="left" vertical="top"/>
    </xf>
    <xf numFmtId="0" fontId="31" fillId="0" borderId="0" xfId="0" applyFont="1" applyAlignment="1" applyProtection="1">
      <alignment horizontal="left" vertical="top"/>
    </xf>
    <xf numFmtId="4" fontId="32" fillId="0" borderId="0" xfId="0" applyNumberFormat="1" applyFont="1" applyBorder="1" applyAlignment="1" applyProtection="1">
      <alignment horizontal="right" vertical="top"/>
    </xf>
    <xf numFmtId="4" fontId="32" fillId="0" borderId="0" xfId="0" applyNumberFormat="1" applyFont="1" applyBorder="1" applyAlignment="1" applyProtection="1">
      <alignment horizontal="center" vertical="top"/>
    </xf>
    <xf numFmtId="4" fontId="31" fillId="0" borderId="0" xfId="0" applyNumberFormat="1" applyFont="1" applyBorder="1" applyAlignment="1" applyProtection="1">
      <alignment horizontal="right" vertical="top"/>
    </xf>
    <xf numFmtId="3" fontId="25" fillId="0" borderId="0" xfId="0" applyNumberFormat="1" applyFont="1" applyFill="1" applyAlignment="1" applyProtection="1">
      <alignment vertical="top"/>
    </xf>
    <xf numFmtId="3" fontId="42" fillId="0" borderId="0" xfId="0" applyNumberFormat="1" applyFont="1" applyFill="1" applyAlignment="1" applyProtection="1">
      <alignment vertical="top"/>
    </xf>
    <xf numFmtId="0" fontId="43" fillId="0" borderId="13" xfId="0" applyFont="1" applyBorder="1" applyAlignment="1" applyProtection="1">
      <alignment horizontal="right" vertical="top" wrapText="1"/>
    </xf>
    <xf numFmtId="9" fontId="43" fillId="0" borderId="12" xfId="0" applyNumberFormat="1" applyFont="1" applyBorder="1" applyAlignment="1" applyProtection="1">
      <alignment horizontal="center" vertical="top"/>
    </xf>
    <xf numFmtId="0" fontId="43" fillId="0" borderId="3" xfId="0" applyFont="1" applyBorder="1" applyAlignment="1" applyProtection="1">
      <alignment vertical="top" wrapText="1"/>
    </xf>
    <xf numFmtId="3" fontId="42" fillId="0" borderId="3" xfId="0" applyNumberFormat="1" applyFont="1" applyFill="1" applyBorder="1" applyAlignment="1" applyProtection="1">
      <alignment horizontal="left" vertical="top" wrapText="1"/>
    </xf>
    <xf numFmtId="3" fontId="25" fillId="0" borderId="3" xfId="0" applyNumberFormat="1" applyFont="1" applyBorder="1" applyAlignment="1" applyProtection="1">
      <alignment horizontal="right" vertical="top"/>
    </xf>
    <xf numFmtId="3" fontId="29" fillId="0" borderId="0" xfId="0" applyNumberFormat="1" applyFont="1" applyAlignment="1" applyProtection="1">
      <alignment horizontal="center" vertical="top"/>
    </xf>
    <xf numFmtId="3" fontId="11" fillId="0" borderId="0" xfId="0" applyNumberFormat="1" applyFont="1" applyAlignment="1" applyProtection="1">
      <alignment horizontal="center" vertical="top"/>
    </xf>
    <xf numFmtId="3" fontId="11" fillId="0" borderId="0" xfId="0" applyNumberFormat="1" applyFont="1" applyBorder="1" applyAlignment="1" applyProtection="1">
      <alignment horizontal="center" vertical="top"/>
    </xf>
    <xf numFmtId="3" fontId="25" fillId="0" borderId="3" xfId="0" applyNumberFormat="1" applyFont="1" applyFill="1" applyBorder="1" applyAlignment="1" applyProtection="1">
      <alignment horizontal="right" vertical="top"/>
    </xf>
    <xf numFmtId="3" fontId="43" fillId="0" borderId="3" xfId="0" applyNumberFormat="1" applyFont="1" applyFill="1" applyBorder="1" applyAlignment="1" applyProtection="1">
      <alignment horizontal="left" vertical="top" wrapText="1"/>
    </xf>
    <xf numFmtId="3" fontId="41" fillId="0" borderId="3" xfId="0" applyNumberFormat="1" applyFont="1" applyBorder="1" applyAlignment="1" applyProtection="1">
      <alignment horizontal="right" vertical="top"/>
    </xf>
    <xf numFmtId="3" fontId="38" fillId="0" borderId="0" xfId="0" applyNumberFormat="1" applyFont="1" applyAlignment="1" applyProtection="1">
      <alignment horizontal="center" vertical="top"/>
    </xf>
    <xf numFmtId="3" fontId="12" fillId="0" borderId="0" xfId="0" applyNumberFormat="1" applyFont="1" applyAlignment="1" applyProtection="1">
      <alignment horizontal="center" vertical="top"/>
    </xf>
    <xf numFmtId="3" fontId="12" fillId="0" borderId="0" xfId="0" applyNumberFormat="1" applyFont="1" applyBorder="1" applyAlignment="1" applyProtection="1">
      <alignment horizontal="center" vertical="top"/>
    </xf>
    <xf numFmtId="3" fontId="32" fillId="0" borderId="0" xfId="0" applyNumberFormat="1" applyFont="1" applyAlignment="1" applyProtection="1">
      <alignment horizontal="center" vertical="top"/>
    </xf>
    <xf numFmtId="3" fontId="23" fillId="0" borderId="0" xfId="0" applyNumberFormat="1" applyFont="1" applyAlignment="1" applyProtection="1">
      <alignment horizontal="center" vertical="top"/>
    </xf>
    <xf numFmtId="3" fontId="23" fillId="0" borderId="0" xfId="0" applyNumberFormat="1" applyFont="1" applyBorder="1" applyAlignment="1" applyProtection="1">
      <alignment horizontal="center" vertical="top"/>
    </xf>
    <xf numFmtId="3" fontId="41" fillId="0" borderId="3" xfId="0" applyNumberFormat="1" applyFont="1" applyFill="1" applyBorder="1" applyAlignment="1" applyProtection="1">
      <alignment horizontal="left" vertical="top" wrapText="1"/>
    </xf>
    <xf numFmtId="3" fontId="43" fillId="0" borderId="11" xfId="0" applyNumberFormat="1" applyFont="1" applyFill="1" applyBorder="1" applyAlignment="1" applyProtection="1">
      <alignment horizontal="right" vertical="top"/>
    </xf>
    <xf numFmtId="3" fontId="41" fillId="0" borderId="0" xfId="0" applyNumberFormat="1" applyFont="1" applyAlignment="1" applyProtection="1">
      <alignment horizontal="right" vertical="top"/>
    </xf>
    <xf numFmtId="3" fontId="14" fillId="0" borderId="0" xfId="0" applyNumberFormat="1" applyFont="1" applyAlignment="1" applyProtection="1">
      <alignment horizontal="center" vertical="top"/>
    </xf>
    <xf numFmtId="3" fontId="14" fillId="0" borderId="0" xfId="0" applyNumberFormat="1" applyFont="1" applyBorder="1" applyAlignment="1" applyProtection="1">
      <alignment horizontal="center" vertical="top"/>
    </xf>
    <xf numFmtId="10" fontId="43" fillId="0" borderId="3" xfId="0" applyNumberFormat="1" applyFont="1" applyFill="1" applyBorder="1" applyAlignment="1" applyProtection="1">
      <alignment horizontal="right" vertical="top" wrapText="1"/>
    </xf>
    <xf numFmtId="3" fontId="44" fillId="0" borderId="0" xfId="0" applyNumberFormat="1" applyFont="1" applyFill="1" applyBorder="1" applyAlignment="1" applyProtection="1">
      <alignment horizontal="left" vertical="top" wrapText="1"/>
    </xf>
    <xf numFmtId="3" fontId="43" fillId="0" borderId="0" xfId="0" applyNumberFormat="1" applyFont="1" applyFill="1" applyBorder="1" applyAlignment="1" applyProtection="1">
      <alignment horizontal="center" vertical="top"/>
    </xf>
    <xf numFmtId="0" fontId="7" fillId="0" borderId="0" xfId="0" applyFont="1" applyAlignment="1" applyProtection="1">
      <alignment vertical="top"/>
    </xf>
    <xf numFmtId="0" fontId="42" fillId="0" borderId="0" xfId="0" applyFont="1" applyAlignment="1" applyProtection="1">
      <alignment horizontal="right" vertical="top" wrapText="1"/>
    </xf>
    <xf numFmtId="0" fontId="0" fillId="0" borderId="0" xfId="0" applyProtection="1"/>
    <xf numFmtId="3" fontId="42" fillId="4" borderId="3" xfId="0" applyNumberFormat="1" applyFont="1" applyFill="1" applyBorder="1" applyAlignment="1" applyProtection="1">
      <alignment horizontal="right" vertical="top"/>
    </xf>
    <xf numFmtId="4" fontId="42" fillId="4" borderId="3" xfId="0" applyNumberFormat="1" applyFont="1" applyFill="1" applyBorder="1" applyAlignment="1" applyProtection="1">
      <alignment vertical="top" wrapText="1"/>
    </xf>
    <xf numFmtId="2" fontId="31" fillId="0" borderId="0" xfId="0" applyNumberFormat="1" applyFont="1" applyFill="1" applyBorder="1" applyAlignment="1" applyProtection="1">
      <alignment vertical="top"/>
    </xf>
    <xf numFmtId="4" fontId="31" fillId="0" borderId="0" xfId="0" applyNumberFormat="1" applyFont="1" applyFill="1" applyBorder="1" applyAlignment="1" applyProtection="1">
      <alignment horizontal="center" vertical="top"/>
    </xf>
    <xf numFmtId="10" fontId="0" fillId="0" borderId="0" xfId="0" applyNumberFormat="1" applyFont="1" applyAlignment="1">
      <alignment vertical="top"/>
    </xf>
    <xf numFmtId="0" fontId="31" fillId="7" borderId="3" xfId="0" applyFont="1" applyFill="1" applyBorder="1" applyAlignment="1" applyProtection="1">
      <alignment vertical="top" wrapText="1"/>
    </xf>
    <xf numFmtId="2" fontId="31" fillId="7" borderId="3" xfId="0" applyNumberFormat="1" applyFont="1" applyFill="1" applyBorder="1" applyAlignment="1" applyProtection="1">
      <alignment vertical="top"/>
    </xf>
    <xf numFmtId="0" fontId="32" fillId="7" borderId="3" xfId="0" applyFont="1" applyFill="1" applyBorder="1" applyAlignment="1" applyProtection="1">
      <alignment vertical="top" wrapText="1"/>
    </xf>
    <xf numFmtId="9" fontId="31" fillId="7" borderId="3" xfId="0" applyNumberFormat="1" applyFont="1" applyFill="1" applyBorder="1" applyAlignment="1" applyProtection="1">
      <alignment vertical="top"/>
    </xf>
    <xf numFmtId="10" fontId="15" fillId="0" borderId="0" xfId="0" applyNumberFormat="1" applyFont="1" applyFill="1" applyBorder="1" applyAlignment="1">
      <alignment vertical="top"/>
    </xf>
    <xf numFmtId="4" fontId="42" fillId="0" borderId="0" xfId="0" applyNumberFormat="1" applyFont="1" applyFill="1" applyBorder="1" applyAlignment="1" applyProtection="1">
      <alignment horizontal="left" vertical="top" wrapText="1"/>
    </xf>
    <xf numFmtId="3" fontId="42" fillId="0" borderId="0" xfId="0" applyNumberFormat="1" applyFont="1" applyFill="1" applyBorder="1" applyAlignment="1">
      <alignment horizontal="right" vertical="top"/>
    </xf>
    <xf numFmtId="3" fontId="5" fillId="0" borderId="0" xfId="0" applyNumberFormat="1" applyFont="1" applyFill="1" applyBorder="1" applyAlignment="1">
      <alignment horizontal="center"/>
    </xf>
    <xf numFmtId="0" fontId="32" fillId="2" borderId="3" xfId="0" applyNumberFormat="1" applyFont="1" applyFill="1" applyBorder="1" applyAlignment="1" applyProtection="1">
      <alignment horizontal="center" vertical="top"/>
      <protection locked="0"/>
    </xf>
    <xf numFmtId="0" fontId="32" fillId="0" borderId="3" xfId="0" applyNumberFormat="1" applyFont="1" applyFill="1" applyBorder="1" applyAlignment="1" applyProtection="1">
      <alignment horizontal="center" vertical="top"/>
    </xf>
    <xf numFmtId="0" fontId="43" fillId="0" borderId="3" xfId="0" applyNumberFormat="1" applyFont="1" applyBorder="1" applyAlignment="1">
      <alignment vertical="top" wrapText="1"/>
    </xf>
    <xf numFmtId="0" fontId="32" fillId="0" borderId="3" xfId="0" applyNumberFormat="1" applyFont="1" applyFill="1" applyBorder="1" applyAlignment="1" applyProtection="1">
      <alignment horizontal="center" vertical="top" wrapText="1"/>
    </xf>
    <xf numFmtId="0" fontId="42" fillId="0" borderId="0" xfId="0" applyNumberFormat="1" applyFont="1" applyAlignment="1">
      <alignment vertical="top" wrapText="1"/>
    </xf>
    <xf numFmtId="0" fontId="42" fillId="0" borderId="0" xfId="0" applyNumberFormat="1" applyFont="1" applyAlignment="1">
      <alignment vertical="top"/>
    </xf>
    <xf numFmtId="0" fontId="31" fillId="0" borderId="0" xfId="0" applyNumberFormat="1" applyFont="1" applyAlignment="1">
      <alignment vertical="top"/>
    </xf>
    <xf numFmtId="0" fontId="0" fillId="0" borderId="0" xfId="0" applyNumberFormat="1" applyFont="1" applyAlignment="1">
      <alignment vertical="top"/>
    </xf>
    <xf numFmtId="0" fontId="4" fillId="0" borderId="0" xfId="0" applyNumberFormat="1" applyFont="1" applyAlignment="1">
      <alignment vertical="top"/>
    </xf>
    <xf numFmtId="0" fontId="32" fillId="0" borderId="3" xfId="0" applyNumberFormat="1" applyFont="1" applyBorder="1" applyAlignment="1" applyProtection="1">
      <alignment vertical="top" wrapText="1"/>
    </xf>
    <xf numFmtId="4" fontId="43" fillId="0" borderId="3"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0" fontId="26" fillId="0" borderId="0" xfId="0" applyFont="1" applyBorder="1" applyAlignment="1">
      <alignment horizontal="left" vertical="top"/>
    </xf>
    <xf numFmtId="4" fontId="38" fillId="0" borderId="3" xfId="1" applyNumberFormat="1" applyFont="1" applyFill="1" applyBorder="1" applyAlignment="1" applyProtection="1">
      <alignment horizontal="right" vertical="top"/>
    </xf>
    <xf numFmtId="4" fontId="29" fillId="0" borderId="3" xfId="1" applyNumberFormat="1" applyFont="1" applyFill="1" applyBorder="1" applyAlignment="1" applyProtection="1">
      <alignment horizontal="right" vertical="top"/>
    </xf>
    <xf numFmtId="0" fontId="42" fillId="0" borderId="0" xfId="0" applyFont="1" applyFill="1" applyBorder="1" applyAlignment="1" applyProtection="1">
      <alignment horizontal="left" vertical="top" wrapText="1"/>
    </xf>
    <xf numFmtId="4" fontId="47" fillId="0" borderId="3" xfId="0" applyNumberFormat="1" applyFont="1" applyBorder="1" applyAlignment="1" applyProtection="1">
      <alignment horizontal="right" vertical="top"/>
    </xf>
    <xf numFmtId="49" fontId="42" fillId="0" borderId="0" xfId="0" applyNumberFormat="1" applyFont="1" applyAlignment="1" applyProtection="1">
      <alignment horizontal="center" vertical="top"/>
    </xf>
    <xf numFmtId="0" fontId="42" fillId="4" borderId="5" xfId="0" applyNumberFormat="1" applyFont="1" applyFill="1" applyBorder="1" applyAlignment="1" applyProtection="1">
      <alignment vertical="top"/>
    </xf>
    <xf numFmtId="0" fontId="0" fillId="4" borderId="0" xfId="0" applyFill="1"/>
    <xf numFmtId="4" fontId="32" fillId="0" borderId="3" xfId="1" applyNumberFormat="1" applyFont="1" applyFill="1" applyBorder="1" applyAlignment="1" applyProtection="1">
      <alignment horizontal="center" vertical="center" wrapText="1"/>
    </xf>
    <xf numFmtId="4" fontId="0" fillId="0" borderId="8" xfId="0" applyNumberFormat="1" applyBorder="1" applyAlignment="1">
      <alignment horizontal="right" vertical="top"/>
    </xf>
    <xf numFmtId="4" fontId="26" fillId="0" borderId="8" xfId="0" applyNumberFormat="1" applyFont="1" applyBorder="1" applyAlignment="1">
      <alignment horizontal="right" vertical="top"/>
    </xf>
    <xf numFmtId="0" fontId="43" fillId="9" borderId="3" xfId="0" applyFont="1" applyFill="1" applyBorder="1" applyAlignment="1" applyProtection="1">
      <alignment vertical="top" wrapText="1"/>
    </xf>
    <xf numFmtId="0" fontId="43" fillId="2" borderId="3" xfId="0" applyNumberFormat="1" applyFont="1" applyFill="1" applyBorder="1" applyAlignment="1" applyProtection="1">
      <alignment horizontal="center" vertical="center"/>
      <protection locked="0"/>
    </xf>
    <xf numFmtId="3" fontId="43" fillId="0" borderId="3" xfId="4" applyNumberFormat="1" applyFont="1" applyFill="1" applyBorder="1" applyAlignment="1" applyProtection="1">
      <alignment horizontal="right" vertical="top" wrapText="1"/>
    </xf>
    <xf numFmtId="4" fontId="48" fillId="6" borderId="3" xfId="0" applyNumberFormat="1" applyFont="1" applyFill="1" applyBorder="1" applyAlignment="1" applyProtection="1">
      <alignment horizontal="right" vertical="top"/>
      <protection locked="0"/>
    </xf>
    <xf numFmtId="3" fontId="42" fillId="2" borderId="3" xfId="4" applyNumberFormat="1" applyFont="1" applyFill="1" applyBorder="1" applyAlignment="1" applyProtection="1">
      <alignment horizontal="right" vertical="top"/>
      <protection locked="0"/>
    </xf>
    <xf numFmtId="0" fontId="39" fillId="0" borderId="0" xfId="0" applyFont="1" applyFill="1" applyAlignment="1" applyProtection="1">
      <alignment horizontal="left" vertical="top"/>
    </xf>
    <xf numFmtId="0" fontId="0" fillId="0" borderId="0" xfId="0" applyAlignment="1">
      <alignment horizontal="left" vertical="top" wrapText="1"/>
    </xf>
    <xf numFmtId="10" fontId="43" fillId="0" borderId="0" xfId="0" applyNumberFormat="1" applyFont="1" applyFill="1" applyBorder="1" applyAlignment="1" applyProtection="1">
      <alignment horizontal="right" vertical="top"/>
    </xf>
    <xf numFmtId="3" fontId="43" fillId="0" borderId="3" xfId="0" applyNumberFormat="1" applyFont="1" applyFill="1" applyBorder="1" applyAlignment="1">
      <alignment horizontal="center" vertical="center"/>
    </xf>
    <xf numFmtId="0" fontId="41" fillId="0" borderId="3" xfId="0" applyFont="1" applyFill="1" applyBorder="1" applyAlignment="1" applyProtection="1">
      <alignment horizontal="center" vertical="top"/>
    </xf>
    <xf numFmtId="4" fontId="32" fillId="4" borderId="3" xfId="0" applyNumberFormat="1" applyFont="1" applyFill="1" applyBorder="1" applyAlignment="1" applyProtection="1">
      <alignment horizontal="center" vertical="center"/>
    </xf>
    <xf numFmtId="4" fontId="32" fillId="0" borderId="3" xfId="0" applyNumberFormat="1" applyFont="1" applyFill="1" applyBorder="1" applyAlignment="1" applyProtection="1">
      <alignment vertical="center" wrapText="1"/>
    </xf>
    <xf numFmtId="4" fontId="32" fillId="0" borderId="4" xfId="0" applyNumberFormat="1" applyFont="1" applyFill="1" applyBorder="1" applyAlignment="1" applyProtection="1">
      <alignment vertical="center"/>
    </xf>
    <xf numFmtId="3" fontId="43" fillId="0" borderId="3" xfId="0" applyNumberFormat="1" applyFont="1" applyFill="1" applyBorder="1" applyAlignment="1">
      <alignment horizontal="center" vertical="center" wrapText="1"/>
    </xf>
    <xf numFmtId="4" fontId="43" fillId="0" borderId="7" xfId="0" applyNumberFormat="1" applyFont="1" applyFill="1" applyBorder="1" applyAlignment="1">
      <alignment vertical="top"/>
    </xf>
    <xf numFmtId="0" fontId="41" fillId="0" borderId="3" xfId="0" applyFont="1" applyFill="1" applyBorder="1" applyAlignment="1" applyProtection="1">
      <alignment vertical="top"/>
    </xf>
    <xf numFmtId="3" fontId="43" fillId="0" borderId="7" xfId="4" applyNumberFormat="1" applyFont="1" applyFill="1" applyBorder="1" applyAlignment="1" applyProtection="1">
      <alignment horizontal="center" vertical="center" wrapText="1"/>
    </xf>
    <xf numFmtId="0" fontId="0" fillId="0" borderId="0" xfId="0" applyFont="1" applyBorder="1" applyAlignment="1" applyProtection="1">
      <alignment vertical="top"/>
    </xf>
    <xf numFmtId="1" fontId="32" fillId="0" borderId="3" xfId="0" applyNumberFormat="1" applyFont="1" applyFill="1" applyBorder="1" applyAlignment="1" applyProtection="1">
      <alignment horizontal="center" vertical="top"/>
    </xf>
    <xf numFmtId="0" fontId="52" fillId="2" borderId="3" xfId="0" applyFont="1" applyFill="1" applyBorder="1"/>
    <xf numFmtId="3" fontId="31" fillId="0" borderId="4" xfId="0" applyNumberFormat="1" applyFont="1" applyBorder="1" applyAlignment="1" applyProtection="1">
      <alignment vertical="top" wrapText="1"/>
    </xf>
    <xf numFmtId="4" fontId="31" fillId="2" borderId="5" xfId="0" applyNumberFormat="1" applyFont="1" applyFill="1" applyBorder="1" applyAlignment="1" applyProtection="1">
      <alignment horizontal="right" vertical="top"/>
      <protection locked="0"/>
    </xf>
    <xf numFmtId="3" fontId="31" fillId="0" borderId="10" xfId="0" applyNumberFormat="1" applyFont="1" applyBorder="1" applyAlignment="1" applyProtection="1">
      <alignment vertical="top"/>
    </xf>
    <xf numFmtId="4" fontId="31" fillId="2" borderId="7" xfId="0" applyNumberFormat="1" applyFont="1" applyFill="1" applyBorder="1" applyAlignment="1" applyProtection="1">
      <alignment horizontal="right" vertical="top"/>
      <protection locked="0"/>
    </xf>
    <xf numFmtId="0" fontId="52" fillId="2" borderId="3" xfId="0" applyFont="1" applyFill="1" applyBorder="1" applyAlignment="1">
      <alignment horizontal="right" vertical="center" wrapText="1"/>
    </xf>
    <xf numFmtId="4" fontId="31" fillId="0" borderId="10" xfId="0" applyNumberFormat="1" applyFont="1" applyBorder="1" applyAlignment="1" applyProtection="1">
      <alignment horizontal="right" vertical="top"/>
    </xf>
    <xf numFmtId="4" fontId="31" fillId="2" borderId="15" xfId="0" applyNumberFormat="1" applyFont="1" applyFill="1" applyBorder="1" applyAlignment="1" applyProtection="1">
      <alignment horizontal="right" vertical="top"/>
      <protection locked="0"/>
    </xf>
    <xf numFmtId="4" fontId="32" fillId="0" borderId="7" xfId="0" applyNumberFormat="1" applyFont="1" applyBorder="1" applyAlignment="1" applyProtection="1">
      <alignment horizontal="right" vertical="top"/>
    </xf>
    <xf numFmtId="4" fontId="32" fillId="4" borderId="10" xfId="0" applyNumberFormat="1" applyFont="1" applyFill="1" applyBorder="1" applyAlignment="1" applyProtection="1">
      <alignment horizontal="right" vertical="top"/>
    </xf>
    <xf numFmtId="4" fontId="31" fillId="2" borderId="10" xfId="0" applyNumberFormat="1" applyFont="1" applyFill="1" applyBorder="1" applyAlignment="1" applyProtection="1">
      <alignment horizontal="right" vertical="top"/>
      <protection locked="0"/>
    </xf>
    <xf numFmtId="3" fontId="29" fillId="0" borderId="4" xfId="0" applyNumberFormat="1" applyFont="1" applyBorder="1" applyAlignment="1" applyProtection="1">
      <alignment vertical="top" wrapText="1"/>
    </xf>
    <xf numFmtId="4" fontId="31" fillId="0" borderId="10" xfId="0" applyNumberFormat="1" applyFont="1" applyFill="1" applyBorder="1" applyAlignment="1" applyProtection="1">
      <alignment horizontal="right" vertical="top"/>
    </xf>
    <xf numFmtId="0" fontId="31" fillId="0" borderId="4" xfId="0" applyFont="1" applyBorder="1" applyAlignment="1" applyProtection="1">
      <alignment vertical="top" wrapText="1"/>
    </xf>
    <xf numFmtId="4" fontId="31" fillId="2" borderId="5" xfId="0" applyNumberFormat="1" applyFont="1" applyFill="1" applyBorder="1" applyAlignment="1" applyProtection="1">
      <alignment vertical="top"/>
      <protection locked="0"/>
    </xf>
    <xf numFmtId="0" fontId="32" fillId="0" borderId="10" xfId="0" applyNumberFormat="1" applyFont="1" applyFill="1" applyBorder="1" applyAlignment="1" applyProtection="1">
      <alignment horizontal="center" vertical="top"/>
    </xf>
    <xf numFmtId="4" fontId="31" fillId="2" borderId="7" xfId="0" applyNumberFormat="1" applyFont="1" applyFill="1" applyBorder="1" applyAlignment="1" applyProtection="1">
      <alignment vertical="top"/>
      <protection locked="0"/>
    </xf>
    <xf numFmtId="4" fontId="31" fillId="2" borderId="10" xfId="0" applyNumberFormat="1" applyFont="1" applyFill="1" applyBorder="1" applyAlignment="1" applyProtection="1">
      <alignment vertical="top"/>
      <protection locked="0"/>
    </xf>
    <xf numFmtId="4" fontId="32" fillId="0" borderId="7" xfId="0" applyNumberFormat="1" applyFont="1" applyBorder="1" applyAlignment="1" applyProtection="1">
      <alignment vertical="top"/>
    </xf>
    <xf numFmtId="4" fontId="32" fillId="0" borderId="15" xfId="0" applyNumberFormat="1" applyFont="1" applyBorder="1" applyAlignment="1" applyProtection="1">
      <alignment vertical="top"/>
    </xf>
    <xf numFmtId="0" fontId="52" fillId="2" borderId="10" xfId="0" applyFont="1" applyFill="1" applyBorder="1" applyAlignment="1">
      <alignment horizontal="right" vertical="center" wrapText="1"/>
    </xf>
    <xf numFmtId="0" fontId="37" fillId="0" borderId="4" xfId="0" applyFont="1" applyBorder="1" applyAlignment="1" applyProtection="1">
      <alignment vertical="top" wrapText="1"/>
    </xf>
    <xf numFmtId="4" fontId="31" fillId="2" borderId="15" xfId="0" applyNumberFormat="1" applyFont="1" applyFill="1" applyBorder="1" applyAlignment="1" applyProtection="1">
      <alignment vertical="top"/>
      <protection locked="0"/>
    </xf>
    <xf numFmtId="0" fontId="0" fillId="0" borderId="3" xfId="0" applyBorder="1"/>
    <xf numFmtId="4" fontId="31" fillId="0" borderId="5" xfId="1" applyNumberFormat="1" applyFont="1" applyFill="1" applyBorder="1" applyAlignment="1" applyProtection="1">
      <alignment horizontal="right" vertical="top"/>
    </xf>
    <xf numFmtId="0" fontId="0" fillId="2" borderId="3" xfId="0" applyFill="1" applyBorder="1"/>
    <xf numFmtId="4" fontId="0" fillId="0" borderId="0" xfId="0" applyNumberFormat="1" applyBorder="1"/>
    <xf numFmtId="4" fontId="53" fillId="0" borderId="0" xfId="0" applyNumberFormat="1" applyFont="1" applyBorder="1"/>
    <xf numFmtId="0" fontId="29" fillId="0" borderId="0" xfId="0" applyFont="1" applyFill="1" applyAlignment="1" applyProtection="1">
      <alignment horizontal="left" vertical="top" wrapText="1"/>
    </xf>
    <xf numFmtId="0" fontId="36" fillId="0" borderId="0" xfId="0" applyFont="1" applyFill="1" applyAlignment="1" applyProtection="1">
      <alignment horizontal="left" vertical="top" wrapText="1"/>
    </xf>
    <xf numFmtId="0" fontId="39" fillId="0" borderId="0" xfId="0" applyFont="1" applyFill="1" applyAlignment="1" applyProtection="1">
      <alignment horizontal="left" vertical="top"/>
    </xf>
    <xf numFmtId="0" fontId="31" fillId="0" borderId="0" xfId="0" applyFont="1" applyFill="1" applyAlignment="1">
      <alignment horizontal="left" vertical="top" wrapText="1"/>
    </xf>
    <xf numFmtId="0" fontId="32" fillId="0" borderId="0" xfId="0" applyFont="1" applyFill="1" applyAlignment="1" applyProtection="1">
      <alignment horizontal="left" vertical="top"/>
    </xf>
    <xf numFmtId="0" fontId="0" fillId="0" borderId="0" xfId="0" applyAlignment="1">
      <alignment horizontal="left" vertical="top" wrapText="1"/>
    </xf>
    <xf numFmtId="0" fontId="26" fillId="0" borderId="2" xfId="0" applyFont="1" applyBorder="1" applyAlignment="1">
      <alignment horizontal="left" vertical="top" wrapText="1"/>
    </xf>
    <xf numFmtId="0" fontId="26" fillId="0" borderId="5" xfId="0" applyFont="1" applyBorder="1" applyAlignment="1">
      <alignment horizontal="left" vertical="top" wrapText="1"/>
    </xf>
    <xf numFmtId="0" fontId="26" fillId="0" borderId="0" xfId="0" applyFont="1" applyAlignment="1">
      <alignment horizontal="left" vertical="top"/>
    </xf>
    <xf numFmtId="0" fontId="0" fillId="0" borderId="0" xfId="0" applyBorder="1" applyAlignment="1">
      <alignment horizontal="left" vertical="top" wrapText="1"/>
    </xf>
    <xf numFmtId="0" fontId="0" fillId="0" borderId="8" xfId="0" applyBorder="1" applyAlignment="1">
      <alignment horizontal="left" vertical="top" wrapText="1"/>
    </xf>
    <xf numFmtId="4" fontId="26" fillId="0" borderId="0" xfId="0" applyNumberFormat="1" applyFont="1" applyFill="1" applyBorder="1" applyAlignment="1">
      <alignment horizontal="left" vertical="top"/>
    </xf>
    <xf numFmtId="4" fontId="0" fillId="0" borderId="0" xfId="0" applyNumberFormat="1" applyBorder="1" applyAlignment="1">
      <alignment horizontal="left" vertical="top" wrapText="1"/>
    </xf>
    <xf numFmtId="4" fontId="0" fillId="0" borderId="0" xfId="0" applyNumberFormat="1" applyBorder="1" applyAlignment="1">
      <alignment horizontal="left" vertical="top"/>
    </xf>
    <xf numFmtId="4" fontId="26" fillId="0" borderId="0" xfId="0" applyNumberFormat="1" applyFont="1" applyBorder="1" applyAlignment="1">
      <alignment horizontal="left" vertical="top" wrapText="1"/>
    </xf>
    <xf numFmtId="4" fontId="0" fillId="0" borderId="11" xfId="0" applyNumberFormat="1" applyBorder="1" applyAlignment="1">
      <alignment horizontal="left" vertical="top" wrapText="1"/>
    </xf>
    <xf numFmtId="4" fontId="0" fillId="0" borderId="12" xfId="0" applyNumberFormat="1" applyBorder="1" applyAlignment="1">
      <alignment horizontal="left" vertical="top" wrapText="1"/>
    </xf>
    <xf numFmtId="4" fontId="26" fillId="0" borderId="8" xfId="0" applyNumberFormat="1" applyFont="1" applyBorder="1" applyAlignment="1">
      <alignment horizontal="left" vertical="top" wrapText="1"/>
    </xf>
    <xf numFmtId="0" fontId="26" fillId="2" borderId="0" xfId="0" applyFont="1" applyFill="1" applyBorder="1" applyAlignment="1">
      <alignment horizontal="left" vertical="top" wrapText="1"/>
    </xf>
    <xf numFmtId="0" fontId="26" fillId="2" borderId="8" xfId="0" applyFont="1" applyFill="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38" fillId="0" borderId="3" xfId="0" applyFont="1" applyBorder="1" applyAlignment="1" applyProtection="1">
      <alignment horizontal="left" vertical="top" wrapText="1"/>
    </xf>
    <xf numFmtId="0" fontId="29" fillId="0" borderId="3" xfId="0" applyFont="1" applyBorder="1" applyAlignment="1" applyProtection="1">
      <alignment horizontal="left" vertical="top" wrapText="1"/>
    </xf>
    <xf numFmtId="0" fontId="47" fillId="0" borderId="4" xfId="0" applyFont="1" applyBorder="1" applyAlignment="1" applyProtection="1">
      <alignment horizontal="left" vertical="top" wrapText="1"/>
    </xf>
    <xf numFmtId="0" fontId="47" fillId="0" borderId="5" xfId="0" applyFont="1" applyBorder="1" applyAlignment="1" applyProtection="1">
      <alignment horizontal="left" vertical="top" wrapText="1"/>
    </xf>
    <xf numFmtId="0" fontId="38" fillId="0" borderId="0" xfId="1" applyFont="1" applyFill="1" applyAlignment="1" applyProtection="1">
      <alignment horizontal="left" vertical="top"/>
    </xf>
    <xf numFmtId="0" fontId="29" fillId="0" borderId="0" xfId="0" applyFont="1" applyFill="1" applyAlignment="1" applyProtection="1">
      <alignment horizontal="left" vertical="top"/>
    </xf>
    <xf numFmtId="4" fontId="32" fillId="0" borderId="10" xfId="0" applyNumberFormat="1" applyFont="1" applyFill="1" applyBorder="1" applyAlignment="1" applyProtection="1">
      <alignment horizontal="left" vertical="center" wrapText="1"/>
    </xf>
    <xf numFmtId="4" fontId="32" fillId="0" borderId="7" xfId="0" applyNumberFormat="1" applyFont="1" applyFill="1" applyBorder="1" applyAlignment="1" applyProtection="1">
      <alignment horizontal="left" vertical="center" wrapText="1"/>
    </xf>
    <xf numFmtId="4" fontId="32" fillId="0" borderId="3" xfId="0" applyNumberFormat="1" applyFont="1" applyFill="1" applyBorder="1" applyAlignment="1" applyProtection="1">
      <alignment horizontal="right" vertical="center" wrapText="1"/>
    </xf>
    <xf numFmtId="4" fontId="32" fillId="0" borderId="3" xfId="0" applyNumberFormat="1" applyFont="1" applyFill="1" applyBorder="1" applyAlignment="1" applyProtection="1">
      <alignment horizontal="center" vertical="center" wrapText="1"/>
    </xf>
    <xf numFmtId="4" fontId="32" fillId="0" borderId="10" xfId="0" applyNumberFormat="1" applyFont="1" applyFill="1" applyBorder="1" applyAlignment="1" applyProtection="1">
      <alignment horizontal="center" vertical="center" wrapText="1"/>
    </xf>
    <xf numFmtId="4" fontId="32" fillId="0" borderId="7" xfId="0" applyNumberFormat="1" applyFont="1" applyFill="1" applyBorder="1" applyAlignment="1" applyProtection="1">
      <alignment horizontal="center" vertical="center" wrapText="1"/>
    </xf>
    <xf numFmtId="0" fontId="38" fillId="0" borderId="3" xfId="0" applyFont="1" applyFill="1" applyBorder="1" applyAlignment="1" applyProtection="1">
      <alignment horizontal="left" vertical="center" wrapText="1"/>
    </xf>
    <xf numFmtId="0" fontId="32" fillId="0" borderId="0" xfId="0" applyFont="1" applyFill="1" applyBorder="1" applyAlignment="1" applyProtection="1">
      <alignment horizontal="right" vertical="top" wrapText="1"/>
    </xf>
    <xf numFmtId="0" fontId="32" fillId="0" borderId="4" xfId="0" applyFont="1" applyFill="1" applyBorder="1" applyAlignment="1" applyProtection="1">
      <alignment horizontal="right" vertical="top" wrapText="1"/>
    </xf>
    <xf numFmtId="0" fontId="32" fillId="0" borderId="5" xfId="0" applyFont="1" applyFill="1" applyBorder="1" applyAlignment="1" applyProtection="1">
      <alignment horizontal="right" vertical="top" wrapText="1"/>
    </xf>
    <xf numFmtId="0" fontId="31" fillId="0" borderId="4" xfId="0" applyFont="1" applyFill="1" applyBorder="1" applyAlignment="1" applyProtection="1">
      <alignment horizontal="right" vertical="top" wrapText="1"/>
    </xf>
    <xf numFmtId="0" fontId="31" fillId="0" borderId="5" xfId="0" applyFont="1" applyFill="1" applyBorder="1" applyAlignment="1" applyProtection="1">
      <alignment horizontal="right" vertical="top" wrapText="1"/>
    </xf>
    <xf numFmtId="0" fontId="34" fillId="0" borderId="4" xfId="0" applyFont="1" applyFill="1" applyBorder="1" applyAlignment="1" applyProtection="1">
      <alignment horizontal="right" vertical="top" wrapText="1"/>
    </xf>
    <xf numFmtId="0" fontId="34" fillId="0" borderId="5" xfId="0" applyFont="1" applyFill="1" applyBorder="1" applyAlignment="1" applyProtection="1">
      <alignment horizontal="right" vertical="top" wrapText="1"/>
    </xf>
    <xf numFmtId="0" fontId="32" fillId="0" borderId="8" xfId="0" applyFont="1" applyFill="1" applyBorder="1" applyAlignment="1" applyProtection="1">
      <alignment horizontal="right" vertical="top" wrapText="1"/>
    </xf>
    <xf numFmtId="0" fontId="31" fillId="0" borderId="3" xfId="0" applyFont="1" applyFill="1" applyBorder="1" applyAlignment="1" applyProtection="1">
      <alignment horizontal="right" vertical="top" wrapText="1"/>
    </xf>
    <xf numFmtId="9" fontId="38" fillId="0" borderId="6" xfId="5" applyFont="1" applyBorder="1" applyAlignment="1" applyProtection="1">
      <alignment horizontal="center" vertical="top"/>
    </xf>
    <xf numFmtId="9" fontId="38" fillId="0" borderId="0" xfId="5" applyFont="1" applyBorder="1" applyAlignment="1" applyProtection="1">
      <alignment horizontal="center" vertical="top"/>
    </xf>
    <xf numFmtId="0" fontId="21" fillId="0" borderId="0" xfId="1" applyFont="1" applyFill="1" applyAlignment="1" applyProtection="1">
      <alignment horizontal="left" vertical="top"/>
    </xf>
    <xf numFmtId="4" fontId="32" fillId="0" borderId="3" xfId="1" applyNumberFormat="1" applyFont="1" applyFill="1" applyBorder="1" applyAlignment="1" applyProtection="1">
      <alignment horizontal="center" vertical="center" wrapText="1"/>
    </xf>
    <xf numFmtId="4" fontId="32" fillId="0" borderId="10" xfId="1" applyNumberFormat="1" applyFont="1" applyFill="1" applyBorder="1" applyAlignment="1" applyProtection="1">
      <alignment horizontal="center" vertical="center" wrapText="1"/>
    </xf>
    <xf numFmtId="4" fontId="32" fillId="0" borderId="7" xfId="1" applyNumberFormat="1" applyFont="1" applyFill="1" applyBorder="1" applyAlignment="1" applyProtection="1">
      <alignment horizontal="center" vertical="center" wrapText="1"/>
    </xf>
    <xf numFmtId="0" fontId="32" fillId="0" borderId="10" xfId="1" applyFont="1" applyFill="1" applyBorder="1" applyAlignment="1" applyProtection="1">
      <alignment horizontal="center" vertical="center" wrapText="1"/>
    </xf>
    <xf numFmtId="0" fontId="32" fillId="0" borderId="7" xfId="1" applyFont="1" applyFill="1" applyBorder="1" applyAlignment="1" applyProtection="1">
      <alignment horizontal="center" vertical="center" wrapText="1"/>
    </xf>
    <xf numFmtId="49" fontId="32" fillId="0" borderId="10" xfId="1" applyNumberFormat="1" applyFont="1" applyFill="1" applyBorder="1" applyAlignment="1" applyProtection="1">
      <alignment vertical="center"/>
    </xf>
    <xf numFmtId="49" fontId="32" fillId="0" borderId="7" xfId="1" applyNumberFormat="1" applyFont="1" applyFill="1" applyBorder="1" applyAlignment="1" applyProtection="1">
      <alignment vertical="center"/>
    </xf>
    <xf numFmtId="4" fontId="43" fillId="0" borderId="4" xfId="0" applyNumberFormat="1" applyFont="1" applyFill="1" applyBorder="1" applyAlignment="1">
      <alignment horizontal="left" vertical="top"/>
    </xf>
    <xf numFmtId="4" fontId="43" fillId="0" borderId="2" xfId="0" applyNumberFormat="1" applyFont="1" applyFill="1" applyBorder="1" applyAlignment="1">
      <alignment horizontal="left" vertical="top"/>
    </xf>
    <xf numFmtId="4" fontId="43" fillId="0" borderId="5" xfId="0" applyNumberFormat="1" applyFont="1" applyFill="1" applyBorder="1" applyAlignment="1">
      <alignment horizontal="left" vertical="top"/>
    </xf>
    <xf numFmtId="4" fontId="43" fillId="0" borderId="4" xfId="0" applyNumberFormat="1" applyFont="1" applyFill="1" applyBorder="1" applyAlignment="1" applyProtection="1">
      <alignment horizontal="left" vertical="top" wrapText="1"/>
    </xf>
    <xf numFmtId="4" fontId="43" fillId="0" borderId="2" xfId="0" applyNumberFormat="1" applyFont="1" applyFill="1" applyBorder="1" applyAlignment="1" applyProtection="1">
      <alignment horizontal="left" vertical="top" wrapText="1"/>
    </xf>
    <xf numFmtId="4" fontId="43" fillId="0" borderId="5" xfId="0" applyNumberFormat="1" applyFont="1" applyFill="1" applyBorder="1" applyAlignment="1" applyProtection="1">
      <alignment horizontal="left" vertical="top" wrapText="1"/>
    </xf>
    <xf numFmtId="4" fontId="43" fillId="8" borderId="1" xfId="0" applyNumberFormat="1" applyFont="1" applyFill="1" applyBorder="1" applyAlignment="1" applyProtection="1">
      <alignment horizontal="left" vertical="top" wrapText="1"/>
    </xf>
    <xf numFmtId="3" fontId="41" fillId="0" borderId="4" xfId="0" applyNumberFormat="1" applyFont="1" applyFill="1" applyBorder="1" applyAlignment="1" applyProtection="1">
      <alignment horizontal="center" vertical="center" wrapText="1"/>
    </xf>
    <xf numFmtId="3" fontId="41" fillId="0" borderId="2" xfId="0" applyNumberFormat="1" applyFont="1" applyFill="1" applyBorder="1" applyAlignment="1" applyProtection="1">
      <alignment horizontal="center" vertical="center" wrapText="1"/>
    </xf>
    <xf numFmtId="3" fontId="41" fillId="0" borderId="5" xfId="0" applyNumberFormat="1" applyFont="1" applyFill="1" applyBorder="1" applyAlignment="1" applyProtection="1">
      <alignment horizontal="center" vertical="center" wrapText="1"/>
    </xf>
    <xf numFmtId="4" fontId="43" fillId="0" borderId="0" xfId="0" applyNumberFormat="1" applyFont="1" applyFill="1" applyBorder="1" applyAlignment="1" applyProtection="1">
      <alignment horizontal="left" vertical="top"/>
    </xf>
    <xf numFmtId="0" fontId="25" fillId="0" borderId="3" xfId="4" applyNumberFormat="1" applyFont="1" applyBorder="1" applyAlignment="1">
      <alignment horizontal="center" vertical="center" wrapText="1"/>
    </xf>
    <xf numFmtId="4" fontId="25" fillId="0" borderId="3" xfId="0" applyNumberFormat="1" applyFont="1" applyFill="1" applyBorder="1" applyAlignment="1">
      <alignment horizontal="center" vertical="center" wrapText="1"/>
    </xf>
    <xf numFmtId="3" fontId="43" fillId="0" borderId="3" xfId="0" applyNumberFormat="1" applyFont="1" applyFill="1" applyBorder="1" applyAlignment="1">
      <alignment horizontal="center" vertical="center"/>
    </xf>
    <xf numFmtId="4" fontId="41" fillId="0" borderId="4" xfId="0" applyNumberFormat="1" applyFont="1" applyFill="1" applyBorder="1" applyAlignment="1" applyProtection="1">
      <alignment horizontal="left" vertical="top"/>
    </xf>
    <xf numFmtId="4" fontId="41" fillId="0" borderId="2" xfId="0" applyNumberFormat="1" applyFont="1" applyFill="1" applyBorder="1" applyAlignment="1" applyProtection="1">
      <alignment horizontal="left" vertical="top"/>
    </xf>
    <xf numFmtId="4" fontId="41" fillId="0" borderId="5" xfId="0" applyNumberFormat="1" applyFont="1" applyFill="1" applyBorder="1" applyAlignment="1" applyProtection="1">
      <alignment horizontal="left" vertical="top"/>
    </xf>
    <xf numFmtId="4" fontId="43" fillId="8" borderId="2" xfId="0" applyNumberFormat="1" applyFont="1" applyFill="1" applyBorder="1" applyAlignment="1" applyProtection="1">
      <alignment horizontal="left" vertical="top"/>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4" fontId="43" fillId="0" borderId="3" xfId="0" applyNumberFormat="1" applyFont="1" applyFill="1" applyBorder="1" applyAlignment="1">
      <alignment horizontal="left" vertical="center" wrapText="1"/>
    </xf>
    <xf numFmtId="4" fontId="25" fillId="0" borderId="0" xfId="0" applyNumberFormat="1" applyFont="1" applyFill="1" applyAlignment="1" applyProtection="1">
      <alignment horizontal="left" vertical="top" wrapText="1"/>
    </xf>
    <xf numFmtId="3" fontId="43" fillId="0" borderId="10" xfId="0" applyNumberFormat="1" applyFont="1" applyFill="1" applyBorder="1" applyAlignment="1">
      <alignment horizontal="center" vertical="center"/>
    </xf>
    <xf numFmtId="3" fontId="43" fillId="0" borderId="7" xfId="0" applyNumberFormat="1" applyFont="1" applyFill="1" applyBorder="1" applyAlignment="1">
      <alignment horizontal="center" vertical="center"/>
    </xf>
    <xf numFmtId="4" fontId="43" fillId="8" borderId="1" xfId="0" applyNumberFormat="1" applyFont="1" applyFill="1" applyBorder="1" applyAlignment="1" applyProtection="1">
      <alignment horizontal="left" vertical="top"/>
    </xf>
    <xf numFmtId="4" fontId="43" fillId="0" borderId="13" xfId="0" applyNumberFormat="1" applyFont="1" applyFill="1" applyBorder="1" applyAlignment="1">
      <alignment horizontal="left" vertical="center" wrapText="1"/>
    </xf>
    <xf numFmtId="4" fontId="43" fillId="0" borderId="12" xfId="0" applyNumberFormat="1" applyFont="1" applyFill="1" applyBorder="1" applyAlignment="1">
      <alignment horizontal="left" vertical="center" wrapText="1"/>
    </xf>
    <xf numFmtId="4" fontId="43" fillId="0" borderId="14" xfId="0" applyNumberFormat="1" applyFont="1" applyFill="1" applyBorder="1" applyAlignment="1">
      <alignment horizontal="left" vertical="center" wrapText="1"/>
    </xf>
    <xf numFmtId="4" fontId="43" fillId="0" borderId="9" xfId="0" applyNumberFormat="1" applyFont="1" applyFill="1" applyBorder="1" applyAlignment="1">
      <alignment horizontal="left" vertical="center" wrapText="1"/>
    </xf>
    <xf numFmtId="4" fontId="43" fillId="0" borderId="4" xfId="0" applyNumberFormat="1" applyFont="1" applyFill="1" applyBorder="1" applyAlignment="1">
      <alignment horizontal="left" vertical="top" wrapText="1"/>
    </xf>
    <xf numFmtId="4" fontId="43" fillId="0" borderId="5" xfId="0" applyNumberFormat="1" applyFont="1" applyFill="1" applyBorder="1" applyAlignment="1">
      <alignment horizontal="left" vertical="top" wrapText="1"/>
    </xf>
    <xf numFmtId="0" fontId="41" fillId="0" borderId="4" xfId="0" applyFont="1" applyFill="1" applyBorder="1" applyAlignment="1" applyProtection="1">
      <alignment horizontal="center" vertical="top"/>
    </xf>
    <xf numFmtId="0" fontId="41" fillId="0" borderId="2" xfId="0" applyFont="1" applyFill="1" applyBorder="1" applyAlignment="1" applyProtection="1">
      <alignment horizontal="center" vertical="top"/>
    </xf>
    <xf numFmtId="0" fontId="41" fillId="0" borderId="5" xfId="0" applyFont="1" applyFill="1" applyBorder="1" applyAlignment="1" applyProtection="1">
      <alignment horizontal="center" vertical="top"/>
    </xf>
    <xf numFmtId="0" fontId="41" fillId="0" borderId="3" xfId="0" applyFont="1" applyBorder="1" applyAlignment="1" applyProtection="1">
      <alignment horizontal="center" vertical="center" wrapText="1"/>
    </xf>
    <xf numFmtId="0" fontId="42" fillId="0" borderId="0" xfId="0" applyFont="1" applyFill="1" applyBorder="1" applyAlignment="1" applyProtection="1">
      <alignment horizontal="left" vertical="top" wrapText="1"/>
    </xf>
    <xf numFmtId="3" fontId="43" fillId="0" borderId="13" xfId="0" applyNumberFormat="1" applyFont="1" applyFill="1" applyBorder="1" applyAlignment="1" applyProtection="1">
      <alignment horizontal="left" vertical="top"/>
    </xf>
    <xf numFmtId="3" fontId="43" fillId="0" borderId="11" xfId="0" applyNumberFormat="1" applyFont="1" applyFill="1" applyBorder="1" applyAlignment="1" applyProtection="1">
      <alignment horizontal="left" vertical="top"/>
    </xf>
    <xf numFmtId="3" fontId="43" fillId="0" borderId="12" xfId="0" applyNumberFormat="1" applyFont="1" applyFill="1" applyBorder="1" applyAlignment="1" applyProtection="1">
      <alignment horizontal="left" vertical="top"/>
    </xf>
    <xf numFmtId="0" fontId="25" fillId="0" borderId="0" xfId="0" applyFont="1" applyBorder="1" applyAlignment="1" applyProtection="1">
      <alignment horizontal="left" vertical="top" wrapText="1"/>
    </xf>
    <xf numFmtId="3" fontId="41" fillId="0" borderId="3" xfId="0" applyNumberFormat="1" applyFont="1" applyFill="1" applyBorder="1" applyAlignment="1" applyProtection="1">
      <alignment horizontal="center" vertical="top"/>
    </xf>
    <xf numFmtId="0" fontId="42" fillId="4" borderId="13" xfId="0" applyFont="1" applyFill="1" applyBorder="1" applyAlignment="1" applyProtection="1">
      <alignment horizontal="center" vertical="top" wrapText="1"/>
    </xf>
    <xf numFmtId="0" fontId="42" fillId="4" borderId="14" xfId="0" applyFont="1" applyFill="1" applyBorder="1" applyAlignment="1" applyProtection="1">
      <alignment horizontal="center" vertical="top" wrapText="1"/>
    </xf>
    <xf numFmtId="4" fontId="43" fillId="0" borderId="3" xfId="0" applyNumberFormat="1" applyFont="1" applyFill="1" applyBorder="1" applyAlignment="1" applyProtection="1">
      <alignment horizontal="right" vertical="top" wrapText="1"/>
    </xf>
    <xf numFmtId="4" fontId="43" fillId="0" borderId="3" xfId="0" applyNumberFormat="1" applyFont="1" applyFill="1" applyBorder="1" applyAlignment="1" applyProtection="1">
      <alignment horizontal="left" vertical="top" wrapText="1"/>
    </xf>
    <xf numFmtId="3" fontId="43" fillId="0" borderId="3" xfId="4" applyNumberFormat="1" applyFont="1" applyFill="1" applyBorder="1" applyAlignment="1" applyProtection="1">
      <alignment horizontal="center" vertical="center"/>
    </xf>
    <xf numFmtId="0" fontId="43" fillId="0" borderId="0" xfId="0" applyNumberFormat="1" applyFont="1" applyFill="1" applyBorder="1" applyAlignment="1" applyProtection="1">
      <alignment horizontal="left" vertical="top"/>
    </xf>
    <xf numFmtId="0" fontId="43" fillId="0" borderId="3" xfId="4" applyNumberFormat="1" applyFont="1" applyFill="1" applyBorder="1" applyAlignment="1" applyProtection="1">
      <alignment horizontal="center" vertical="center" wrapText="1"/>
    </xf>
    <xf numFmtId="0" fontId="41" fillId="0" borderId="3" xfId="4" applyNumberFormat="1" applyFont="1" applyBorder="1" applyAlignment="1" applyProtection="1">
      <alignment horizontal="center" vertical="center" wrapText="1"/>
    </xf>
    <xf numFmtId="0" fontId="43" fillId="0" borderId="3" xfId="4" applyFont="1" applyFill="1" applyBorder="1" applyAlignment="1" applyProtection="1">
      <alignment horizontal="center" vertical="center" wrapText="1"/>
    </xf>
    <xf numFmtId="0" fontId="41" fillId="0" borderId="3" xfId="4" applyFont="1" applyBorder="1" applyAlignment="1" applyProtection="1">
      <alignment horizontal="center" vertical="center" wrapText="1"/>
    </xf>
    <xf numFmtId="4" fontId="43" fillId="0" borderId="4" xfId="0" applyNumberFormat="1" applyFont="1" applyFill="1" applyBorder="1" applyAlignment="1" applyProtection="1">
      <alignment horizontal="left" vertical="top"/>
    </xf>
    <xf numFmtId="4" fontId="43" fillId="0" borderId="5" xfId="0" applyNumberFormat="1" applyFont="1" applyFill="1" applyBorder="1" applyAlignment="1" applyProtection="1">
      <alignment horizontal="left" vertical="top"/>
    </xf>
    <xf numFmtId="0" fontId="43" fillId="0" borderId="1" xfId="0" applyFont="1" applyFill="1" applyBorder="1" applyAlignment="1" applyProtection="1">
      <alignment horizontal="left" vertical="top" wrapText="1"/>
    </xf>
    <xf numFmtId="0" fontId="43" fillId="0" borderId="0" xfId="0" applyFont="1" applyFill="1" applyBorder="1" applyAlignment="1" applyProtection="1">
      <alignment horizontal="left" vertical="top" wrapText="1"/>
    </xf>
    <xf numFmtId="0" fontId="43" fillId="0" borderId="13" xfId="4" applyFont="1" applyFill="1" applyBorder="1" applyAlignment="1" applyProtection="1">
      <alignment horizontal="center" vertical="center" wrapText="1"/>
    </xf>
    <xf numFmtId="0" fontId="41" fillId="0" borderId="7" xfId="4" applyFont="1" applyBorder="1" applyAlignment="1" applyProtection="1">
      <alignment horizontal="center" vertical="center" wrapText="1"/>
    </xf>
    <xf numFmtId="0" fontId="43" fillId="0" borderId="3" xfId="0" applyFont="1" applyFill="1" applyBorder="1" applyAlignment="1" applyProtection="1">
      <alignment horizontal="left" vertical="top" wrapText="1"/>
    </xf>
    <xf numFmtId="3" fontId="43" fillId="0" borderId="3" xfId="4" applyNumberFormat="1" applyFont="1" applyFill="1" applyBorder="1" applyAlignment="1" applyProtection="1">
      <alignment horizontal="right" vertical="top" wrapText="1"/>
    </xf>
    <xf numFmtId="0" fontId="43" fillId="0" borderId="4" xfId="4" applyFont="1" applyFill="1" applyBorder="1" applyAlignment="1" applyProtection="1">
      <alignment horizontal="left" vertical="top" wrapText="1"/>
    </xf>
    <xf numFmtId="0" fontId="43" fillId="0" borderId="2" xfId="4" applyFont="1" applyFill="1" applyBorder="1" applyAlignment="1" applyProtection="1">
      <alignment horizontal="left" vertical="top" wrapText="1"/>
    </xf>
    <xf numFmtId="0" fontId="43" fillId="0" borderId="5" xfId="4" applyFont="1" applyFill="1" applyBorder="1" applyAlignment="1" applyProtection="1">
      <alignment horizontal="left" vertical="top" wrapText="1"/>
    </xf>
    <xf numFmtId="3" fontId="43" fillId="0" borderId="4" xfId="4" applyNumberFormat="1" applyFont="1" applyFill="1" applyBorder="1" applyAlignment="1" applyProtection="1">
      <alignment horizontal="left" vertical="top" wrapText="1"/>
    </xf>
    <xf numFmtId="3" fontId="43" fillId="0" borderId="2" xfId="4" applyNumberFormat="1" applyFont="1" applyFill="1" applyBorder="1" applyAlignment="1" applyProtection="1">
      <alignment horizontal="left" vertical="top" wrapText="1"/>
    </xf>
    <xf numFmtId="3" fontId="43" fillId="0" borderId="5" xfId="4" applyNumberFormat="1" applyFont="1" applyFill="1" applyBorder="1" applyAlignment="1" applyProtection="1">
      <alignment horizontal="left" vertical="top" wrapText="1"/>
    </xf>
  </cellXfs>
  <cellStyles count="6">
    <cellStyle name="Normal" xfId="0" builtinId="0" customBuiltin="1"/>
    <cellStyle name="Normal 2" xfId="1" xr:uid="{00000000-0005-0000-0000-000001000000}"/>
    <cellStyle name="Normal 3" xfId="2" xr:uid="{00000000-0005-0000-0000-000002000000}"/>
    <cellStyle name="Normal 4" xfId="4" xr:uid="{00000000-0005-0000-0000-000003000000}"/>
    <cellStyle name="Percent" xfId="5" builtinId="5"/>
    <cellStyle name="Percent 2" xfId="3" xr:uid="{00000000-0005-0000-0000-000005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H94"/>
  <sheetViews>
    <sheetView workbookViewId="0">
      <selection activeCell="G10" sqref="G10"/>
    </sheetView>
  </sheetViews>
  <sheetFormatPr defaultColWidth="9.109375" defaultRowHeight="13.8" x14ac:dyDescent="0.3"/>
  <cols>
    <col min="1" max="1" width="59.109375" style="61" customWidth="1"/>
    <col min="2" max="4" width="12.88671875" style="62" customWidth="1"/>
    <col min="5" max="5" width="13.88671875" style="44" customWidth="1"/>
    <col min="6" max="16384" width="9.109375" style="45"/>
  </cols>
  <sheetData>
    <row r="1" spans="1:5" s="41" customFormat="1" ht="14.4" x14ac:dyDescent="0.3">
      <c r="A1" s="264" t="s">
        <v>453</v>
      </c>
      <c r="B1" s="39"/>
      <c r="C1" s="39"/>
      <c r="D1" s="39"/>
      <c r="E1" s="40"/>
    </row>
    <row r="2" spans="1:5" s="41" customFormat="1" x14ac:dyDescent="0.3">
      <c r="A2" s="42"/>
      <c r="B2" s="39"/>
      <c r="C2" s="39"/>
      <c r="D2" s="39"/>
      <c r="E2" s="40"/>
    </row>
    <row r="3" spans="1:5" s="41" customFormat="1" ht="43.5" customHeight="1" x14ac:dyDescent="0.3">
      <c r="A3" s="435" t="s">
        <v>555</v>
      </c>
      <c r="B3" s="435"/>
      <c r="C3" s="435"/>
      <c r="D3" s="435"/>
      <c r="E3" s="40"/>
    </row>
    <row r="4" spans="1:5" s="41" customFormat="1" x14ac:dyDescent="0.3">
      <c r="A4" s="63"/>
      <c r="B4" s="63"/>
      <c r="C4" s="63"/>
      <c r="D4" s="63"/>
      <c r="E4" s="40"/>
    </row>
    <row r="5" spans="1:5" x14ac:dyDescent="0.3">
      <c r="A5" s="43"/>
      <c r="B5" s="364">
        <v>2018</v>
      </c>
      <c r="C5" s="364">
        <v>2019</v>
      </c>
      <c r="D5" s="364" t="s">
        <v>599</v>
      </c>
    </row>
    <row r="6" spans="1:5" s="47" customFormat="1" x14ac:dyDescent="0.3">
      <c r="A6" s="43" t="s">
        <v>15</v>
      </c>
      <c r="B6" s="66"/>
      <c r="C6" s="66"/>
      <c r="D6" s="66"/>
      <c r="E6" s="46"/>
    </row>
    <row r="7" spans="1:5" x14ac:dyDescent="0.3">
      <c r="A7" s="48" t="s">
        <v>16</v>
      </c>
      <c r="B7" s="49">
        <v>0</v>
      </c>
      <c r="C7" s="49">
        <v>0</v>
      </c>
      <c r="D7" s="49"/>
    </row>
    <row r="8" spans="1:5" x14ac:dyDescent="0.3">
      <c r="A8" s="107" t="s">
        <v>17</v>
      </c>
      <c r="B8" s="107"/>
      <c r="C8" s="107"/>
      <c r="D8" s="107"/>
    </row>
    <row r="9" spans="1:5" x14ac:dyDescent="0.3">
      <c r="A9" s="48" t="s">
        <v>0</v>
      </c>
      <c r="B9" s="49">
        <v>0</v>
      </c>
      <c r="C9" s="49">
        <v>0</v>
      </c>
      <c r="D9" s="49">
        <v>0</v>
      </c>
    </row>
    <row r="10" spans="1:5" x14ac:dyDescent="0.3">
      <c r="A10" s="48" t="s">
        <v>1</v>
      </c>
      <c r="B10" s="49">
        <f>416064-99947</f>
        <v>316117</v>
      </c>
      <c r="C10" s="49">
        <f>854928-95217</f>
        <v>759711</v>
      </c>
      <c r="D10" s="49"/>
    </row>
    <row r="11" spans="1:5" x14ac:dyDescent="0.3">
      <c r="A11" s="48" t="s">
        <v>10</v>
      </c>
      <c r="B11" s="49">
        <f>50185-20898</f>
        <v>29287</v>
      </c>
      <c r="C11" s="49">
        <f>161749-55789</f>
        <v>105960</v>
      </c>
      <c r="D11" s="49"/>
    </row>
    <row r="12" spans="1:5" x14ac:dyDescent="0.3">
      <c r="A12" s="48" t="s">
        <v>538</v>
      </c>
      <c r="B12" s="49">
        <v>0</v>
      </c>
      <c r="C12" s="49">
        <v>0</v>
      </c>
      <c r="D12" s="49">
        <v>0</v>
      </c>
    </row>
    <row r="13" spans="1:5" x14ac:dyDescent="0.3">
      <c r="A13" s="48" t="s">
        <v>539</v>
      </c>
      <c r="B13" s="49">
        <v>0</v>
      </c>
      <c r="C13" s="49">
        <v>0</v>
      </c>
      <c r="D13" s="49">
        <v>0</v>
      </c>
    </row>
    <row r="14" spans="1:5" x14ac:dyDescent="0.3">
      <c r="A14" s="48" t="s">
        <v>540</v>
      </c>
      <c r="B14" s="49">
        <v>0</v>
      </c>
      <c r="C14" s="49">
        <v>0</v>
      </c>
      <c r="D14" s="49">
        <v>0</v>
      </c>
    </row>
    <row r="15" spans="1:5" x14ac:dyDescent="0.3">
      <c r="A15" s="48" t="s">
        <v>541</v>
      </c>
      <c r="B15" s="49">
        <v>0</v>
      </c>
      <c r="C15" s="49">
        <v>0</v>
      </c>
      <c r="D15" s="49">
        <v>0</v>
      </c>
    </row>
    <row r="16" spans="1:5" x14ac:dyDescent="0.3">
      <c r="A16" s="48" t="s">
        <v>48</v>
      </c>
      <c r="B16" s="50">
        <f>SUM(B9:B15)</f>
        <v>345404</v>
      </c>
      <c r="C16" s="50">
        <f t="shared" ref="C16:D16" si="0">SUM(C9:C15)</f>
        <v>865671</v>
      </c>
      <c r="D16" s="50">
        <f t="shared" si="0"/>
        <v>0</v>
      </c>
    </row>
    <row r="17" spans="1:8" x14ac:dyDescent="0.3">
      <c r="A17" s="48" t="s">
        <v>18</v>
      </c>
      <c r="B17" s="49">
        <v>0</v>
      </c>
      <c r="C17" s="407">
        <v>59493</v>
      </c>
      <c r="D17" s="49">
        <v>0</v>
      </c>
    </row>
    <row r="18" spans="1:8" x14ac:dyDescent="0.3">
      <c r="A18" s="51" t="s">
        <v>43</v>
      </c>
      <c r="B18" s="52">
        <f>SUM(B7+B16+B17)</f>
        <v>345404</v>
      </c>
      <c r="C18" s="52">
        <f>SUM(C7+C16+C17)</f>
        <v>925164</v>
      </c>
      <c r="D18" s="52">
        <f t="shared" ref="D18" si="1">SUM(D7+D16+D17)</f>
        <v>0</v>
      </c>
    </row>
    <row r="19" spans="1:8" s="47" customFormat="1" x14ac:dyDescent="0.3">
      <c r="A19" s="51" t="s">
        <v>19</v>
      </c>
      <c r="B19" s="172"/>
      <c r="C19" s="172"/>
      <c r="D19" s="172"/>
      <c r="E19" s="46"/>
    </row>
    <row r="20" spans="1:8" x14ac:dyDescent="0.3">
      <c r="A20" s="48" t="s">
        <v>2</v>
      </c>
      <c r="B20" s="410"/>
      <c r="C20" s="410"/>
      <c r="D20" s="107"/>
    </row>
    <row r="21" spans="1:8" x14ac:dyDescent="0.3">
      <c r="A21" s="408" t="s">
        <v>3</v>
      </c>
      <c r="B21" s="412">
        <v>17457</v>
      </c>
      <c r="C21" s="412">
        <v>60555</v>
      </c>
      <c r="D21" s="409"/>
    </row>
    <row r="22" spans="1:8" x14ac:dyDescent="0.3">
      <c r="A22" s="48" t="s">
        <v>4</v>
      </c>
      <c r="B22" s="411">
        <v>0</v>
      </c>
      <c r="C22" s="411">
        <v>0</v>
      </c>
      <c r="D22" s="49">
        <v>0</v>
      </c>
    </row>
    <row r="23" spans="1:8" x14ac:dyDescent="0.3">
      <c r="A23" s="48" t="s">
        <v>5</v>
      </c>
      <c r="B23" s="49">
        <v>0</v>
      </c>
      <c r="C23" s="49">
        <v>0</v>
      </c>
      <c r="D23" s="49">
        <v>0</v>
      </c>
    </row>
    <row r="24" spans="1:8" x14ac:dyDescent="0.3">
      <c r="A24" s="48" t="s">
        <v>6</v>
      </c>
      <c r="B24" s="49">
        <v>0</v>
      </c>
      <c r="C24" s="49">
        <v>0</v>
      </c>
      <c r="D24" s="49">
        <v>0</v>
      </c>
    </row>
    <row r="25" spans="1:8" s="47" customFormat="1" x14ac:dyDescent="0.3">
      <c r="A25" s="48" t="s">
        <v>45</v>
      </c>
      <c r="B25" s="413">
        <f>SUM(B21:B24)</f>
        <v>17457</v>
      </c>
      <c r="C25" s="413">
        <f t="shared" ref="C25:D25" si="2">SUM(C21:C24)</f>
        <v>60555</v>
      </c>
      <c r="D25" s="50">
        <f t="shared" si="2"/>
        <v>0</v>
      </c>
      <c r="E25" s="46"/>
    </row>
    <row r="26" spans="1:8" x14ac:dyDescent="0.3">
      <c r="A26" s="408" t="s">
        <v>14</v>
      </c>
      <c r="B26" s="412">
        <v>46573</v>
      </c>
      <c r="C26" s="412">
        <v>45277</v>
      </c>
      <c r="D26" s="409"/>
    </row>
    <row r="27" spans="1:8" x14ac:dyDescent="0.3">
      <c r="A27" s="48" t="s">
        <v>13</v>
      </c>
      <c r="B27" s="414">
        <v>0</v>
      </c>
      <c r="C27" s="414">
        <v>0</v>
      </c>
      <c r="D27" s="49">
        <v>0</v>
      </c>
    </row>
    <row r="28" spans="1:8" x14ac:dyDescent="0.3">
      <c r="A28" s="408" t="s">
        <v>12</v>
      </c>
      <c r="B28" s="412">
        <v>372772</v>
      </c>
      <c r="C28" s="412">
        <v>437352</v>
      </c>
      <c r="D28" s="409"/>
    </row>
    <row r="29" spans="1:8" s="47" customFormat="1" x14ac:dyDescent="0.3">
      <c r="A29" s="51" t="s">
        <v>44</v>
      </c>
      <c r="B29" s="415">
        <f>SUM(B26:B28)+B25</f>
        <v>436802</v>
      </c>
      <c r="C29" s="415">
        <f>SUM(C26:C28)+C25</f>
        <v>543184</v>
      </c>
      <c r="D29" s="52">
        <f t="shared" ref="D29" si="3">SUM(D26:D28)+D25</f>
        <v>0</v>
      </c>
      <c r="E29" s="46"/>
    </row>
    <row r="30" spans="1:8" s="47" customFormat="1" x14ac:dyDescent="0.3">
      <c r="A30" s="51" t="s">
        <v>11</v>
      </c>
      <c r="B30" s="416">
        <f>B31+B32</f>
        <v>1355</v>
      </c>
      <c r="C30" s="416">
        <f t="shared" ref="C30:D30" si="4">C31+C32</f>
        <v>2581</v>
      </c>
      <c r="D30" s="263">
        <f t="shared" si="4"/>
        <v>0</v>
      </c>
      <c r="E30" s="46"/>
    </row>
    <row r="31" spans="1:8" s="47" customFormat="1" x14ac:dyDescent="0.3">
      <c r="A31" s="408" t="s">
        <v>519</v>
      </c>
      <c r="B31" s="412">
        <v>1355</v>
      </c>
      <c r="C31" s="412">
        <v>2581</v>
      </c>
      <c r="D31" s="409"/>
      <c r="E31" s="46"/>
    </row>
    <row r="32" spans="1:8" s="47" customFormat="1" x14ac:dyDescent="0.3">
      <c r="A32" s="48" t="s">
        <v>520</v>
      </c>
      <c r="B32" s="411">
        <v>0</v>
      </c>
      <c r="C32" s="411">
        <v>0</v>
      </c>
      <c r="D32" s="49">
        <v>0</v>
      </c>
      <c r="E32" s="46"/>
      <c r="G32" s="46" t="e">
        <f>#REF!-B42</f>
        <v>#REF!</v>
      </c>
      <c r="H32" s="46" t="e">
        <f>#REF!-C42</f>
        <v>#REF!</v>
      </c>
    </row>
    <row r="33" spans="1:5" s="54" customFormat="1" x14ac:dyDescent="0.3">
      <c r="A33" s="172" t="s">
        <v>527</v>
      </c>
      <c r="B33" s="172"/>
      <c r="C33" s="172"/>
      <c r="D33" s="172"/>
      <c r="E33" s="53"/>
    </row>
    <row r="34" spans="1:5" s="56" customFormat="1" ht="27.6" x14ac:dyDescent="0.3">
      <c r="A34" s="48" t="s">
        <v>24</v>
      </c>
      <c r="B34" s="49">
        <v>0</v>
      </c>
      <c r="C34" s="49">
        <v>0</v>
      </c>
      <c r="D34" s="49">
        <v>0</v>
      </c>
      <c r="E34" s="55"/>
    </row>
    <row r="35" spans="1:5" s="56" customFormat="1" x14ac:dyDescent="0.3">
      <c r="A35" s="48" t="s">
        <v>25</v>
      </c>
      <c r="B35" s="49">
        <v>0</v>
      </c>
      <c r="C35" s="49">
        <v>0</v>
      </c>
      <c r="D35" s="49">
        <v>0</v>
      </c>
      <c r="E35" s="55"/>
    </row>
    <row r="36" spans="1:5" s="56" customFormat="1" x14ac:dyDescent="0.3">
      <c r="A36" s="48" t="s">
        <v>26</v>
      </c>
      <c r="B36" s="417">
        <v>0</v>
      </c>
      <c r="C36" s="417">
        <v>0</v>
      </c>
      <c r="D36" s="49">
        <v>0</v>
      </c>
      <c r="E36" s="55"/>
    </row>
    <row r="37" spans="1:5" s="56" customFormat="1" x14ac:dyDescent="0.3">
      <c r="A37" s="408" t="s">
        <v>27</v>
      </c>
      <c r="B37" s="412">
        <v>29748</v>
      </c>
      <c r="C37" s="412">
        <v>44984</v>
      </c>
      <c r="D37" s="409"/>
      <c r="E37" s="55"/>
    </row>
    <row r="38" spans="1:5" s="56" customFormat="1" x14ac:dyDescent="0.3">
      <c r="A38" s="48" t="s">
        <v>28</v>
      </c>
      <c r="B38" s="411">
        <v>0</v>
      </c>
      <c r="C38" s="411">
        <v>0</v>
      </c>
      <c r="D38" s="49">
        <v>0</v>
      </c>
      <c r="E38" s="55"/>
    </row>
    <row r="39" spans="1:5" s="56" customFormat="1" x14ac:dyDescent="0.3">
      <c r="A39" s="48" t="s">
        <v>29</v>
      </c>
      <c r="B39" s="49">
        <v>0</v>
      </c>
      <c r="C39" s="49">
        <v>0</v>
      </c>
      <c r="D39" s="49">
        <v>0</v>
      </c>
      <c r="E39" s="55"/>
    </row>
    <row r="40" spans="1:5" s="56" customFormat="1" ht="27.6" x14ac:dyDescent="0.3">
      <c r="A40" s="48" t="s">
        <v>30</v>
      </c>
      <c r="B40" s="417">
        <v>0</v>
      </c>
      <c r="C40" s="407">
        <v>147250</v>
      </c>
      <c r="D40" s="49">
        <v>0</v>
      </c>
      <c r="E40" s="55"/>
    </row>
    <row r="41" spans="1:5" s="56" customFormat="1" ht="27.6" x14ac:dyDescent="0.3">
      <c r="A41" s="408" t="s">
        <v>31</v>
      </c>
      <c r="B41" s="412">
        <f>24395+19818+55</f>
        <v>44268</v>
      </c>
      <c r="C41" s="412">
        <f>25642+38648+4956+96557</f>
        <v>165803</v>
      </c>
      <c r="D41" s="409"/>
      <c r="E41" s="55"/>
    </row>
    <row r="42" spans="1:5" s="56" customFormat="1" x14ac:dyDescent="0.3">
      <c r="A42" s="51" t="s">
        <v>548</v>
      </c>
      <c r="B42" s="415">
        <f>SUM(B34:B41)</f>
        <v>74016</v>
      </c>
      <c r="C42" s="415">
        <f>SUM(C34:C41)</f>
        <v>358037</v>
      </c>
      <c r="D42" s="52">
        <f>SUM(D34:D41)</f>
        <v>0</v>
      </c>
      <c r="E42" s="55"/>
    </row>
    <row r="43" spans="1:5" s="47" customFormat="1" x14ac:dyDescent="0.3">
      <c r="A43" s="51" t="s">
        <v>549</v>
      </c>
      <c r="B43" s="52">
        <f>B29+B31-B42-B58-B61-B64</f>
        <v>364141</v>
      </c>
      <c r="C43" s="52">
        <f>C29+C31-C42-C58-C61-C64</f>
        <v>178321</v>
      </c>
      <c r="D43" s="52">
        <f t="shared" ref="D43" si="5">D29+D31-D42-D58-D61-D64</f>
        <v>0</v>
      </c>
      <c r="E43" s="46"/>
    </row>
    <row r="44" spans="1:5" s="47" customFormat="1" x14ac:dyDescent="0.3">
      <c r="A44" s="51" t="s">
        <v>20</v>
      </c>
      <c r="B44" s="57">
        <f>B18+B43+B32</f>
        <v>709545</v>
      </c>
      <c r="C44" s="57">
        <f t="shared" ref="C44:D44" si="6">C18+C43+C32</f>
        <v>1103485</v>
      </c>
      <c r="D44" s="57">
        <f t="shared" si="6"/>
        <v>0</v>
      </c>
    </row>
    <row r="45" spans="1:5" x14ac:dyDescent="0.3">
      <c r="A45" s="172" t="s">
        <v>533</v>
      </c>
      <c r="B45" s="172"/>
      <c r="C45" s="172"/>
      <c r="D45" s="172"/>
    </row>
    <row r="46" spans="1:5" s="56" customFormat="1" ht="27.6" x14ac:dyDescent="0.3">
      <c r="A46" s="48" t="s">
        <v>32</v>
      </c>
      <c r="B46" s="49">
        <v>0</v>
      </c>
      <c r="C46" s="49">
        <v>0</v>
      </c>
      <c r="D46" s="49">
        <v>0</v>
      </c>
      <c r="E46" s="55"/>
    </row>
    <row r="47" spans="1:5" s="56" customFormat="1" x14ac:dyDescent="0.3">
      <c r="A47" s="48" t="s">
        <v>25</v>
      </c>
      <c r="B47" s="49">
        <v>0</v>
      </c>
      <c r="C47" s="49">
        <v>0</v>
      </c>
      <c r="D47" s="49">
        <v>0</v>
      </c>
      <c r="E47" s="55"/>
    </row>
    <row r="48" spans="1:5" s="56" customFormat="1" x14ac:dyDescent="0.3">
      <c r="A48" s="48" t="s">
        <v>26</v>
      </c>
      <c r="B48" s="49">
        <v>0</v>
      </c>
      <c r="C48" s="49">
        <v>0</v>
      </c>
      <c r="D48" s="49">
        <v>0</v>
      </c>
      <c r="E48" s="55"/>
    </row>
    <row r="49" spans="1:5" s="56" customFormat="1" x14ac:dyDescent="0.3">
      <c r="A49" s="48" t="s">
        <v>27</v>
      </c>
      <c r="B49" s="49">
        <v>0</v>
      </c>
      <c r="C49" s="49">
        <v>0</v>
      </c>
      <c r="D49" s="49">
        <v>0</v>
      </c>
      <c r="E49" s="55"/>
    </row>
    <row r="50" spans="1:5" s="56" customFormat="1" x14ac:dyDescent="0.3">
      <c r="A50" s="48" t="s">
        <v>33</v>
      </c>
      <c r="B50" s="49">
        <v>0</v>
      </c>
      <c r="C50" s="49">
        <v>0</v>
      </c>
      <c r="D50" s="49">
        <v>0</v>
      </c>
      <c r="E50" s="55"/>
    </row>
    <row r="51" spans="1:5" s="56" customFormat="1" x14ac:dyDescent="0.3">
      <c r="A51" s="48" t="s">
        <v>34</v>
      </c>
      <c r="B51" s="49">
        <v>0</v>
      </c>
      <c r="C51" s="49">
        <v>0</v>
      </c>
      <c r="D51" s="49">
        <v>0</v>
      </c>
      <c r="E51" s="55"/>
    </row>
    <row r="52" spans="1:5" s="56" customFormat="1" ht="27.6" x14ac:dyDescent="0.3">
      <c r="A52" s="48" t="s">
        <v>30</v>
      </c>
      <c r="B52" s="417">
        <v>0</v>
      </c>
      <c r="C52" s="417">
        <v>0</v>
      </c>
      <c r="D52" s="49">
        <v>0</v>
      </c>
      <c r="E52" s="55"/>
    </row>
    <row r="53" spans="1:5" s="56" customFormat="1" ht="27.6" x14ac:dyDescent="0.3">
      <c r="A53" s="408" t="s">
        <v>35</v>
      </c>
      <c r="B53" s="412">
        <v>252343</v>
      </c>
      <c r="C53" s="412">
        <v>543611</v>
      </c>
      <c r="D53" s="409"/>
      <c r="E53" s="55"/>
    </row>
    <row r="54" spans="1:5" s="54" customFormat="1" x14ac:dyDescent="0.3">
      <c r="A54" s="51" t="s">
        <v>46</v>
      </c>
      <c r="B54" s="415">
        <f>SUM(B46:B53)</f>
        <v>252343</v>
      </c>
      <c r="C54" s="415">
        <f t="shared" ref="C54:D54" si="7">SUM(C46:C53)</f>
        <v>543611</v>
      </c>
      <c r="D54" s="52">
        <f t="shared" si="7"/>
        <v>0</v>
      </c>
      <c r="E54" s="53"/>
    </row>
    <row r="55" spans="1:5" s="47" customFormat="1" x14ac:dyDescent="0.3">
      <c r="A55" s="51" t="s">
        <v>550</v>
      </c>
      <c r="B55" s="49">
        <v>0</v>
      </c>
      <c r="C55" s="49">
        <v>0</v>
      </c>
      <c r="D55" s="49">
        <v>0</v>
      </c>
      <c r="E55" s="46"/>
    </row>
    <row r="56" spans="1:5" s="47" customFormat="1" x14ac:dyDescent="0.3">
      <c r="A56" s="51" t="s">
        <v>21</v>
      </c>
      <c r="B56" s="270">
        <f>B57+B60+B63+B66</f>
        <v>0</v>
      </c>
      <c r="C56" s="270">
        <f>C57+C60+C63+C66</f>
        <v>9407</v>
      </c>
      <c r="D56" s="270">
        <f t="shared" ref="D56" si="8">D57+D60+D63+D66</f>
        <v>0</v>
      </c>
      <c r="E56" s="46"/>
    </row>
    <row r="57" spans="1:5" s="47" customFormat="1" x14ac:dyDescent="0.3">
      <c r="A57" s="48" t="s">
        <v>521</v>
      </c>
      <c r="B57" s="270">
        <f>B58+B59</f>
        <v>0</v>
      </c>
      <c r="C57" s="270">
        <f t="shared" ref="C57:D57" si="9">C58+C59</f>
        <v>4451</v>
      </c>
      <c r="D57" s="270">
        <f t="shared" si="9"/>
        <v>0</v>
      </c>
      <c r="E57" s="46"/>
    </row>
    <row r="58" spans="1:5" s="47" customFormat="1" x14ac:dyDescent="0.3">
      <c r="A58" s="48" t="s">
        <v>517</v>
      </c>
      <c r="B58" s="49">
        <v>0</v>
      </c>
      <c r="C58" s="407">
        <v>4451</v>
      </c>
      <c r="D58" s="49">
        <v>0</v>
      </c>
      <c r="E58" s="46"/>
    </row>
    <row r="59" spans="1:5" s="47" customFormat="1" x14ac:dyDescent="0.3">
      <c r="A59" s="48" t="s">
        <v>518</v>
      </c>
      <c r="B59" s="49">
        <v>0</v>
      </c>
      <c r="C59" s="49">
        <v>0</v>
      </c>
      <c r="D59" s="49">
        <v>0</v>
      </c>
      <c r="E59" s="46"/>
    </row>
    <row r="60" spans="1:5" s="47" customFormat="1" ht="18.600000000000001" customHeight="1" x14ac:dyDescent="0.3">
      <c r="A60" s="48" t="s">
        <v>522</v>
      </c>
      <c r="B60" s="270">
        <f>B61+B62</f>
        <v>0</v>
      </c>
      <c r="C60" s="270">
        <f t="shared" ref="C60:D60" si="10">C61+C62</f>
        <v>4956</v>
      </c>
      <c r="D60" s="270">
        <f t="shared" si="10"/>
        <v>0</v>
      </c>
      <c r="E60" s="46"/>
    </row>
    <row r="61" spans="1:5" s="47" customFormat="1" x14ac:dyDescent="0.3">
      <c r="A61" s="48" t="s">
        <v>523</v>
      </c>
      <c r="B61" s="49">
        <v>0</v>
      </c>
      <c r="C61" s="407">
        <v>4956</v>
      </c>
      <c r="D61" s="49">
        <v>0</v>
      </c>
      <c r="E61" s="46"/>
    </row>
    <row r="62" spans="1:5" s="47" customFormat="1" x14ac:dyDescent="0.3">
      <c r="A62" s="48" t="s">
        <v>524</v>
      </c>
      <c r="B62" s="49">
        <v>0</v>
      </c>
      <c r="C62" s="49">
        <v>0</v>
      </c>
      <c r="D62" s="49">
        <v>0</v>
      </c>
      <c r="E62" s="46"/>
    </row>
    <row r="63" spans="1:5" s="47" customFormat="1" x14ac:dyDescent="0.3">
      <c r="A63" s="51" t="s">
        <v>525</v>
      </c>
      <c r="B63" s="270">
        <f>B64+B65</f>
        <v>0</v>
      </c>
      <c r="C63" s="270">
        <f t="shared" ref="C63:D63" si="11">C64+C65</f>
        <v>0</v>
      </c>
      <c r="D63" s="270">
        <f t="shared" si="11"/>
        <v>0</v>
      </c>
      <c r="E63" s="46"/>
    </row>
    <row r="64" spans="1:5" s="47" customFormat="1" x14ac:dyDescent="0.3">
      <c r="A64" s="48" t="s">
        <v>517</v>
      </c>
      <c r="B64" s="49">
        <v>0</v>
      </c>
      <c r="C64" s="49">
        <v>0</v>
      </c>
      <c r="D64" s="49">
        <v>0</v>
      </c>
      <c r="E64" s="46"/>
    </row>
    <row r="65" spans="1:5" s="47" customFormat="1" x14ac:dyDescent="0.3">
      <c r="A65" s="48" t="s">
        <v>518</v>
      </c>
      <c r="B65" s="49">
        <v>0</v>
      </c>
      <c r="C65" s="49">
        <v>0</v>
      </c>
      <c r="D65" s="49">
        <v>0</v>
      </c>
      <c r="E65" s="46"/>
    </row>
    <row r="66" spans="1:5" s="47" customFormat="1" x14ac:dyDescent="0.3">
      <c r="A66" s="48" t="s">
        <v>526</v>
      </c>
      <c r="B66" s="49">
        <v>0</v>
      </c>
      <c r="C66" s="49">
        <v>0</v>
      </c>
      <c r="D66" s="49">
        <v>0</v>
      </c>
      <c r="E66" s="46"/>
    </row>
    <row r="67" spans="1:5" s="47" customFormat="1" x14ac:dyDescent="0.3">
      <c r="A67" s="172" t="s">
        <v>22</v>
      </c>
      <c r="B67" s="172"/>
      <c r="C67" s="172"/>
      <c r="D67" s="172"/>
      <c r="E67" s="46"/>
    </row>
    <row r="68" spans="1:5" x14ac:dyDescent="0.3">
      <c r="A68" s="48" t="s">
        <v>171</v>
      </c>
      <c r="B68" s="419">
        <f>SUM(B69:B73)</f>
        <v>200</v>
      </c>
      <c r="C68" s="419">
        <f t="shared" ref="C68:D68" si="12">SUM(C69:C73)</f>
        <v>200</v>
      </c>
      <c r="D68" s="58">
        <f t="shared" si="12"/>
        <v>0</v>
      </c>
    </row>
    <row r="69" spans="1:5" x14ac:dyDescent="0.3">
      <c r="A69" s="418" t="s">
        <v>176</v>
      </c>
      <c r="B69" s="412">
        <v>200</v>
      </c>
      <c r="C69" s="412">
        <v>200</v>
      </c>
      <c r="D69" s="409"/>
    </row>
    <row r="70" spans="1:5" x14ac:dyDescent="0.3">
      <c r="A70" s="59" t="s">
        <v>177</v>
      </c>
      <c r="B70" s="411">
        <v>0</v>
      </c>
      <c r="C70" s="411">
        <v>0</v>
      </c>
      <c r="D70" s="49">
        <v>0</v>
      </c>
    </row>
    <row r="71" spans="1:5" x14ac:dyDescent="0.3">
      <c r="A71" s="59" t="s">
        <v>178</v>
      </c>
      <c r="B71" s="49">
        <v>0</v>
      </c>
      <c r="C71" s="49">
        <v>0</v>
      </c>
      <c r="D71" s="49">
        <v>0</v>
      </c>
    </row>
    <row r="72" spans="1:5" x14ac:dyDescent="0.3">
      <c r="A72" s="59" t="s">
        <v>179</v>
      </c>
      <c r="B72" s="49">
        <v>0</v>
      </c>
      <c r="C72" s="49">
        <v>0</v>
      </c>
      <c r="D72" s="49">
        <v>0</v>
      </c>
    </row>
    <row r="73" spans="1:5" x14ac:dyDescent="0.3">
      <c r="A73" s="59" t="s">
        <v>528</v>
      </c>
      <c r="B73" s="49">
        <v>0</v>
      </c>
      <c r="C73" s="49">
        <v>0</v>
      </c>
      <c r="D73" s="49">
        <v>0</v>
      </c>
    </row>
    <row r="74" spans="1:5" x14ac:dyDescent="0.3">
      <c r="A74" s="48" t="s">
        <v>36</v>
      </c>
      <c r="B74" s="49">
        <v>0</v>
      </c>
      <c r="C74" s="49">
        <v>0</v>
      </c>
      <c r="D74" s="49">
        <v>0</v>
      </c>
    </row>
    <row r="75" spans="1:5" x14ac:dyDescent="0.3">
      <c r="A75" s="48" t="s">
        <v>37</v>
      </c>
      <c r="B75" s="50">
        <f>B76-B77</f>
        <v>0</v>
      </c>
      <c r="C75" s="50">
        <f>C76-C77</f>
        <v>0</v>
      </c>
      <c r="D75" s="50">
        <f t="shared" ref="D75" si="13">D76-D77</f>
        <v>0</v>
      </c>
    </row>
    <row r="76" spans="1:5" x14ac:dyDescent="0.3">
      <c r="A76" s="48" t="s">
        <v>7</v>
      </c>
      <c r="B76" s="49">
        <v>0</v>
      </c>
      <c r="C76" s="49">
        <v>0</v>
      </c>
      <c r="D76" s="49">
        <v>0</v>
      </c>
    </row>
    <row r="77" spans="1:5" x14ac:dyDescent="0.3">
      <c r="A77" s="48" t="s">
        <v>8</v>
      </c>
      <c r="B77" s="417">
        <v>0</v>
      </c>
      <c r="C77" s="417">
        <v>0</v>
      </c>
      <c r="D77" s="49">
        <v>0</v>
      </c>
    </row>
    <row r="78" spans="1:5" x14ac:dyDescent="0.3">
      <c r="A78" s="408" t="s">
        <v>42</v>
      </c>
      <c r="B78" s="412">
        <v>40</v>
      </c>
      <c r="C78" s="412">
        <v>40</v>
      </c>
      <c r="D78" s="409"/>
    </row>
    <row r="79" spans="1:5" x14ac:dyDescent="0.3">
      <c r="A79" s="48" t="s">
        <v>529</v>
      </c>
      <c r="B79" s="411">
        <v>0</v>
      </c>
      <c r="C79" s="411">
        <v>0</v>
      </c>
      <c r="D79" s="49">
        <v>0</v>
      </c>
    </row>
    <row r="80" spans="1:5" x14ac:dyDescent="0.3">
      <c r="A80" s="48" t="s">
        <v>530</v>
      </c>
      <c r="B80" s="49">
        <v>0</v>
      </c>
      <c r="C80" s="49">
        <v>0</v>
      </c>
      <c r="D80" s="49">
        <v>0</v>
      </c>
    </row>
    <row r="81" spans="1:5" x14ac:dyDescent="0.3">
      <c r="A81" s="48" t="s">
        <v>531</v>
      </c>
      <c r="B81" s="49">
        <v>0</v>
      </c>
      <c r="C81" s="49">
        <v>0</v>
      </c>
      <c r="D81" s="49">
        <v>0</v>
      </c>
    </row>
    <row r="82" spans="1:5" x14ac:dyDescent="0.3">
      <c r="A82" s="51" t="s">
        <v>38</v>
      </c>
      <c r="B82" s="413">
        <f>B83-B84</f>
        <v>113110</v>
      </c>
      <c r="C82" s="413">
        <f t="shared" ref="C82:D82" si="14">C83-C84</f>
        <v>6962</v>
      </c>
      <c r="D82" s="50">
        <f t="shared" si="14"/>
        <v>0</v>
      </c>
    </row>
    <row r="83" spans="1:5" x14ac:dyDescent="0.3">
      <c r="A83" s="408" t="s">
        <v>7</v>
      </c>
      <c r="B83" s="412">
        <v>113110</v>
      </c>
      <c r="C83" s="412">
        <v>6962</v>
      </c>
      <c r="D83" s="409"/>
    </row>
    <row r="84" spans="1:5" x14ac:dyDescent="0.3">
      <c r="A84" s="48" t="s">
        <v>8</v>
      </c>
      <c r="B84" s="411">
        <v>0</v>
      </c>
      <c r="C84" s="411"/>
      <c r="D84" s="49">
        <v>0</v>
      </c>
    </row>
    <row r="85" spans="1:5" x14ac:dyDescent="0.3">
      <c r="A85" s="51" t="s">
        <v>39</v>
      </c>
      <c r="B85" s="413">
        <f>B86-B87</f>
        <v>343852</v>
      </c>
      <c r="C85" s="413">
        <f t="shared" ref="C85:D85" si="15">C86-C87</f>
        <v>552672</v>
      </c>
      <c r="D85" s="50">
        <f t="shared" si="15"/>
        <v>0</v>
      </c>
    </row>
    <row r="86" spans="1:5" x14ac:dyDescent="0.3">
      <c r="A86" s="408" t="s">
        <v>7</v>
      </c>
      <c r="B86" s="412">
        <v>343852</v>
      </c>
      <c r="C86" s="412">
        <v>552672</v>
      </c>
      <c r="D86" s="409"/>
    </row>
    <row r="87" spans="1:5" x14ac:dyDescent="0.3">
      <c r="A87" s="48" t="s">
        <v>8</v>
      </c>
      <c r="B87" s="411"/>
      <c r="C87" s="411">
        <v>0</v>
      </c>
      <c r="D87" s="49">
        <v>0</v>
      </c>
    </row>
    <row r="88" spans="1:5" x14ac:dyDescent="0.3">
      <c r="A88" s="48" t="s">
        <v>9</v>
      </c>
      <c r="B88" s="49">
        <v>0</v>
      </c>
      <c r="C88" s="49"/>
      <c r="D88" s="49"/>
    </row>
    <row r="89" spans="1:5" x14ac:dyDescent="0.3">
      <c r="A89" s="51" t="s">
        <v>47</v>
      </c>
      <c r="B89" s="52">
        <f>B68+B74+B75+B78-B79+B80-B81+B83-B84+B86-B87-B88</f>
        <v>457202</v>
      </c>
      <c r="C89" s="52">
        <f>C68+C74+C75+C78-C79+C80-C81+C83-C84+C86-C87-C88</f>
        <v>559874</v>
      </c>
      <c r="D89" s="52">
        <f>D68+D74+D75+D78-D79+D80-D81+D83-D84+D86-D87-D88</f>
        <v>0</v>
      </c>
    </row>
    <row r="90" spans="1:5" x14ac:dyDescent="0.3">
      <c r="A90" s="51" t="s">
        <v>49</v>
      </c>
      <c r="B90" s="60">
        <v>0</v>
      </c>
      <c r="C90" s="60">
        <v>0</v>
      </c>
      <c r="D90" s="60">
        <v>0</v>
      </c>
    </row>
    <row r="91" spans="1:5" x14ac:dyDescent="0.3">
      <c r="A91" s="51" t="s">
        <v>532</v>
      </c>
      <c r="B91" s="60">
        <v>0</v>
      </c>
      <c r="C91" s="60">
        <v>0</v>
      </c>
      <c r="D91" s="60">
        <v>0</v>
      </c>
    </row>
    <row r="92" spans="1:5" x14ac:dyDescent="0.3">
      <c r="A92" s="51" t="s">
        <v>50</v>
      </c>
      <c r="B92" s="52">
        <f>B18+B29+B30-B42-B54-B55-B56</f>
        <v>457202</v>
      </c>
      <c r="C92" s="52">
        <f t="shared" ref="C92:D92" si="16">C18+C29+C30-C42-C54-C55-C56</f>
        <v>559874</v>
      </c>
      <c r="D92" s="52">
        <f t="shared" si="16"/>
        <v>0</v>
      </c>
    </row>
    <row r="93" spans="1:5" s="47" customFormat="1" x14ac:dyDescent="0.3">
      <c r="A93" s="51" t="s">
        <v>40</v>
      </c>
      <c r="B93" s="52">
        <f>B18+B29+B30</f>
        <v>783561</v>
      </c>
      <c r="C93" s="52">
        <f>C18+C29+C30</f>
        <v>1470929</v>
      </c>
      <c r="D93" s="52">
        <f>D18+D29+D30</f>
        <v>0</v>
      </c>
      <c r="E93" s="46"/>
    </row>
    <row r="94" spans="1:5" s="47" customFormat="1" x14ac:dyDescent="0.3">
      <c r="A94" s="51" t="s">
        <v>41</v>
      </c>
      <c r="B94" s="52">
        <f>B42+B54+B55+B56+B89</f>
        <v>783561</v>
      </c>
      <c r="C94" s="52">
        <f>C42+C54+C55+C56+C89</f>
        <v>1470929</v>
      </c>
      <c r="D94" s="52">
        <f>D42+D54+D55+D56+D89</f>
        <v>0</v>
      </c>
      <c r="E94" s="46"/>
    </row>
  </sheetData>
  <mergeCells count="1">
    <mergeCell ref="A3:D3"/>
  </mergeCells>
  <pageMargins left="0.7" right="0.7" top="0.75" bottom="0.75" header="0.3" footer="0.3"/>
  <pageSetup paperSize="9" fitToHeight="0" orientation="portrait" blackAndWhite="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384" customWidth="1"/>
    <col min="2" max="16384" width="9.109375" style="384"/>
  </cols>
  <sheetData>
    <row r="2" spans="1:2" x14ac:dyDescent="0.3">
      <c r="A2" s="530" t="s">
        <v>560</v>
      </c>
      <c r="B2" s="383" t="s">
        <v>562</v>
      </c>
    </row>
    <row r="3" spans="1:2" x14ac:dyDescent="0.3">
      <c r="A3" s="531"/>
      <c r="B3" s="383" t="s">
        <v>561</v>
      </c>
    </row>
  </sheetData>
  <mergeCells count="1">
    <mergeCell ref="A2:A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J134"/>
  <sheetViews>
    <sheetView topLeftCell="A113" workbookViewId="0">
      <selection activeCell="K126" sqref="K126"/>
    </sheetView>
  </sheetViews>
  <sheetFormatPr defaultColWidth="9.109375" defaultRowHeight="14.4" x14ac:dyDescent="0.3"/>
  <cols>
    <col min="1" max="1" width="6.109375" style="37" customWidth="1"/>
    <col min="2" max="2" width="45.88671875" style="248" customWidth="1"/>
    <col min="3" max="3" width="11.5546875" style="205" customWidth="1"/>
    <col min="4" max="9" width="10.109375" style="205" customWidth="1"/>
    <col min="10" max="218" width="9.109375" style="20"/>
    <col min="219" max="219" width="6.109375" style="20" customWidth="1"/>
    <col min="220" max="220" width="79.5546875" style="20" customWidth="1"/>
    <col min="221" max="224" width="14.6640625" style="20" customWidth="1"/>
    <col min="225" max="474" width="9.109375" style="20"/>
    <col min="475" max="475" width="6.109375" style="20" customWidth="1"/>
    <col min="476" max="476" width="79.5546875" style="20" customWidth="1"/>
    <col min="477" max="480" width="14.6640625" style="20" customWidth="1"/>
    <col min="481" max="730" width="9.109375" style="20"/>
    <col min="731" max="731" width="6.109375" style="20" customWidth="1"/>
    <col min="732" max="732" width="79.5546875" style="20" customWidth="1"/>
    <col min="733" max="736" width="14.6640625" style="20" customWidth="1"/>
    <col min="737" max="986" width="9.109375" style="20"/>
    <col min="987" max="987" width="6.109375" style="20" customWidth="1"/>
    <col min="988" max="988" width="79.5546875" style="20" customWidth="1"/>
    <col min="989" max="992" width="14.6640625" style="20" customWidth="1"/>
    <col min="993" max="1242" width="9.109375" style="20"/>
    <col min="1243" max="1243" width="6.109375" style="20" customWidth="1"/>
    <col min="1244" max="1244" width="79.5546875" style="20" customWidth="1"/>
    <col min="1245" max="1248" width="14.6640625" style="20" customWidth="1"/>
    <col min="1249" max="1498" width="9.109375" style="20"/>
    <col min="1499" max="1499" width="6.109375" style="20" customWidth="1"/>
    <col min="1500" max="1500" width="79.5546875" style="20" customWidth="1"/>
    <col min="1501" max="1504" width="14.6640625" style="20" customWidth="1"/>
    <col min="1505" max="1754" width="9.109375" style="20"/>
    <col min="1755" max="1755" width="6.109375" style="20" customWidth="1"/>
    <col min="1756" max="1756" width="79.5546875" style="20" customWidth="1"/>
    <col min="1757" max="1760" width="14.6640625" style="20" customWidth="1"/>
    <col min="1761" max="2010" width="9.109375" style="20"/>
    <col min="2011" max="2011" width="6.109375" style="20" customWidth="1"/>
    <col min="2012" max="2012" width="79.5546875" style="20" customWidth="1"/>
    <col min="2013" max="2016" width="14.6640625" style="20" customWidth="1"/>
    <col min="2017" max="2266" width="9.109375" style="20"/>
    <col min="2267" max="2267" width="6.109375" style="20" customWidth="1"/>
    <col min="2268" max="2268" width="79.5546875" style="20" customWidth="1"/>
    <col min="2269" max="2272" width="14.6640625" style="20" customWidth="1"/>
    <col min="2273" max="2522" width="9.109375" style="20"/>
    <col min="2523" max="2523" width="6.109375" style="20" customWidth="1"/>
    <col min="2524" max="2524" width="79.5546875" style="20" customWidth="1"/>
    <col min="2525" max="2528" width="14.6640625" style="20" customWidth="1"/>
    <col min="2529" max="2778" width="9.109375" style="20"/>
    <col min="2779" max="2779" width="6.109375" style="20" customWidth="1"/>
    <col min="2780" max="2780" width="79.5546875" style="20" customWidth="1"/>
    <col min="2781" max="2784" width="14.6640625" style="20" customWidth="1"/>
    <col min="2785" max="3034" width="9.109375" style="20"/>
    <col min="3035" max="3035" width="6.109375" style="20" customWidth="1"/>
    <col min="3036" max="3036" width="79.5546875" style="20" customWidth="1"/>
    <col min="3037" max="3040" width="14.6640625" style="20" customWidth="1"/>
    <col min="3041" max="3290" width="9.109375" style="20"/>
    <col min="3291" max="3291" width="6.109375" style="20" customWidth="1"/>
    <col min="3292" max="3292" width="79.5546875" style="20" customWidth="1"/>
    <col min="3293" max="3296" width="14.6640625" style="20" customWidth="1"/>
    <col min="3297" max="3546" width="9.109375" style="20"/>
    <col min="3547" max="3547" width="6.109375" style="20" customWidth="1"/>
    <col min="3548" max="3548" width="79.5546875" style="20" customWidth="1"/>
    <col min="3549" max="3552" width="14.6640625" style="20" customWidth="1"/>
    <col min="3553" max="3802" width="9.109375" style="20"/>
    <col min="3803" max="3803" width="6.109375" style="20" customWidth="1"/>
    <col min="3804" max="3804" width="79.5546875" style="20" customWidth="1"/>
    <col min="3805" max="3808" width="14.6640625" style="20" customWidth="1"/>
    <col min="3809" max="4058" width="9.109375" style="20"/>
    <col min="4059" max="4059" width="6.109375" style="20" customWidth="1"/>
    <col min="4060" max="4060" width="79.5546875" style="20" customWidth="1"/>
    <col min="4061" max="4064" width="14.6640625" style="20" customWidth="1"/>
    <col min="4065" max="4314" width="9.109375" style="20"/>
    <col min="4315" max="4315" width="6.109375" style="20" customWidth="1"/>
    <col min="4316" max="4316" width="79.5546875" style="20" customWidth="1"/>
    <col min="4317" max="4320" width="14.6640625" style="20" customWidth="1"/>
    <col min="4321" max="4570" width="9.109375" style="20"/>
    <col min="4571" max="4571" width="6.109375" style="20" customWidth="1"/>
    <col min="4572" max="4572" width="79.5546875" style="20" customWidth="1"/>
    <col min="4573" max="4576" width="14.6640625" style="20" customWidth="1"/>
    <col min="4577" max="4826" width="9.109375" style="20"/>
    <col min="4827" max="4827" width="6.109375" style="20" customWidth="1"/>
    <col min="4828" max="4828" width="79.5546875" style="20" customWidth="1"/>
    <col min="4829" max="4832" width="14.6640625" style="20" customWidth="1"/>
    <col min="4833" max="5082" width="9.109375" style="20"/>
    <col min="5083" max="5083" width="6.109375" style="20" customWidth="1"/>
    <col min="5084" max="5084" width="79.5546875" style="20" customWidth="1"/>
    <col min="5085" max="5088" width="14.6640625" style="20" customWidth="1"/>
    <col min="5089" max="5338" width="9.109375" style="20"/>
    <col min="5339" max="5339" width="6.109375" style="20" customWidth="1"/>
    <col min="5340" max="5340" width="79.5546875" style="20" customWidth="1"/>
    <col min="5341" max="5344" width="14.6640625" style="20" customWidth="1"/>
    <col min="5345" max="5594" width="9.109375" style="20"/>
    <col min="5595" max="5595" width="6.109375" style="20" customWidth="1"/>
    <col min="5596" max="5596" width="79.5546875" style="20" customWidth="1"/>
    <col min="5597" max="5600" width="14.6640625" style="20" customWidth="1"/>
    <col min="5601" max="5850" width="9.109375" style="20"/>
    <col min="5851" max="5851" width="6.109375" style="20" customWidth="1"/>
    <col min="5852" max="5852" width="79.5546875" style="20" customWidth="1"/>
    <col min="5853" max="5856" width="14.6640625" style="20" customWidth="1"/>
    <col min="5857" max="6106" width="9.109375" style="20"/>
    <col min="6107" max="6107" width="6.109375" style="20" customWidth="1"/>
    <col min="6108" max="6108" width="79.5546875" style="20" customWidth="1"/>
    <col min="6109" max="6112" width="14.6640625" style="20" customWidth="1"/>
    <col min="6113" max="6362" width="9.109375" style="20"/>
    <col min="6363" max="6363" width="6.109375" style="20" customWidth="1"/>
    <col min="6364" max="6364" width="79.5546875" style="20" customWidth="1"/>
    <col min="6365" max="6368" width="14.6640625" style="20" customWidth="1"/>
    <col min="6369" max="6618" width="9.109375" style="20"/>
    <col min="6619" max="6619" width="6.109375" style="20" customWidth="1"/>
    <col min="6620" max="6620" width="79.5546875" style="20" customWidth="1"/>
    <col min="6621" max="6624" width="14.6640625" style="20" customWidth="1"/>
    <col min="6625" max="6874" width="9.109375" style="20"/>
    <col min="6875" max="6875" width="6.109375" style="20" customWidth="1"/>
    <col min="6876" max="6876" width="79.5546875" style="20" customWidth="1"/>
    <col min="6877" max="6880" width="14.6640625" style="20" customWidth="1"/>
    <col min="6881" max="7130" width="9.109375" style="20"/>
    <col min="7131" max="7131" width="6.109375" style="20" customWidth="1"/>
    <col min="7132" max="7132" width="79.5546875" style="20" customWidth="1"/>
    <col min="7133" max="7136" width="14.6640625" style="20" customWidth="1"/>
    <col min="7137" max="7386" width="9.109375" style="20"/>
    <col min="7387" max="7387" width="6.109375" style="20" customWidth="1"/>
    <col min="7388" max="7388" width="79.5546875" style="20" customWidth="1"/>
    <col min="7389" max="7392" width="14.6640625" style="20" customWidth="1"/>
    <col min="7393" max="7642" width="9.109375" style="20"/>
    <col min="7643" max="7643" width="6.109375" style="20" customWidth="1"/>
    <col min="7644" max="7644" width="79.5546875" style="20" customWidth="1"/>
    <col min="7645" max="7648" width="14.6640625" style="20" customWidth="1"/>
    <col min="7649" max="7898" width="9.109375" style="20"/>
    <col min="7899" max="7899" width="6.109375" style="20" customWidth="1"/>
    <col min="7900" max="7900" width="79.5546875" style="20" customWidth="1"/>
    <col min="7901" max="7904" width="14.6640625" style="20" customWidth="1"/>
    <col min="7905" max="8154" width="9.109375" style="20"/>
    <col min="8155" max="8155" width="6.109375" style="20" customWidth="1"/>
    <col min="8156" max="8156" width="79.5546875" style="20" customWidth="1"/>
    <col min="8157" max="8160" width="14.6640625" style="20" customWidth="1"/>
    <col min="8161" max="8410" width="9.109375" style="20"/>
    <col min="8411" max="8411" width="6.109375" style="20" customWidth="1"/>
    <col min="8412" max="8412" width="79.5546875" style="20" customWidth="1"/>
    <col min="8413" max="8416" width="14.6640625" style="20" customWidth="1"/>
    <col min="8417" max="8666" width="9.109375" style="20"/>
    <col min="8667" max="8667" width="6.109375" style="20" customWidth="1"/>
    <col min="8668" max="8668" width="79.5546875" style="20" customWidth="1"/>
    <col min="8669" max="8672" width="14.6640625" style="20" customWidth="1"/>
    <col min="8673" max="8922" width="9.109375" style="20"/>
    <col min="8923" max="8923" width="6.109375" style="20" customWidth="1"/>
    <col min="8924" max="8924" width="79.5546875" style="20" customWidth="1"/>
    <col min="8925" max="8928" width="14.6640625" style="20" customWidth="1"/>
    <col min="8929" max="9178" width="9.109375" style="20"/>
    <col min="9179" max="9179" width="6.109375" style="20" customWidth="1"/>
    <col min="9180" max="9180" width="79.5546875" style="20" customWidth="1"/>
    <col min="9181" max="9184" width="14.6640625" style="20" customWidth="1"/>
    <col min="9185" max="9434" width="9.109375" style="20"/>
    <col min="9435" max="9435" width="6.109375" style="20" customWidth="1"/>
    <col min="9436" max="9436" width="79.5546875" style="20" customWidth="1"/>
    <col min="9437" max="9440" width="14.6640625" style="20" customWidth="1"/>
    <col min="9441" max="9690" width="9.109375" style="20"/>
    <col min="9691" max="9691" width="6.109375" style="20" customWidth="1"/>
    <col min="9692" max="9692" width="79.5546875" style="20" customWidth="1"/>
    <col min="9693" max="9696" width="14.6640625" style="20" customWidth="1"/>
    <col min="9697" max="9946" width="9.109375" style="20"/>
    <col min="9947" max="9947" width="6.109375" style="20" customWidth="1"/>
    <col min="9948" max="9948" width="79.5546875" style="20" customWidth="1"/>
    <col min="9949" max="9952" width="14.6640625" style="20" customWidth="1"/>
    <col min="9953" max="10202" width="9.109375" style="20"/>
    <col min="10203" max="10203" width="6.109375" style="20" customWidth="1"/>
    <col min="10204" max="10204" width="79.5546875" style="20" customWidth="1"/>
    <col min="10205" max="10208" width="14.6640625" style="20" customWidth="1"/>
    <col min="10209" max="10458" width="9.109375" style="20"/>
    <col min="10459" max="10459" width="6.109375" style="20" customWidth="1"/>
    <col min="10460" max="10460" width="79.5546875" style="20" customWidth="1"/>
    <col min="10461" max="10464" width="14.6640625" style="20" customWidth="1"/>
    <col min="10465" max="10714" width="9.109375" style="20"/>
    <col min="10715" max="10715" width="6.109375" style="20" customWidth="1"/>
    <col min="10716" max="10716" width="79.5546875" style="20" customWidth="1"/>
    <col min="10717" max="10720" width="14.6640625" style="20" customWidth="1"/>
    <col min="10721" max="10970" width="9.109375" style="20"/>
    <col min="10971" max="10971" width="6.109375" style="20" customWidth="1"/>
    <col min="10972" max="10972" width="79.5546875" style="20" customWidth="1"/>
    <col min="10973" max="10976" width="14.6640625" style="20" customWidth="1"/>
    <col min="10977" max="11226" width="9.109375" style="20"/>
    <col min="11227" max="11227" width="6.109375" style="20" customWidth="1"/>
    <col min="11228" max="11228" width="79.5546875" style="20" customWidth="1"/>
    <col min="11229" max="11232" width="14.6640625" style="20" customWidth="1"/>
    <col min="11233" max="11482" width="9.109375" style="20"/>
    <col min="11483" max="11483" width="6.109375" style="20" customWidth="1"/>
    <col min="11484" max="11484" width="79.5546875" style="20" customWidth="1"/>
    <col min="11485" max="11488" width="14.6640625" style="20" customWidth="1"/>
    <col min="11489" max="11738" width="9.109375" style="20"/>
    <col min="11739" max="11739" width="6.109375" style="20" customWidth="1"/>
    <col min="11740" max="11740" width="79.5546875" style="20" customWidth="1"/>
    <col min="11741" max="11744" width="14.6640625" style="20" customWidth="1"/>
    <col min="11745" max="11994" width="9.109375" style="20"/>
    <col min="11995" max="11995" width="6.109375" style="20" customWidth="1"/>
    <col min="11996" max="11996" width="79.5546875" style="20" customWidth="1"/>
    <col min="11997" max="12000" width="14.6640625" style="20" customWidth="1"/>
    <col min="12001" max="12250" width="9.109375" style="20"/>
    <col min="12251" max="12251" width="6.109375" style="20" customWidth="1"/>
    <col min="12252" max="12252" width="79.5546875" style="20" customWidth="1"/>
    <col min="12253" max="12256" width="14.6640625" style="20" customWidth="1"/>
    <col min="12257" max="12506" width="9.109375" style="20"/>
    <col min="12507" max="12507" width="6.109375" style="20" customWidth="1"/>
    <col min="12508" max="12508" width="79.5546875" style="20" customWidth="1"/>
    <col min="12509" max="12512" width="14.6640625" style="20" customWidth="1"/>
    <col min="12513" max="12762" width="9.109375" style="20"/>
    <col min="12763" max="12763" width="6.109375" style="20" customWidth="1"/>
    <col min="12764" max="12764" width="79.5546875" style="20" customWidth="1"/>
    <col min="12765" max="12768" width="14.6640625" style="20" customWidth="1"/>
    <col min="12769" max="13018" width="9.109375" style="20"/>
    <col min="13019" max="13019" width="6.109375" style="20" customWidth="1"/>
    <col min="13020" max="13020" width="79.5546875" style="20" customWidth="1"/>
    <col min="13021" max="13024" width="14.6640625" style="20" customWidth="1"/>
    <col min="13025" max="13274" width="9.109375" style="20"/>
    <col min="13275" max="13275" width="6.109375" style="20" customWidth="1"/>
    <col min="13276" max="13276" width="79.5546875" style="20" customWidth="1"/>
    <col min="13277" max="13280" width="14.6640625" style="20" customWidth="1"/>
    <col min="13281" max="13530" width="9.109375" style="20"/>
    <col min="13531" max="13531" width="6.109375" style="20" customWidth="1"/>
    <col min="13532" max="13532" width="79.5546875" style="20" customWidth="1"/>
    <col min="13533" max="13536" width="14.6640625" style="20" customWidth="1"/>
    <col min="13537" max="13786" width="9.109375" style="20"/>
    <col min="13787" max="13787" width="6.109375" style="20" customWidth="1"/>
    <col min="13788" max="13788" width="79.5546875" style="20" customWidth="1"/>
    <col min="13789" max="13792" width="14.6640625" style="20" customWidth="1"/>
    <col min="13793" max="14042" width="9.109375" style="20"/>
    <col min="14043" max="14043" width="6.109375" style="20" customWidth="1"/>
    <col min="14044" max="14044" width="79.5546875" style="20" customWidth="1"/>
    <col min="14045" max="14048" width="14.6640625" style="20" customWidth="1"/>
    <col min="14049" max="14298" width="9.109375" style="20"/>
    <col min="14299" max="14299" width="6.109375" style="20" customWidth="1"/>
    <col min="14300" max="14300" width="79.5546875" style="20" customWidth="1"/>
    <col min="14301" max="14304" width="14.6640625" style="20" customWidth="1"/>
    <col min="14305" max="14554" width="9.109375" style="20"/>
    <col min="14555" max="14555" width="6.109375" style="20" customWidth="1"/>
    <col min="14556" max="14556" width="79.5546875" style="20" customWidth="1"/>
    <col min="14557" max="14560" width="14.6640625" style="20" customWidth="1"/>
    <col min="14561" max="14810" width="9.109375" style="20"/>
    <col min="14811" max="14811" width="6.109375" style="20" customWidth="1"/>
    <col min="14812" max="14812" width="79.5546875" style="20" customWidth="1"/>
    <col min="14813" max="14816" width="14.6640625" style="20" customWidth="1"/>
    <col min="14817" max="15066" width="9.109375" style="20"/>
    <col min="15067" max="15067" width="6.109375" style="20" customWidth="1"/>
    <col min="15068" max="15068" width="79.5546875" style="20" customWidth="1"/>
    <col min="15069" max="15072" width="14.6640625" style="20" customWidth="1"/>
    <col min="15073" max="15322" width="9.109375" style="20"/>
    <col min="15323" max="15323" width="6.109375" style="20" customWidth="1"/>
    <col min="15324" max="15324" width="79.5546875" style="20" customWidth="1"/>
    <col min="15325" max="15328" width="14.6640625" style="20" customWidth="1"/>
    <col min="15329" max="15578" width="9.109375" style="20"/>
    <col min="15579" max="15579" width="6.109375" style="20" customWidth="1"/>
    <col min="15580" max="15580" width="79.5546875" style="20" customWidth="1"/>
    <col min="15581" max="15584" width="14.6640625" style="20" customWidth="1"/>
    <col min="15585" max="15834" width="9.109375" style="20"/>
    <col min="15835" max="15835" width="6.109375" style="20" customWidth="1"/>
    <col min="15836" max="15836" width="79.5546875" style="20" customWidth="1"/>
    <col min="15837" max="15840" width="14.6640625" style="20" customWidth="1"/>
    <col min="15841" max="16090" width="9.109375" style="20"/>
    <col min="16091" max="16091" width="6.109375" style="20" customWidth="1"/>
    <col min="16092" max="16092" width="79.5546875" style="20" customWidth="1"/>
    <col min="16093" max="16096" width="14.6640625" style="20" customWidth="1"/>
    <col min="16097" max="16384" width="9.109375" style="20"/>
  </cols>
  <sheetData>
    <row r="1" spans="1:9" x14ac:dyDescent="0.3">
      <c r="A1" s="461" t="s">
        <v>513</v>
      </c>
      <c r="B1" s="461"/>
      <c r="C1" s="461"/>
      <c r="D1" s="461"/>
      <c r="E1" s="461"/>
    </row>
    <row r="2" spans="1:9" s="350" customFormat="1" ht="13.8" x14ac:dyDescent="0.3"/>
    <row r="3" spans="1:9" ht="15" customHeight="1" x14ac:dyDescent="0.3">
      <c r="A3" s="542" t="s">
        <v>504</v>
      </c>
      <c r="B3" s="542"/>
      <c r="C3" s="543"/>
      <c r="D3" s="543"/>
      <c r="E3" s="543"/>
      <c r="F3" s="543"/>
      <c r="G3" s="543"/>
      <c r="H3" s="543"/>
      <c r="I3" s="543"/>
    </row>
    <row r="4" spans="1:9" s="71" customFormat="1" ht="13.8" x14ac:dyDescent="0.3">
      <c r="A4" s="536" t="s">
        <v>199</v>
      </c>
      <c r="B4" s="544" t="s">
        <v>198</v>
      </c>
      <c r="C4" s="534" t="s">
        <v>172</v>
      </c>
      <c r="D4" s="534"/>
      <c r="E4" s="534"/>
      <c r="F4" s="534"/>
      <c r="G4" s="405"/>
      <c r="H4" s="405"/>
      <c r="I4" s="405"/>
    </row>
    <row r="5" spans="1:9" s="71" customFormat="1" ht="24" x14ac:dyDescent="0.3">
      <c r="A5" s="537"/>
      <c r="B5" s="545"/>
      <c r="C5" s="404" t="s">
        <v>598</v>
      </c>
      <c r="D5" s="404" t="s">
        <v>340</v>
      </c>
      <c r="E5" s="404" t="s">
        <v>341</v>
      </c>
      <c r="F5" s="404" t="s">
        <v>342</v>
      </c>
    </row>
    <row r="6" spans="1:9" ht="14.4" customHeight="1" x14ac:dyDescent="0.3">
      <c r="A6" s="546" t="s">
        <v>230</v>
      </c>
      <c r="B6" s="546"/>
      <c r="C6" s="546"/>
      <c r="D6" s="546"/>
      <c r="E6" s="546"/>
      <c r="F6" s="546"/>
      <c r="G6" s="20"/>
      <c r="H6" s="20"/>
      <c r="I6" s="20"/>
    </row>
    <row r="7" spans="1:9" x14ac:dyDescent="0.3">
      <c r="A7" s="540" t="s">
        <v>241</v>
      </c>
      <c r="B7" s="541"/>
      <c r="C7" s="201"/>
      <c r="D7" s="201"/>
      <c r="E7" s="201"/>
      <c r="F7" s="201"/>
      <c r="G7" s="20"/>
      <c r="H7" s="20"/>
      <c r="I7" s="20"/>
    </row>
    <row r="8" spans="1:9" ht="24" x14ac:dyDescent="0.3">
      <c r="A8" s="24">
        <v>1</v>
      </c>
      <c r="B8" s="8" t="s">
        <v>200</v>
      </c>
      <c r="C8" s="199">
        <v>0</v>
      </c>
      <c r="D8" s="199">
        <v>0</v>
      </c>
      <c r="E8" s="199">
        <v>0</v>
      </c>
      <c r="F8" s="199">
        <v>0</v>
      </c>
      <c r="G8" s="20"/>
      <c r="H8" s="20"/>
      <c r="I8" s="20"/>
    </row>
    <row r="9" spans="1:9" x14ac:dyDescent="0.3">
      <c r="A9" s="5">
        <v>2</v>
      </c>
      <c r="B9" s="8" t="s">
        <v>202</v>
      </c>
      <c r="C9" s="249">
        <f>C10+C11</f>
        <v>0</v>
      </c>
      <c r="D9" s="249">
        <f t="shared" ref="D9:F9" si="0">D10+D11</f>
        <v>0</v>
      </c>
      <c r="E9" s="249">
        <f t="shared" si="0"/>
        <v>0</v>
      </c>
      <c r="F9" s="249">
        <f t="shared" si="0"/>
        <v>0</v>
      </c>
      <c r="G9" s="20"/>
      <c r="H9" s="20"/>
      <c r="I9" s="20"/>
    </row>
    <row r="10" spans="1:9" x14ac:dyDescent="0.3">
      <c r="A10" s="5" t="s">
        <v>232</v>
      </c>
      <c r="B10" s="8" t="s">
        <v>203</v>
      </c>
      <c r="C10" s="199">
        <v>0</v>
      </c>
      <c r="D10" s="199">
        <v>0</v>
      </c>
      <c r="E10" s="199">
        <v>0</v>
      </c>
      <c r="F10" s="199">
        <v>0</v>
      </c>
      <c r="G10" s="20"/>
      <c r="H10" s="20"/>
      <c r="I10" s="20"/>
    </row>
    <row r="11" spans="1:9" ht="24" x14ac:dyDescent="0.3">
      <c r="A11" s="5" t="s">
        <v>233</v>
      </c>
      <c r="B11" s="8" t="s">
        <v>204</v>
      </c>
      <c r="C11" s="199">
        <v>0</v>
      </c>
      <c r="D11" s="199">
        <v>0</v>
      </c>
      <c r="E11" s="199">
        <v>0</v>
      </c>
      <c r="F11" s="199">
        <v>0</v>
      </c>
      <c r="G11" s="20"/>
      <c r="H11" s="20"/>
      <c r="I11" s="20"/>
    </row>
    <row r="12" spans="1:9" x14ac:dyDescent="0.3">
      <c r="A12" s="5">
        <v>3</v>
      </c>
      <c r="B12" s="8" t="s">
        <v>205</v>
      </c>
      <c r="C12" s="199">
        <v>0</v>
      </c>
      <c r="D12" s="199">
        <v>0</v>
      </c>
      <c r="E12" s="199">
        <v>0</v>
      </c>
      <c r="F12" s="199">
        <v>0</v>
      </c>
      <c r="G12" s="20"/>
      <c r="H12" s="20"/>
      <c r="I12" s="20"/>
    </row>
    <row r="13" spans="1:9" x14ac:dyDescent="0.3">
      <c r="A13" s="5">
        <v>4</v>
      </c>
      <c r="B13" s="8" t="s">
        <v>450</v>
      </c>
      <c r="C13" s="199">
        <f>'2A-Buget_cerere'!C29</f>
        <v>684614.59999999986</v>
      </c>
      <c r="D13" s="199">
        <v>0</v>
      </c>
      <c r="E13" s="199">
        <v>0</v>
      </c>
      <c r="F13" s="199">
        <v>0</v>
      </c>
      <c r="G13" s="20"/>
      <c r="H13" s="20"/>
      <c r="I13" s="20"/>
    </row>
    <row r="14" spans="1:9" x14ac:dyDescent="0.3">
      <c r="A14" s="532" t="s">
        <v>229</v>
      </c>
      <c r="B14" s="532"/>
      <c r="C14" s="250">
        <f>C8+C9+C12+C13</f>
        <v>684614.59999999986</v>
      </c>
      <c r="D14" s="250">
        <f t="shared" ref="D14:F14" si="1">D8+D9+D12+D13</f>
        <v>0</v>
      </c>
      <c r="E14" s="250">
        <f t="shared" si="1"/>
        <v>0</v>
      </c>
      <c r="F14" s="250">
        <f t="shared" si="1"/>
        <v>0</v>
      </c>
      <c r="G14" s="20"/>
      <c r="H14" s="20"/>
      <c r="I14" s="20"/>
    </row>
    <row r="15" spans="1:9" x14ac:dyDescent="0.3">
      <c r="A15" s="540" t="s">
        <v>242</v>
      </c>
      <c r="B15" s="541"/>
      <c r="C15" s="250"/>
      <c r="D15" s="250"/>
      <c r="E15" s="250"/>
      <c r="F15" s="250"/>
      <c r="G15" s="20"/>
      <c r="H15" s="20"/>
      <c r="I15" s="20"/>
    </row>
    <row r="16" spans="1:9" x14ac:dyDescent="0.3">
      <c r="A16" s="5">
        <v>5</v>
      </c>
      <c r="B16" s="8" t="s">
        <v>207</v>
      </c>
      <c r="C16" s="249">
        <f>C17+C18</f>
        <v>0</v>
      </c>
      <c r="D16" s="249">
        <f t="shared" ref="D16:F16" si="2">D17+D18</f>
        <v>0</v>
      </c>
      <c r="E16" s="249">
        <f t="shared" si="2"/>
        <v>0</v>
      </c>
      <c r="F16" s="249">
        <f t="shared" si="2"/>
        <v>0</v>
      </c>
      <c r="G16" s="20"/>
      <c r="H16" s="20"/>
      <c r="I16" s="20"/>
    </row>
    <row r="17" spans="1:10" x14ac:dyDescent="0.3">
      <c r="A17" s="5">
        <v>5.0999999999999996</v>
      </c>
      <c r="B17" s="266" t="s">
        <v>464</v>
      </c>
      <c r="C17" s="199">
        <v>0</v>
      </c>
      <c r="D17" s="199">
        <v>0</v>
      </c>
      <c r="E17" s="199">
        <v>0</v>
      </c>
      <c r="F17" s="199">
        <v>0</v>
      </c>
      <c r="G17" s="20"/>
      <c r="H17" s="258"/>
      <c r="I17" s="258"/>
      <c r="J17" s="258"/>
    </row>
    <row r="18" spans="1:10" ht="24" x14ac:dyDescent="0.3">
      <c r="A18" s="5">
        <v>5.2</v>
      </c>
      <c r="B18" s="266" t="s">
        <v>208</v>
      </c>
      <c r="C18" s="199">
        <v>0</v>
      </c>
      <c r="D18" s="199">
        <v>0</v>
      </c>
      <c r="E18" s="199">
        <v>0</v>
      </c>
      <c r="F18" s="199">
        <v>0</v>
      </c>
      <c r="G18" s="20"/>
      <c r="H18" s="20"/>
      <c r="I18" s="20"/>
    </row>
    <row r="19" spans="1:10" x14ac:dyDescent="0.3">
      <c r="A19" s="5">
        <v>6</v>
      </c>
      <c r="B19" s="266" t="s">
        <v>209</v>
      </c>
      <c r="C19" s="199">
        <v>0</v>
      </c>
      <c r="D19" s="199">
        <v>0</v>
      </c>
      <c r="E19" s="199">
        <v>0</v>
      </c>
      <c r="F19" s="199">
        <v>0</v>
      </c>
      <c r="G19" s="20"/>
      <c r="H19" s="20"/>
      <c r="I19" s="20"/>
    </row>
    <row r="20" spans="1:10" x14ac:dyDescent="0.3">
      <c r="A20" s="5">
        <v>7</v>
      </c>
      <c r="B20" s="8" t="s">
        <v>356</v>
      </c>
      <c r="C20" s="199">
        <v>0</v>
      </c>
      <c r="D20" s="199">
        <v>0</v>
      </c>
      <c r="E20" s="199">
        <v>0</v>
      </c>
      <c r="F20" s="199">
        <v>0</v>
      </c>
      <c r="G20" s="20"/>
      <c r="H20" s="20"/>
      <c r="I20" s="20"/>
    </row>
    <row r="21" spans="1:10" s="25" customFormat="1" x14ac:dyDescent="0.3">
      <c r="A21" s="532" t="s">
        <v>236</v>
      </c>
      <c r="B21" s="532"/>
      <c r="C21" s="250">
        <f>C16+C20+C19</f>
        <v>0</v>
      </c>
      <c r="D21" s="250">
        <f t="shared" ref="D21:F21" si="3">D16+D20+D19</f>
        <v>0</v>
      </c>
      <c r="E21" s="250">
        <f t="shared" si="3"/>
        <v>0</v>
      </c>
      <c r="F21" s="250">
        <f t="shared" si="3"/>
        <v>0</v>
      </c>
    </row>
    <row r="22" spans="1:10" s="25" customFormat="1" x14ac:dyDescent="0.3">
      <c r="A22" s="532" t="s">
        <v>451</v>
      </c>
      <c r="B22" s="532"/>
      <c r="C22" s="250">
        <f>C14-C21</f>
        <v>684614.59999999986</v>
      </c>
      <c r="D22" s="250">
        <f t="shared" ref="D22:F22" si="4">D14-D21</f>
        <v>0</v>
      </c>
      <c r="E22" s="250">
        <f t="shared" si="4"/>
        <v>0</v>
      </c>
      <c r="F22" s="250">
        <f t="shared" si="4"/>
        <v>0</v>
      </c>
    </row>
    <row r="23" spans="1:10" ht="14.4" customHeight="1" x14ac:dyDescent="0.3">
      <c r="A23" s="533" t="s">
        <v>231</v>
      </c>
      <c r="B23" s="533"/>
      <c r="C23" s="533"/>
      <c r="D23" s="533"/>
      <c r="E23" s="533"/>
      <c r="F23" s="533"/>
      <c r="G23" s="20"/>
      <c r="H23" s="20"/>
      <c r="I23" s="20"/>
    </row>
    <row r="24" spans="1:10" x14ac:dyDescent="0.3">
      <c r="A24" s="540" t="s">
        <v>243</v>
      </c>
      <c r="B24" s="541"/>
      <c r="C24" s="201"/>
      <c r="D24" s="201"/>
      <c r="E24" s="201"/>
      <c r="F24" s="201"/>
      <c r="G24" s="20"/>
      <c r="H24" s="20"/>
      <c r="I24" s="20"/>
    </row>
    <row r="25" spans="1:10" x14ac:dyDescent="0.3">
      <c r="A25" s="5">
        <v>8</v>
      </c>
      <c r="B25" s="8" t="s">
        <v>201</v>
      </c>
      <c r="C25" s="199">
        <v>0</v>
      </c>
      <c r="D25" s="199">
        <v>0</v>
      </c>
      <c r="E25" s="199">
        <v>0</v>
      </c>
      <c r="F25" s="199">
        <v>0</v>
      </c>
      <c r="G25" s="20"/>
      <c r="H25" s="20"/>
      <c r="I25" s="20"/>
    </row>
    <row r="26" spans="1:10" x14ac:dyDescent="0.3">
      <c r="A26" s="532" t="s">
        <v>234</v>
      </c>
      <c r="B26" s="532"/>
      <c r="C26" s="201">
        <f>C25</f>
        <v>0</v>
      </c>
      <c r="D26" s="201">
        <f t="shared" ref="D26:F26" si="5">D25</f>
        <v>0</v>
      </c>
      <c r="E26" s="201">
        <f t="shared" si="5"/>
        <v>0</v>
      </c>
      <c r="F26" s="201">
        <f t="shared" si="5"/>
        <v>0</v>
      </c>
      <c r="G26" s="20"/>
      <c r="H26" s="20"/>
      <c r="I26" s="20"/>
    </row>
    <row r="27" spans="1:10" ht="27.75" customHeight="1" x14ac:dyDescent="0.3">
      <c r="A27" s="492" t="s">
        <v>563</v>
      </c>
      <c r="B27" s="494"/>
      <c r="C27" s="201"/>
      <c r="D27" s="201"/>
      <c r="E27" s="201"/>
      <c r="F27" s="201"/>
      <c r="G27" s="20"/>
      <c r="H27" s="20"/>
      <c r="I27" s="20"/>
    </row>
    <row r="28" spans="1:10" x14ac:dyDescent="0.3">
      <c r="A28" s="5">
        <v>9</v>
      </c>
      <c r="B28" s="8" t="s">
        <v>261</v>
      </c>
      <c r="C28" s="199">
        <f>'2A-Buget_cerere'!C23</f>
        <v>1404640.2999999998</v>
      </c>
      <c r="D28" s="199">
        <v>0</v>
      </c>
      <c r="E28" s="199">
        <v>0</v>
      </c>
      <c r="F28" s="199">
        <v>0</v>
      </c>
      <c r="G28" s="20"/>
      <c r="H28" s="20"/>
      <c r="I28" s="20"/>
    </row>
    <row r="29" spans="1:10" x14ac:dyDescent="0.3">
      <c r="A29" s="5">
        <v>10</v>
      </c>
      <c r="B29" s="8" t="s">
        <v>262</v>
      </c>
      <c r="C29" s="199">
        <v>0</v>
      </c>
      <c r="D29" s="199">
        <v>0</v>
      </c>
      <c r="E29" s="199">
        <v>0</v>
      </c>
      <c r="F29" s="199">
        <v>0</v>
      </c>
      <c r="G29" s="20"/>
      <c r="H29" s="20"/>
      <c r="I29" s="20"/>
    </row>
    <row r="30" spans="1:10" x14ac:dyDescent="0.3">
      <c r="A30" s="5">
        <v>11</v>
      </c>
      <c r="B30" s="8" t="s">
        <v>263</v>
      </c>
      <c r="C30" s="199">
        <v>0</v>
      </c>
      <c r="D30" s="199">
        <v>0</v>
      </c>
      <c r="E30" s="199">
        <v>0</v>
      </c>
      <c r="F30" s="199">
        <v>0</v>
      </c>
      <c r="G30" s="20"/>
      <c r="H30" s="20"/>
      <c r="I30" s="20"/>
    </row>
    <row r="31" spans="1:10" x14ac:dyDescent="0.3">
      <c r="A31" s="532" t="s">
        <v>235</v>
      </c>
      <c r="B31" s="532"/>
      <c r="C31" s="250">
        <f>SUM(C28:C30)</f>
        <v>1404640.2999999998</v>
      </c>
      <c r="D31" s="250">
        <f t="shared" ref="D31:F31" si="6">SUM(D28:D30)</f>
        <v>0</v>
      </c>
      <c r="E31" s="250">
        <f t="shared" si="6"/>
        <v>0</v>
      </c>
      <c r="F31" s="250">
        <f t="shared" si="6"/>
        <v>0</v>
      </c>
      <c r="G31" s="20"/>
      <c r="H31" s="20"/>
      <c r="I31" s="20"/>
    </row>
    <row r="32" spans="1:10" x14ac:dyDescent="0.3">
      <c r="A32" s="532" t="s">
        <v>238</v>
      </c>
      <c r="B32" s="532"/>
      <c r="C32" s="250">
        <f>C26-C31</f>
        <v>-1404640.2999999998</v>
      </c>
      <c r="D32" s="250">
        <f t="shared" ref="D32:F32" si="7">D26-D31</f>
        <v>0</v>
      </c>
      <c r="E32" s="250">
        <f t="shared" si="7"/>
        <v>0</v>
      </c>
      <c r="F32" s="250">
        <f t="shared" si="7"/>
        <v>0</v>
      </c>
      <c r="G32" s="20"/>
      <c r="H32" s="20"/>
      <c r="I32" s="20"/>
    </row>
    <row r="33" spans="1:9" x14ac:dyDescent="0.3">
      <c r="A33" s="532" t="s">
        <v>211</v>
      </c>
      <c r="B33" s="532"/>
      <c r="C33" s="250">
        <f>C32+C22</f>
        <v>-720025.7</v>
      </c>
      <c r="D33" s="250">
        <f t="shared" ref="D33:F33" si="8">D32+D22</f>
        <v>0</v>
      </c>
      <c r="E33" s="250">
        <f t="shared" si="8"/>
        <v>0</v>
      </c>
      <c r="F33" s="250">
        <f t="shared" si="8"/>
        <v>0</v>
      </c>
      <c r="G33" s="20"/>
      <c r="H33" s="20"/>
      <c r="I33" s="20"/>
    </row>
    <row r="34" spans="1:9" ht="14.4" customHeight="1" x14ac:dyDescent="0.3">
      <c r="A34" s="533" t="s">
        <v>239</v>
      </c>
      <c r="B34" s="533"/>
      <c r="C34" s="533"/>
      <c r="D34" s="533"/>
      <c r="E34" s="533"/>
      <c r="F34" s="533"/>
      <c r="G34" s="20"/>
      <c r="H34" s="20"/>
      <c r="I34" s="20"/>
    </row>
    <row r="35" spans="1:9" x14ac:dyDescent="0.3">
      <c r="A35" s="5"/>
      <c r="B35" s="265" t="s">
        <v>244</v>
      </c>
      <c r="C35" s="250"/>
      <c r="D35" s="250"/>
      <c r="E35" s="250"/>
      <c r="F35" s="250"/>
      <c r="G35" s="20"/>
      <c r="H35" s="20"/>
      <c r="I35" s="20"/>
    </row>
    <row r="36" spans="1:9" x14ac:dyDescent="0.3">
      <c r="A36" s="29">
        <v>11</v>
      </c>
      <c r="B36" s="30" t="s">
        <v>212</v>
      </c>
      <c r="C36" s="204">
        <f>C37+C40+C43+C46+C49+C52</f>
        <v>3540568.4202000005</v>
      </c>
      <c r="D36" s="204">
        <f t="shared" ref="D36:F36" si="9">D37+D40+D43+D46+D49+D52</f>
        <v>4229324.30327</v>
      </c>
      <c r="E36" s="204">
        <f t="shared" si="9"/>
        <v>4311834.7491480606</v>
      </c>
      <c r="F36" s="204">
        <f t="shared" si="9"/>
        <v>4402298.6435418073</v>
      </c>
      <c r="G36" s="20"/>
      <c r="H36" s="20"/>
      <c r="I36" s="20"/>
    </row>
    <row r="37" spans="1:9" x14ac:dyDescent="0.3">
      <c r="A37" s="29">
        <v>11.1</v>
      </c>
      <c r="B37" s="30" t="s">
        <v>163</v>
      </c>
      <c r="C37" s="351">
        <f>C38+C39</f>
        <v>0</v>
      </c>
      <c r="D37" s="351">
        <f t="shared" ref="D37:F37" si="10">D38+D39</f>
        <v>0</v>
      </c>
      <c r="E37" s="351">
        <f t="shared" si="10"/>
        <v>0</v>
      </c>
      <c r="F37" s="351">
        <f t="shared" si="10"/>
        <v>0</v>
      </c>
      <c r="G37" s="20"/>
      <c r="H37" s="20"/>
      <c r="I37" s="20"/>
    </row>
    <row r="38" spans="1:9" x14ac:dyDescent="0.3">
      <c r="A38" s="29"/>
      <c r="B38" s="352" t="s">
        <v>353</v>
      </c>
      <c r="C38" s="199">
        <v>0</v>
      </c>
      <c r="D38" s="199">
        <v>0</v>
      </c>
      <c r="E38" s="199">
        <v>0</v>
      </c>
      <c r="F38" s="199">
        <v>0</v>
      </c>
      <c r="G38" s="20"/>
      <c r="H38" s="20"/>
      <c r="I38" s="20"/>
    </row>
    <row r="39" spans="1:9" x14ac:dyDescent="0.3">
      <c r="A39" s="29"/>
      <c r="B39" s="352" t="s">
        <v>357</v>
      </c>
      <c r="C39" s="199">
        <v>0</v>
      </c>
      <c r="D39" s="199">
        <v>0</v>
      </c>
      <c r="E39" s="199">
        <v>0</v>
      </c>
      <c r="F39" s="199">
        <v>0</v>
      </c>
      <c r="G39" s="20"/>
      <c r="H39" s="20"/>
      <c r="I39" s="20"/>
    </row>
    <row r="40" spans="1:9" x14ac:dyDescent="0.3">
      <c r="A40" s="29" t="s">
        <v>213</v>
      </c>
      <c r="B40" s="30" t="s">
        <v>164</v>
      </c>
      <c r="C40" s="351">
        <f>C41+C42</f>
        <v>0</v>
      </c>
      <c r="D40" s="351">
        <f>D41+D42</f>
        <v>620000</v>
      </c>
      <c r="E40" s="351">
        <f t="shared" ref="E40:F40" si="11">E41+E42</f>
        <v>632400</v>
      </c>
      <c r="F40" s="351">
        <f t="shared" si="11"/>
        <v>651372.00000000012</v>
      </c>
      <c r="G40" s="20"/>
      <c r="H40" s="20"/>
      <c r="I40" s="20"/>
    </row>
    <row r="41" spans="1:9" x14ac:dyDescent="0.3">
      <c r="A41" s="29"/>
      <c r="B41" s="352" t="s">
        <v>354</v>
      </c>
      <c r="C41" s="199">
        <f>'3A-Proiectii_fin_investitie'!D68/1.19</f>
        <v>0</v>
      </c>
      <c r="D41" s="199">
        <f>'3A-Proiectii_fin_investitie'!E68/1.19</f>
        <v>521008.40336134454</v>
      </c>
      <c r="E41" s="199">
        <f>'3A-Proiectii_fin_investitie'!F68/1.19</f>
        <v>531428.57142857148</v>
      </c>
      <c r="F41" s="199">
        <f>'3A-Proiectii_fin_investitie'!G68/1.19</f>
        <v>547371.42857142864</v>
      </c>
      <c r="G41" s="20"/>
      <c r="H41" s="20"/>
      <c r="I41" s="20"/>
    </row>
    <row r="42" spans="1:9" x14ac:dyDescent="0.3">
      <c r="A42" s="29"/>
      <c r="B42" s="352" t="s">
        <v>358</v>
      </c>
      <c r="C42" s="199">
        <f>C41*0.19</f>
        <v>0</v>
      </c>
      <c r="D42" s="199">
        <f t="shared" ref="D42:F42" si="12">D41*0.19</f>
        <v>98991.596638655465</v>
      </c>
      <c r="E42" s="199">
        <f t="shared" si="12"/>
        <v>100971.42857142858</v>
      </c>
      <c r="F42" s="199">
        <f t="shared" si="12"/>
        <v>104000.57142857145</v>
      </c>
      <c r="G42" s="20"/>
      <c r="H42" s="20"/>
      <c r="I42" s="20"/>
    </row>
    <row r="43" spans="1:9" x14ac:dyDescent="0.3">
      <c r="A43" s="29" t="s">
        <v>214</v>
      </c>
      <c r="B43" s="30" t="s">
        <v>165</v>
      </c>
      <c r="C43" s="351">
        <f>C44+C45</f>
        <v>3335019.8868000004</v>
      </c>
      <c r="D43" s="351">
        <f t="shared" ref="D43:F43" si="13">D44+D45</f>
        <v>3401720.2845360003</v>
      </c>
      <c r="E43" s="351">
        <f t="shared" si="13"/>
        <v>3469754.6902267202</v>
      </c>
      <c r="F43" s="351">
        <f t="shared" si="13"/>
        <v>3539149.7840312542</v>
      </c>
      <c r="G43" s="20"/>
      <c r="H43" s="20"/>
      <c r="I43" s="20"/>
    </row>
    <row r="44" spans="1:9" x14ac:dyDescent="0.3">
      <c r="A44" s="29"/>
      <c r="B44" s="352" t="s">
        <v>355</v>
      </c>
      <c r="C44" s="199">
        <f>'3A-Proiectii_fin_investitie'!D71/1.19</f>
        <v>2802537.72</v>
      </c>
      <c r="D44" s="199">
        <f>'3A-Proiectii_fin_investitie'!E71/1.19</f>
        <v>2858588.4744000002</v>
      </c>
      <c r="E44" s="199">
        <f>'3A-Proiectii_fin_investitie'!F71/1.19</f>
        <v>2915760.243888</v>
      </c>
      <c r="F44" s="199">
        <f>'3A-Proiectii_fin_investitie'!G71/1.19</f>
        <v>2974075.4487657598</v>
      </c>
      <c r="G44" s="20"/>
      <c r="H44" s="20"/>
      <c r="I44" s="20"/>
    </row>
    <row r="45" spans="1:9" x14ac:dyDescent="0.3">
      <c r="A45" s="29"/>
      <c r="B45" s="352" t="s">
        <v>359</v>
      </c>
      <c r="C45" s="199">
        <f>C44*0.19</f>
        <v>532482.16680000001</v>
      </c>
      <c r="D45" s="199">
        <f t="shared" ref="D45:F45" si="14">D44*0.19</f>
        <v>543131.81013600004</v>
      </c>
      <c r="E45" s="199">
        <f t="shared" si="14"/>
        <v>553994.44633872004</v>
      </c>
      <c r="F45" s="199">
        <f t="shared" si="14"/>
        <v>565074.33526549442</v>
      </c>
      <c r="G45" s="20"/>
      <c r="H45" s="20"/>
      <c r="I45" s="20"/>
    </row>
    <row r="46" spans="1:9" ht="24" x14ac:dyDescent="0.3">
      <c r="A46" s="29" t="s">
        <v>215</v>
      </c>
      <c r="B46" s="30" t="s">
        <v>506</v>
      </c>
      <c r="C46" s="351">
        <f>C47+C48</f>
        <v>0</v>
      </c>
      <c r="D46" s="351">
        <f t="shared" ref="D46:F46" si="15">D47+D48</f>
        <v>0</v>
      </c>
      <c r="E46" s="351">
        <f t="shared" si="15"/>
        <v>0</v>
      </c>
      <c r="F46" s="351">
        <f t="shared" si="15"/>
        <v>0</v>
      </c>
      <c r="G46" s="20"/>
      <c r="H46" s="20"/>
      <c r="I46" s="20"/>
    </row>
    <row r="47" spans="1:9" ht="24" x14ac:dyDescent="0.3">
      <c r="A47" s="29"/>
      <c r="B47" s="352" t="s">
        <v>449</v>
      </c>
      <c r="C47" s="199">
        <v>0</v>
      </c>
      <c r="D47" s="199">
        <v>0</v>
      </c>
      <c r="E47" s="199">
        <v>0</v>
      </c>
      <c r="F47" s="199">
        <v>0</v>
      </c>
      <c r="G47" s="20"/>
      <c r="H47" s="20"/>
      <c r="I47" s="20"/>
    </row>
    <row r="48" spans="1:9" ht="24" x14ac:dyDescent="0.3">
      <c r="A48" s="29"/>
      <c r="B48" s="352" t="s">
        <v>360</v>
      </c>
      <c r="C48" s="199">
        <v>0</v>
      </c>
      <c r="D48" s="199">
        <v>0</v>
      </c>
      <c r="E48" s="199">
        <v>0</v>
      </c>
      <c r="F48" s="199">
        <v>0</v>
      </c>
      <c r="G48" s="20"/>
      <c r="H48" s="20"/>
      <c r="I48" s="20"/>
    </row>
    <row r="49" spans="1:9" x14ac:dyDescent="0.3">
      <c r="A49" s="29" t="s">
        <v>216</v>
      </c>
      <c r="B49" s="30" t="s">
        <v>166</v>
      </c>
      <c r="C49" s="351">
        <f>C50+C51</f>
        <v>0</v>
      </c>
      <c r="D49" s="351">
        <f t="shared" ref="D49:F49" si="16">D50+D51</f>
        <v>0</v>
      </c>
      <c r="E49" s="351">
        <f t="shared" si="16"/>
        <v>0</v>
      </c>
      <c r="F49" s="351">
        <f t="shared" si="16"/>
        <v>0</v>
      </c>
      <c r="G49" s="20"/>
      <c r="H49" s="20"/>
      <c r="I49" s="20"/>
    </row>
    <row r="50" spans="1:9" x14ac:dyDescent="0.3">
      <c r="A50" s="29"/>
      <c r="B50" s="352" t="s">
        <v>363</v>
      </c>
      <c r="C50" s="199">
        <v>0</v>
      </c>
      <c r="D50" s="199">
        <v>0</v>
      </c>
      <c r="E50" s="199">
        <v>0</v>
      </c>
      <c r="F50" s="199">
        <v>0</v>
      </c>
      <c r="G50" s="20"/>
      <c r="H50" s="20"/>
      <c r="I50" s="20"/>
    </row>
    <row r="51" spans="1:9" x14ac:dyDescent="0.3">
      <c r="A51" s="29"/>
      <c r="B51" s="352" t="s">
        <v>364</v>
      </c>
      <c r="C51" s="199">
        <v>0</v>
      </c>
      <c r="D51" s="199">
        <v>0</v>
      </c>
      <c r="E51" s="199">
        <v>0</v>
      </c>
      <c r="F51" s="199">
        <v>0</v>
      </c>
      <c r="G51" s="20"/>
      <c r="H51" s="20"/>
      <c r="I51" s="20"/>
    </row>
    <row r="52" spans="1:9" s="25" customFormat="1" x14ac:dyDescent="0.3">
      <c r="A52" s="26" t="s">
        <v>217</v>
      </c>
      <c r="B52" s="30" t="s">
        <v>76</v>
      </c>
      <c r="C52" s="251">
        <f>C53+C54</f>
        <v>205548.53340000001</v>
      </c>
      <c r="D52" s="251">
        <f t="shared" ref="D52:F52" si="17">D53+D54</f>
        <v>207604.01873400004</v>
      </c>
      <c r="E52" s="251">
        <f t="shared" si="17"/>
        <v>209680.05892134004</v>
      </c>
      <c r="F52" s="251">
        <f t="shared" si="17"/>
        <v>211776.85951055345</v>
      </c>
    </row>
    <row r="53" spans="1:9" x14ac:dyDescent="0.3">
      <c r="A53" s="5"/>
      <c r="B53" s="8" t="s">
        <v>362</v>
      </c>
      <c r="C53" s="199">
        <f>'1B-ContPP'!C12*1.02</f>
        <v>172729.86000000002</v>
      </c>
      <c r="D53" s="199">
        <f>C53*1.01</f>
        <v>174457.15860000002</v>
      </c>
      <c r="E53" s="199">
        <f t="shared" ref="E53:F53" si="18">D53*1.01</f>
        <v>176201.73018600003</v>
      </c>
      <c r="F53" s="199">
        <f t="shared" si="18"/>
        <v>177963.74748786003</v>
      </c>
      <c r="G53" s="20"/>
      <c r="H53" s="20"/>
      <c r="I53" s="20"/>
    </row>
    <row r="54" spans="1:9" x14ac:dyDescent="0.3">
      <c r="A54" s="5"/>
      <c r="B54" s="8" t="s">
        <v>361</v>
      </c>
      <c r="C54" s="199">
        <f>C53*0.19</f>
        <v>32818.6734</v>
      </c>
      <c r="D54" s="199">
        <f t="shared" ref="D54:F54" si="19">D53*0.19</f>
        <v>33146.860134000002</v>
      </c>
      <c r="E54" s="199">
        <f t="shared" si="19"/>
        <v>33478.328735340008</v>
      </c>
      <c r="F54" s="199">
        <f t="shared" si="19"/>
        <v>33813.112022693407</v>
      </c>
      <c r="G54" s="20"/>
      <c r="H54" s="20"/>
      <c r="I54" s="20"/>
    </row>
    <row r="55" spans="1:9" x14ac:dyDescent="0.3">
      <c r="A55" s="5" t="s">
        <v>218</v>
      </c>
      <c r="B55" s="17" t="s">
        <v>55</v>
      </c>
      <c r="C55" s="204">
        <f>C56+C57+C58+C59</f>
        <v>8441.52</v>
      </c>
      <c r="D55" s="204">
        <f t="shared" ref="D55:F55" si="20">D56+D57+D58+D59</f>
        <v>9285.6720000000005</v>
      </c>
      <c r="E55" s="204">
        <f t="shared" si="20"/>
        <v>10214.239200000002</v>
      </c>
      <c r="F55" s="204">
        <f t="shared" si="20"/>
        <v>11235.663120000003</v>
      </c>
      <c r="G55" s="20"/>
      <c r="H55" s="20"/>
      <c r="I55" s="20"/>
    </row>
    <row r="56" spans="1:9" x14ac:dyDescent="0.3">
      <c r="A56" s="5" t="s">
        <v>219</v>
      </c>
      <c r="B56" s="6" t="s">
        <v>256</v>
      </c>
      <c r="C56" s="199">
        <v>0</v>
      </c>
      <c r="D56" s="199">
        <v>0</v>
      </c>
      <c r="E56" s="199">
        <v>0</v>
      </c>
      <c r="F56" s="199">
        <v>0</v>
      </c>
      <c r="G56" s="20"/>
      <c r="H56" s="20"/>
      <c r="I56" s="20"/>
    </row>
    <row r="57" spans="1:9" ht="24" x14ac:dyDescent="0.3">
      <c r="A57" s="5" t="s">
        <v>220</v>
      </c>
      <c r="B57" s="6" t="s">
        <v>257</v>
      </c>
      <c r="C57" s="199">
        <v>0</v>
      </c>
      <c r="D57" s="199">
        <v>0</v>
      </c>
      <c r="E57" s="199">
        <v>0</v>
      </c>
      <c r="F57" s="199">
        <v>0</v>
      </c>
      <c r="G57" s="20"/>
      <c r="H57" s="20"/>
      <c r="I57" s="20"/>
    </row>
    <row r="58" spans="1:9" x14ac:dyDescent="0.3">
      <c r="A58" s="5" t="s">
        <v>221</v>
      </c>
      <c r="B58" s="6" t="s">
        <v>184</v>
      </c>
      <c r="C58" s="199">
        <v>0</v>
      </c>
      <c r="D58" s="199">
        <f>C58*1.1</f>
        <v>0</v>
      </c>
      <c r="E58" s="199">
        <f t="shared" ref="E58:F58" si="21">D58*1.1</f>
        <v>0</v>
      </c>
      <c r="F58" s="199">
        <f t="shared" si="21"/>
        <v>0</v>
      </c>
      <c r="G58" s="20"/>
      <c r="H58" s="20"/>
      <c r="I58" s="20"/>
    </row>
    <row r="59" spans="1:9" ht="36" x14ac:dyDescent="0.3">
      <c r="A59" s="5" t="s">
        <v>222</v>
      </c>
      <c r="B59" s="6" t="s">
        <v>255</v>
      </c>
      <c r="C59" s="199">
        <f>'1B-ContPP'!C31*1.02</f>
        <v>8441.52</v>
      </c>
      <c r="D59" s="199">
        <f>C59*1.1</f>
        <v>9285.6720000000005</v>
      </c>
      <c r="E59" s="199">
        <f t="shared" ref="E59:F59" si="22">D59*1.1</f>
        <v>10214.239200000002</v>
      </c>
      <c r="F59" s="199">
        <f t="shared" si="22"/>
        <v>11235.663120000003</v>
      </c>
      <c r="G59" s="20"/>
      <c r="H59" s="20"/>
      <c r="I59" s="20"/>
    </row>
    <row r="60" spans="1:9" s="25" customFormat="1" x14ac:dyDescent="0.3">
      <c r="A60" s="532" t="s">
        <v>240</v>
      </c>
      <c r="B60" s="532"/>
      <c r="C60" s="250">
        <f>C55+C36</f>
        <v>3549009.9402000005</v>
      </c>
      <c r="D60" s="250">
        <f t="shared" ref="D60:F60" si="23">D55+D36</f>
        <v>4238609.9752700003</v>
      </c>
      <c r="E60" s="250">
        <f t="shared" si="23"/>
        <v>4322048.9883480603</v>
      </c>
      <c r="F60" s="250">
        <f t="shared" si="23"/>
        <v>4413534.306661807</v>
      </c>
    </row>
    <row r="61" spans="1:9" x14ac:dyDescent="0.3">
      <c r="A61" s="5"/>
      <c r="B61" s="265" t="s">
        <v>245</v>
      </c>
      <c r="C61" s="201"/>
      <c r="D61" s="201"/>
      <c r="E61" s="201"/>
      <c r="F61" s="201"/>
      <c r="G61" s="20"/>
      <c r="H61" s="20"/>
      <c r="I61" s="20"/>
    </row>
    <row r="62" spans="1:9" x14ac:dyDescent="0.3">
      <c r="A62" s="5"/>
      <c r="B62" s="17" t="s">
        <v>246</v>
      </c>
      <c r="C62" s="250">
        <f>C63+C66+C69+C72+C75+C76+C77</f>
        <v>2546314.4624999999</v>
      </c>
      <c r="D62" s="250">
        <f t="shared" ref="D62:F62" si="24">D63+D66+D69+D72+D75+D76+D77</f>
        <v>2638537.6687500002</v>
      </c>
      <c r="E62" s="250">
        <f t="shared" si="24"/>
        <v>2752419.1742250007</v>
      </c>
      <c r="F62" s="250">
        <f t="shared" si="24"/>
        <v>2876324.7919215006</v>
      </c>
      <c r="G62" s="20"/>
      <c r="H62" s="20"/>
      <c r="I62" s="20"/>
    </row>
    <row r="63" spans="1:9" s="25" customFormat="1" x14ac:dyDescent="0.3">
      <c r="A63" s="26">
        <v>13</v>
      </c>
      <c r="B63" s="27" t="s">
        <v>168</v>
      </c>
      <c r="C63" s="251">
        <f>C64+C65</f>
        <v>1008702</v>
      </c>
      <c r="D63" s="251">
        <f t="shared" ref="D63:F63" si="25">D64+D65</f>
        <v>1028876.04</v>
      </c>
      <c r="E63" s="251">
        <f t="shared" si="25"/>
        <v>1059742.3212000001</v>
      </c>
      <c r="F63" s="251">
        <f t="shared" si="25"/>
        <v>1091534.5908360002</v>
      </c>
    </row>
    <row r="64" spans="1:9" ht="24" x14ac:dyDescent="0.3">
      <c r="A64" s="5"/>
      <c r="B64" s="6" t="s">
        <v>365</v>
      </c>
      <c r="C64" s="199">
        <f>'3A-Proiectii_fin_investitie'!D77/1.19</f>
        <v>847648.73949579836</v>
      </c>
      <c r="D64" s="199">
        <f>'3A-Proiectii_fin_investitie'!E77/1.19</f>
        <v>864601.71428571432</v>
      </c>
      <c r="E64" s="199">
        <f>'3A-Proiectii_fin_investitie'!F77/1.19</f>
        <v>890539.7657142859</v>
      </c>
      <c r="F64" s="199">
        <f>'3A-Proiectii_fin_investitie'!G77/1.19</f>
        <v>917255.95868571452</v>
      </c>
      <c r="G64" s="20"/>
      <c r="H64" s="258"/>
      <c r="I64" s="258"/>
    </row>
    <row r="65" spans="1:9" ht="24" x14ac:dyDescent="0.3">
      <c r="A65" s="5"/>
      <c r="B65" s="6" t="s">
        <v>366</v>
      </c>
      <c r="C65" s="199">
        <f>C64*0.19</f>
        <v>161053.26050420169</v>
      </c>
      <c r="D65" s="199">
        <f t="shared" ref="D65:F65" si="26">D64*0.19</f>
        <v>164274.32571428572</v>
      </c>
      <c r="E65" s="199">
        <f t="shared" si="26"/>
        <v>169202.55548571431</v>
      </c>
      <c r="F65" s="199">
        <f t="shared" si="26"/>
        <v>174278.63215028576</v>
      </c>
      <c r="G65" s="20"/>
      <c r="H65" s="20"/>
      <c r="I65" s="20"/>
    </row>
    <row r="66" spans="1:9" s="25" customFormat="1" x14ac:dyDescent="0.3">
      <c r="A66" s="26">
        <v>14</v>
      </c>
      <c r="B66" s="27" t="s">
        <v>254</v>
      </c>
      <c r="C66" s="251">
        <f>C67+C68</f>
        <v>81537.000000000015</v>
      </c>
      <c r="D66" s="251">
        <f t="shared" ref="D66:F66" si="27">D67+D68</f>
        <v>83167.740000000005</v>
      </c>
      <c r="E66" s="251">
        <f t="shared" si="27"/>
        <v>84831.094800000006</v>
      </c>
      <c r="F66" s="251">
        <f t="shared" si="27"/>
        <v>89072.649540000013</v>
      </c>
    </row>
    <row r="67" spans="1:9" x14ac:dyDescent="0.3">
      <c r="A67" s="5"/>
      <c r="B67" s="6" t="s">
        <v>367</v>
      </c>
      <c r="C67" s="199">
        <f>'3A-Proiectii_fin_investitie'!D85/1.19</f>
        <v>68518.487394957992</v>
      </c>
      <c r="D67" s="199">
        <f>'3A-Proiectii_fin_investitie'!E85/1.19</f>
        <v>69888.857142857145</v>
      </c>
      <c r="E67" s="199">
        <f>'3A-Proiectii_fin_investitie'!F85/1.19</f>
        <v>71286.634285714288</v>
      </c>
      <c r="F67" s="199">
        <f>'3A-Proiectii_fin_investitie'!G85/1.19</f>
        <v>74850.966000000015</v>
      </c>
      <c r="G67" s="20"/>
      <c r="H67" s="20"/>
      <c r="I67" s="20"/>
    </row>
    <row r="68" spans="1:9" x14ac:dyDescent="0.3">
      <c r="A68" s="5"/>
      <c r="B68" s="6" t="s">
        <v>368</v>
      </c>
      <c r="C68" s="199">
        <f>C67*0.19</f>
        <v>13018.512605042019</v>
      </c>
      <c r="D68" s="199">
        <f t="shared" ref="D68:F68" si="28">D67*0.19</f>
        <v>13278.882857142858</v>
      </c>
      <c r="E68" s="199">
        <f t="shared" si="28"/>
        <v>13544.460514285714</v>
      </c>
      <c r="F68" s="199">
        <f t="shared" si="28"/>
        <v>14221.683540000004</v>
      </c>
      <c r="G68" s="20"/>
      <c r="H68" s="20"/>
      <c r="I68" s="20"/>
    </row>
    <row r="69" spans="1:9" s="25" customFormat="1" x14ac:dyDescent="0.3">
      <c r="A69" s="26">
        <v>15</v>
      </c>
      <c r="B69" s="27" t="s">
        <v>251</v>
      </c>
      <c r="C69" s="251">
        <f>C70+C71</f>
        <v>42888</v>
      </c>
      <c r="D69" s="251">
        <f t="shared" ref="D69:F69" si="29">D70+D71</f>
        <v>47605.680000000008</v>
      </c>
      <c r="E69" s="251">
        <f t="shared" si="29"/>
        <v>48557.793600000012</v>
      </c>
      <c r="F69" s="251">
        <f t="shared" si="29"/>
        <v>50014.527408000016</v>
      </c>
    </row>
    <row r="70" spans="1:9" x14ac:dyDescent="0.3">
      <c r="A70" s="5"/>
      <c r="B70" s="6" t="s">
        <v>370</v>
      </c>
      <c r="C70" s="199">
        <f>'3A-Proiectii_fin_investitie'!D86/1.19</f>
        <v>36040.336134453784</v>
      </c>
      <c r="D70" s="199">
        <f>'3A-Proiectii_fin_investitie'!E86/1.19</f>
        <v>40004.773109243702</v>
      </c>
      <c r="E70" s="199">
        <f>'3A-Proiectii_fin_investitie'!F86/1.19</f>
        <v>40804.868571428582</v>
      </c>
      <c r="F70" s="199">
        <f>'3A-Proiectii_fin_investitie'!G86/1.19</f>
        <v>42029.014628571444</v>
      </c>
      <c r="G70" s="20"/>
      <c r="H70" s="20"/>
      <c r="I70" s="20"/>
    </row>
    <row r="71" spans="1:9" x14ac:dyDescent="0.3">
      <c r="A71" s="5"/>
      <c r="B71" s="6" t="s">
        <v>369</v>
      </c>
      <c r="C71" s="199">
        <f>C70*0.19</f>
        <v>6847.6638655462193</v>
      </c>
      <c r="D71" s="199">
        <f t="shared" ref="D71:F71" si="30">D70*0.19</f>
        <v>7600.9068907563033</v>
      </c>
      <c r="E71" s="199">
        <f t="shared" si="30"/>
        <v>7752.9250285714306</v>
      </c>
      <c r="F71" s="199">
        <f t="shared" si="30"/>
        <v>7985.5127794285745</v>
      </c>
      <c r="G71" s="20"/>
      <c r="H71" s="20"/>
      <c r="I71" s="20"/>
    </row>
    <row r="72" spans="1:9" s="25" customFormat="1" x14ac:dyDescent="0.3">
      <c r="A72" s="26">
        <v>16</v>
      </c>
      <c r="B72" s="27" t="s">
        <v>169</v>
      </c>
      <c r="C72" s="251">
        <f>C73+C74</f>
        <v>0</v>
      </c>
      <c r="D72" s="251">
        <f t="shared" ref="D72:F72" si="31">D73+D74</f>
        <v>0</v>
      </c>
      <c r="E72" s="251">
        <f t="shared" si="31"/>
        <v>0</v>
      </c>
      <c r="F72" s="251">
        <f t="shared" si="31"/>
        <v>0</v>
      </c>
    </row>
    <row r="73" spans="1:9" x14ac:dyDescent="0.3">
      <c r="A73" s="5"/>
      <c r="B73" s="6" t="s">
        <v>371</v>
      </c>
      <c r="C73" s="199">
        <v>0</v>
      </c>
      <c r="D73" s="199">
        <v>0</v>
      </c>
      <c r="E73" s="199">
        <v>0</v>
      </c>
      <c r="F73" s="199">
        <v>0</v>
      </c>
      <c r="G73" s="20"/>
      <c r="H73" s="20"/>
      <c r="I73" s="20"/>
    </row>
    <row r="74" spans="1:9" x14ac:dyDescent="0.3">
      <c r="A74" s="5"/>
      <c r="B74" s="6" t="s">
        <v>372</v>
      </c>
      <c r="C74" s="199">
        <v>0</v>
      </c>
      <c r="D74" s="199">
        <v>0</v>
      </c>
      <c r="E74" s="199">
        <v>0</v>
      </c>
      <c r="F74" s="199">
        <v>0</v>
      </c>
      <c r="G74" s="20"/>
      <c r="H74" s="20"/>
      <c r="I74" s="20"/>
    </row>
    <row r="75" spans="1:9" s="25" customFormat="1" x14ac:dyDescent="0.3">
      <c r="A75" s="26">
        <v>17</v>
      </c>
      <c r="B75" s="27" t="s">
        <v>252</v>
      </c>
      <c r="C75" s="199">
        <f>'3A-Proiectii_fin_investitie'!D96</f>
        <v>457665</v>
      </c>
      <c r="D75" s="199">
        <f>'3A-Proiectii_fin_investitie'!E96</f>
        <v>503431.50000000006</v>
      </c>
      <c r="E75" s="199">
        <f>'3A-Proiectii_fin_investitie'!F96</f>
        <v>553774.65000000014</v>
      </c>
      <c r="F75" s="199">
        <f>'3A-Proiectii_fin_investitie'!G96</f>
        <v>609152.11500000022</v>
      </c>
    </row>
    <row r="76" spans="1:9" s="25" customFormat="1" x14ac:dyDescent="0.3">
      <c r="A76" s="26">
        <v>18</v>
      </c>
      <c r="B76" s="27" t="s">
        <v>320</v>
      </c>
      <c r="C76" s="199">
        <f>C75*2.25/100</f>
        <v>10297.4625</v>
      </c>
      <c r="D76" s="199">
        <f t="shared" ref="D76:F76" si="32">D75*2.25/100</f>
        <v>11327.208750000002</v>
      </c>
      <c r="E76" s="199">
        <f t="shared" si="32"/>
        <v>12459.929625000004</v>
      </c>
      <c r="F76" s="199">
        <f t="shared" si="32"/>
        <v>13705.922587500005</v>
      </c>
    </row>
    <row r="77" spans="1:9" s="25" customFormat="1" ht="24" x14ac:dyDescent="0.3">
      <c r="A77" s="26">
        <v>19</v>
      </c>
      <c r="B77" s="27" t="s">
        <v>253</v>
      </c>
      <c r="C77" s="251">
        <f>C78+C79</f>
        <v>945225</v>
      </c>
      <c r="D77" s="251">
        <f t="shared" ref="D77:F77" si="33">D78+D79</f>
        <v>964129.5</v>
      </c>
      <c r="E77" s="251">
        <f t="shared" si="33"/>
        <v>993053.38500000013</v>
      </c>
      <c r="F77" s="251">
        <f t="shared" si="33"/>
        <v>1022844.98655</v>
      </c>
    </row>
    <row r="78" spans="1:9" x14ac:dyDescent="0.3">
      <c r="A78" s="5"/>
      <c r="B78" s="6" t="s">
        <v>373</v>
      </c>
      <c r="C78" s="199">
        <f>'3A-Proiectii_fin_investitie'!D105/1.19</f>
        <v>794306.72268907563</v>
      </c>
      <c r="D78" s="199">
        <f>'3A-Proiectii_fin_investitie'!E105/1.19</f>
        <v>810192.85714285716</v>
      </c>
      <c r="E78" s="199">
        <f>'3A-Proiectii_fin_investitie'!F105/1.19</f>
        <v>834498.64285714296</v>
      </c>
      <c r="F78" s="199">
        <f>'3A-Proiectii_fin_investitie'!G105/1.19</f>
        <v>859533.60214285715</v>
      </c>
      <c r="G78" s="20"/>
      <c r="H78" s="20"/>
      <c r="I78" s="20"/>
    </row>
    <row r="79" spans="1:9" x14ac:dyDescent="0.3">
      <c r="A79" s="5"/>
      <c r="B79" s="6" t="s">
        <v>374</v>
      </c>
      <c r="C79" s="199">
        <f>C78*0.19</f>
        <v>150918.27731092437</v>
      </c>
      <c r="D79" s="199">
        <f t="shared" ref="D79:F79" si="34">D78*0.19</f>
        <v>153936.64285714287</v>
      </c>
      <c r="E79" s="199">
        <f t="shared" si="34"/>
        <v>158554.74214285717</v>
      </c>
      <c r="F79" s="199">
        <f t="shared" si="34"/>
        <v>163311.38440714288</v>
      </c>
      <c r="G79" s="20"/>
      <c r="H79" s="20"/>
      <c r="I79" s="20"/>
    </row>
    <row r="80" spans="1:9" x14ac:dyDescent="0.3">
      <c r="A80" s="5"/>
      <c r="B80" s="265" t="s">
        <v>56</v>
      </c>
      <c r="C80" s="250">
        <f>C81+C85</f>
        <v>14080.08</v>
      </c>
      <c r="D80" s="250">
        <f t="shared" ref="D80:F80" si="35">D81+D85</f>
        <v>14220.880800000001</v>
      </c>
      <c r="E80" s="250">
        <f t="shared" si="35"/>
        <v>14363.089608</v>
      </c>
      <c r="F80" s="250">
        <f t="shared" si="35"/>
        <v>14506.72050408</v>
      </c>
      <c r="G80" s="20"/>
      <c r="H80" s="20"/>
      <c r="I80" s="20"/>
    </row>
    <row r="81" spans="1:9" x14ac:dyDescent="0.3">
      <c r="A81" s="5">
        <v>20</v>
      </c>
      <c r="B81" s="27" t="s">
        <v>181</v>
      </c>
      <c r="C81" s="250">
        <f>SUM(C82:C84)</f>
        <v>14080.08</v>
      </c>
      <c r="D81" s="250">
        <f t="shared" ref="D81:F81" si="36">SUM(D82:D84)</f>
        <v>14220.880800000001</v>
      </c>
      <c r="E81" s="250">
        <f t="shared" si="36"/>
        <v>14363.089608</v>
      </c>
      <c r="F81" s="250">
        <f t="shared" si="36"/>
        <v>14506.72050408</v>
      </c>
      <c r="G81" s="20"/>
      <c r="H81" s="20"/>
      <c r="I81" s="20"/>
    </row>
    <row r="82" spans="1:9" x14ac:dyDescent="0.3">
      <c r="A82" s="5"/>
      <c r="B82" s="8" t="s">
        <v>465</v>
      </c>
      <c r="C82" s="199">
        <v>0</v>
      </c>
      <c r="D82" s="199">
        <v>0</v>
      </c>
      <c r="E82" s="199">
        <v>0</v>
      </c>
      <c r="F82" s="199">
        <v>0</v>
      </c>
      <c r="G82" s="20"/>
      <c r="H82" s="20"/>
      <c r="I82" s="20"/>
    </row>
    <row r="83" spans="1:9" ht="24" x14ac:dyDescent="0.3">
      <c r="A83" s="5"/>
      <c r="B83" s="8" t="s">
        <v>210</v>
      </c>
      <c r="C83" s="199">
        <f>'1B-ContPP'!C34*1.02</f>
        <v>14080.08</v>
      </c>
      <c r="D83" s="199">
        <f>C83*1.01</f>
        <v>14220.880800000001</v>
      </c>
      <c r="E83" s="199">
        <f t="shared" ref="E83:F83" si="37">D83*1.01</f>
        <v>14363.089608</v>
      </c>
      <c r="F83" s="199">
        <f t="shared" si="37"/>
        <v>14506.72050408</v>
      </c>
      <c r="G83" s="20"/>
      <c r="H83" s="20"/>
      <c r="I83" s="20"/>
    </row>
    <row r="84" spans="1:9" x14ac:dyDescent="0.3">
      <c r="A84" s="5"/>
      <c r="B84" s="8" t="s">
        <v>249</v>
      </c>
      <c r="C84" s="199">
        <v>0</v>
      </c>
      <c r="D84" s="199">
        <v>0</v>
      </c>
      <c r="E84" s="199">
        <v>0</v>
      </c>
      <c r="F84" s="199">
        <v>0</v>
      </c>
      <c r="G84" s="20"/>
      <c r="H84" s="20"/>
      <c r="I84" s="20"/>
    </row>
    <row r="85" spans="1:9" s="25" customFormat="1" ht="36" x14ac:dyDescent="0.3">
      <c r="A85" s="26">
        <v>21</v>
      </c>
      <c r="B85" s="27" t="s">
        <v>258</v>
      </c>
      <c r="C85" s="199">
        <v>0</v>
      </c>
      <c r="D85" s="199">
        <v>0</v>
      </c>
      <c r="E85" s="199">
        <v>0</v>
      </c>
      <c r="F85" s="199">
        <v>0</v>
      </c>
    </row>
    <row r="86" spans="1:9" x14ac:dyDescent="0.3">
      <c r="A86" s="532" t="s">
        <v>247</v>
      </c>
      <c r="B86" s="532"/>
      <c r="C86" s="250">
        <f>C62+C80</f>
        <v>2560394.5425</v>
      </c>
      <c r="D86" s="250">
        <f t="shared" ref="D86:F86" si="38">D62+D80</f>
        <v>2652758.5495500001</v>
      </c>
      <c r="E86" s="250">
        <f t="shared" si="38"/>
        <v>2766782.2638330008</v>
      </c>
      <c r="F86" s="250">
        <f t="shared" si="38"/>
        <v>2890831.5124255805</v>
      </c>
      <c r="G86" s="20"/>
      <c r="H86" s="20"/>
      <c r="I86" s="20"/>
    </row>
    <row r="87" spans="1:9" x14ac:dyDescent="0.3">
      <c r="A87" s="532" t="s">
        <v>248</v>
      </c>
      <c r="B87" s="532"/>
      <c r="C87" s="250">
        <f>C60-C86</f>
        <v>988615.39770000055</v>
      </c>
      <c r="D87" s="250">
        <f t="shared" ref="D87:F87" si="39">D60-D86</f>
        <v>1585851.4257200002</v>
      </c>
      <c r="E87" s="250">
        <f t="shared" si="39"/>
        <v>1555266.7245150595</v>
      </c>
      <c r="F87" s="250">
        <f t="shared" si="39"/>
        <v>1522702.7942362265</v>
      </c>
      <c r="G87" s="20"/>
      <c r="H87" s="20"/>
      <c r="I87" s="20"/>
    </row>
    <row r="88" spans="1:9" ht="25.5" customHeight="1" x14ac:dyDescent="0.3">
      <c r="A88" s="532" t="s">
        <v>250</v>
      </c>
      <c r="B88" s="532"/>
      <c r="C88" s="250">
        <f>C33+C87</f>
        <v>268589.6977000006</v>
      </c>
      <c r="D88" s="250">
        <f t="shared" ref="D88:F88" si="40">D33+D87</f>
        <v>1585851.4257200002</v>
      </c>
      <c r="E88" s="250">
        <f t="shared" si="40"/>
        <v>1555266.7245150595</v>
      </c>
      <c r="F88" s="250">
        <f t="shared" si="40"/>
        <v>1522702.7942362265</v>
      </c>
      <c r="G88" s="20"/>
      <c r="H88" s="20"/>
      <c r="I88" s="20"/>
    </row>
    <row r="89" spans="1:9" x14ac:dyDescent="0.3">
      <c r="A89" s="5">
        <v>22</v>
      </c>
      <c r="B89" s="8" t="s">
        <v>223</v>
      </c>
      <c r="C89" s="199">
        <f>C45+C42+C48+C51+C54-'2A-Buget_cerere'!C24-'4-Proiectii_fin_intreprindere'!C65-'4-Proiectii_fin_intreprindere'!C68-'4-Proiectii_fin_intreprindere'!C71-'4-Proiectii_fin_intreprindere'!C74-'4-Proiectii_fin_intreprindere'!C79</f>
        <v>9192.8259142856696</v>
      </c>
      <c r="D89" s="199">
        <f>D39+D42+D45+D48+D51+D54-D65-D68-D71-D74-D79</f>
        <v>336179.50858932768</v>
      </c>
      <c r="E89" s="199">
        <f t="shared" ref="E89:F89" si="41">E39+E42+E45+E48+E51+E54-E65-E68-E71-E74-E79</f>
        <v>339389.52047405991</v>
      </c>
      <c r="F89" s="199">
        <f t="shared" si="41"/>
        <v>343090.80583990208</v>
      </c>
      <c r="G89" s="20"/>
      <c r="H89" s="20"/>
      <c r="I89" s="20"/>
    </row>
    <row r="90" spans="1:9" x14ac:dyDescent="0.3">
      <c r="A90" s="5">
        <v>23</v>
      </c>
      <c r="B90" s="8" t="s">
        <v>224</v>
      </c>
      <c r="C90" s="199"/>
      <c r="D90" s="199">
        <v>0</v>
      </c>
      <c r="E90" s="199">
        <v>0</v>
      </c>
      <c r="F90" s="199">
        <v>0</v>
      </c>
      <c r="G90" s="20"/>
      <c r="H90" s="20"/>
      <c r="I90" s="20"/>
    </row>
    <row r="91" spans="1:9" x14ac:dyDescent="0.3">
      <c r="A91" s="5">
        <v>24</v>
      </c>
      <c r="B91" s="8" t="s">
        <v>187</v>
      </c>
      <c r="C91" s="199">
        <f>C106*1%</f>
        <v>28025.377200000003</v>
      </c>
      <c r="D91" s="199">
        <f t="shared" ref="D91:F91" si="42">D106*1%</f>
        <v>33795.968777613452</v>
      </c>
      <c r="E91" s="199">
        <f t="shared" si="42"/>
        <v>34471.888153165717</v>
      </c>
      <c r="F91" s="199">
        <f t="shared" si="42"/>
        <v>35214.468773371882</v>
      </c>
      <c r="G91" s="20"/>
      <c r="H91" s="20"/>
      <c r="I91" s="20"/>
    </row>
    <row r="92" spans="1:9" x14ac:dyDescent="0.3">
      <c r="A92" s="532" t="s">
        <v>225</v>
      </c>
      <c r="B92" s="532"/>
      <c r="C92" s="250">
        <f>C89-C90+C91</f>
        <v>37218.203114285672</v>
      </c>
      <c r="D92" s="250">
        <f t="shared" ref="D92:F92" si="43">D89-D90+D91</f>
        <v>369975.47736694117</v>
      </c>
      <c r="E92" s="250">
        <f t="shared" si="43"/>
        <v>373861.40862722561</v>
      </c>
      <c r="F92" s="250">
        <f t="shared" si="43"/>
        <v>378305.27461327397</v>
      </c>
      <c r="G92" s="20"/>
      <c r="H92" s="20"/>
      <c r="I92" s="20"/>
    </row>
    <row r="93" spans="1:9" x14ac:dyDescent="0.3">
      <c r="A93" s="532" t="s">
        <v>211</v>
      </c>
      <c r="B93" s="532"/>
      <c r="C93" s="250">
        <f>C33</f>
        <v>-720025.7</v>
      </c>
      <c r="D93" s="250">
        <f t="shared" ref="D93:F93" si="44">D33</f>
        <v>0</v>
      </c>
      <c r="E93" s="250">
        <f t="shared" si="44"/>
        <v>0</v>
      </c>
      <c r="F93" s="250">
        <f t="shared" si="44"/>
        <v>0</v>
      </c>
      <c r="G93" s="20"/>
      <c r="H93" s="20"/>
      <c r="I93" s="20"/>
    </row>
    <row r="94" spans="1:9" x14ac:dyDescent="0.3">
      <c r="A94" s="532" t="s">
        <v>260</v>
      </c>
      <c r="B94" s="532"/>
      <c r="C94" s="250">
        <f>C87-C92</f>
        <v>951397.19458571484</v>
      </c>
      <c r="D94" s="250">
        <f t="shared" ref="D94:F94" si="45">D87-D92</f>
        <v>1215875.9483530591</v>
      </c>
      <c r="E94" s="250">
        <f t="shared" si="45"/>
        <v>1181405.3158878339</v>
      </c>
      <c r="F94" s="250">
        <f t="shared" si="45"/>
        <v>1144397.5196229524</v>
      </c>
      <c r="G94" s="20"/>
      <c r="H94" s="20"/>
      <c r="I94" s="20"/>
    </row>
    <row r="95" spans="1:9" ht="14.4" customHeight="1" x14ac:dyDescent="0.3">
      <c r="A95" s="533" t="s">
        <v>226</v>
      </c>
      <c r="B95" s="533"/>
      <c r="C95" s="533"/>
      <c r="D95" s="533"/>
      <c r="E95" s="533"/>
      <c r="F95" s="533"/>
      <c r="G95" s="20"/>
      <c r="H95" s="20"/>
      <c r="I95" s="20"/>
    </row>
    <row r="96" spans="1:9" x14ac:dyDescent="0.3">
      <c r="A96" s="532" t="s">
        <v>227</v>
      </c>
      <c r="B96" s="532"/>
      <c r="C96" s="250">
        <f>C93+C94</f>
        <v>231371.49458571489</v>
      </c>
      <c r="D96" s="250">
        <f t="shared" ref="D96:F96" si="46">D93+D94</f>
        <v>1215875.9483530591</v>
      </c>
      <c r="E96" s="250">
        <f t="shared" si="46"/>
        <v>1181405.3158878339</v>
      </c>
      <c r="F96" s="250">
        <f t="shared" si="46"/>
        <v>1144397.5196229524</v>
      </c>
      <c r="G96" s="20"/>
      <c r="H96" s="20"/>
      <c r="I96" s="20"/>
    </row>
    <row r="97" spans="1:9" x14ac:dyDescent="0.3">
      <c r="A97" s="532" t="s">
        <v>267</v>
      </c>
      <c r="B97" s="532"/>
      <c r="C97" s="250">
        <f>'1A-Bilant'!C28</f>
        <v>437352</v>
      </c>
      <c r="D97" s="250">
        <f>C98</f>
        <v>668723.49458571489</v>
      </c>
      <c r="E97" s="250">
        <f t="shared" ref="E97:F97" si="47">D98</f>
        <v>1884599.4429387739</v>
      </c>
      <c r="F97" s="250">
        <f t="shared" si="47"/>
        <v>3066004.7588266078</v>
      </c>
      <c r="G97" s="20"/>
      <c r="H97" s="20"/>
      <c r="I97" s="20"/>
    </row>
    <row r="98" spans="1:9" x14ac:dyDescent="0.3">
      <c r="A98" s="532" t="s">
        <v>228</v>
      </c>
      <c r="B98" s="532"/>
      <c r="C98" s="250">
        <f>C97+C96</f>
        <v>668723.49458571489</v>
      </c>
      <c r="D98" s="250">
        <f t="shared" ref="D98:F98" si="48">D97+D96</f>
        <v>1884599.4429387739</v>
      </c>
      <c r="E98" s="250">
        <f t="shared" si="48"/>
        <v>3066004.7588266078</v>
      </c>
      <c r="F98" s="250">
        <f t="shared" si="48"/>
        <v>4210402.2784495605</v>
      </c>
      <c r="G98" s="20"/>
      <c r="H98" s="20"/>
      <c r="I98" s="20"/>
    </row>
    <row r="102" spans="1:9" x14ac:dyDescent="0.3">
      <c r="A102" s="535" t="s">
        <v>503</v>
      </c>
      <c r="B102" s="535"/>
      <c r="C102" s="535"/>
      <c r="D102" s="535"/>
      <c r="E102" s="535"/>
      <c r="F102" s="535"/>
      <c r="G102" s="535"/>
      <c r="H102" s="535"/>
      <c r="I102" s="535"/>
    </row>
    <row r="103" spans="1:9" x14ac:dyDescent="0.3">
      <c r="A103" s="536" t="s">
        <v>199</v>
      </c>
      <c r="B103" s="538" t="s">
        <v>198</v>
      </c>
      <c r="C103" s="534" t="s">
        <v>172</v>
      </c>
      <c r="D103" s="534"/>
      <c r="E103" s="534"/>
      <c r="F103" s="534"/>
      <c r="G103" s="20"/>
      <c r="H103" s="20"/>
      <c r="I103" s="20"/>
    </row>
    <row r="104" spans="1:9" ht="24" x14ac:dyDescent="0.3">
      <c r="A104" s="537"/>
      <c r="B104" s="539"/>
      <c r="C104" s="19" t="s">
        <v>598</v>
      </c>
      <c r="D104" s="19" t="s">
        <v>340</v>
      </c>
      <c r="E104" s="19" t="s">
        <v>341</v>
      </c>
      <c r="F104" s="19" t="s">
        <v>342</v>
      </c>
      <c r="G104" s="20"/>
      <c r="H104" s="20"/>
      <c r="I104" s="20"/>
    </row>
    <row r="105" spans="1:9" ht="14.4" customHeight="1" x14ac:dyDescent="0.3">
      <c r="A105" s="548" t="s">
        <v>197</v>
      </c>
      <c r="B105" s="549"/>
      <c r="C105" s="549"/>
      <c r="D105" s="549"/>
      <c r="E105" s="549"/>
      <c r="F105" s="550"/>
      <c r="G105" s="20"/>
      <c r="H105" s="20"/>
      <c r="I105" s="20"/>
    </row>
    <row r="106" spans="1:9" x14ac:dyDescent="0.3">
      <c r="A106" s="4">
        <v>1</v>
      </c>
      <c r="B106" s="31" t="s">
        <v>196</v>
      </c>
      <c r="C106" s="252">
        <f>C38+C41+C44+C47+C50</f>
        <v>2802537.72</v>
      </c>
      <c r="D106" s="252">
        <f t="shared" ref="D106:F106" si="49">D38+D41+D44+D47+D50</f>
        <v>3379596.8777613449</v>
      </c>
      <c r="E106" s="252">
        <f t="shared" si="49"/>
        <v>3447188.8153165714</v>
      </c>
      <c r="F106" s="252">
        <f t="shared" si="49"/>
        <v>3521446.8773371885</v>
      </c>
      <c r="G106" s="20"/>
      <c r="H106" s="20"/>
      <c r="I106" s="20"/>
    </row>
    <row r="107" spans="1:9" ht="24" x14ac:dyDescent="0.3">
      <c r="A107" s="4">
        <v>2</v>
      </c>
      <c r="B107" s="31" t="s">
        <v>542</v>
      </c>
      <c r="C107" s="392">
        <v>0</v>
      </c>
      <c r="D107" s="392">
        <v>0</v>
      </c>
      <c r="E107" s="392">
        <v>0</v>
      </c>
      <c r="F107" s="392">
        <v>0</v>
      </c>
      <c r="G107" s="20"/>
      <c r="H107" s="20"/>
      <c r="I107" s="20"/>
    </row>
    <row r="108" spans="1:9" ht="24" x14ac:dyDescent="0.3">
      <c r="A108" s="4">
        <v>3</v>
      </c>
      <c r="B108" s="31" t="s">
        <v>195</v>
      </c>
      <c r="C108" s="392">
        <v>0</v>
      </c>
      <c r="D108" s="392">
        <v>0</v>
      </c>
      <c r="E108" s="392">
        <v>0</v>
      </c>
      <c r="F108" s="392">
        <v>0</v>
      </c>
      <c r="G108" s="20"/>
      <c r="H108" s="20"/>
      <c r="I108" s="20"/>
    </row>
    <row r="109" spans="1:9" ht="24" x14ac:dyDescent="0.3">
      <c r="A109" s="4">
        <v>4</v>
      </c>
      <c r="B109" s="31" t="s">
        <v>565</v>
      </c>
      <c r="C109" s="392">
        <v>0</v>
      </c>
      <c r="D109" s="392">
        <v>0</v>
      </c>
      <c r="E109" s="392">
        <v>0</v>
      </c>
      <c r="F109" s="392">
        <v>0</v>
      </c>
      <c r="G109" s="20"/>
      <c r="H109" s="20"/>
      <c r="I109" s="20"/>
    </row>
    <row r="110" spans="1:9" x14ac:dyDescent="0.3">
      <c r="A110" s="547" t="s">
        <v>185</v>
      </c>
      <c r="B110" s="547" t="s">
        <v>167</v>
      </c>
      <c r="C110" s="247">
        <f>SUM(C106:C109)</f>
        <v>2802537.72</v>
      </c>
      <c r="D110" s="247">
        <f t="shared" ref="D110:F110" si="50">SUM(D106:D109)</f>
        <v>3379596.8777613449</v>
      </c>
      <c r="E110" s="247">
        <f t="shared" si="50"/>
        <v>3447188.8153165714</v>
      </c>
      <c r="F110" s="247">
        <f t="shared" si="50"/>
        <v>3521446.8773371885</v>
      </c>
      <c r="G110" s="20"/>
      <c r="H110" s="20"/>
      <c r="I110" s="20"/>
    </row>
    <row r="111" spans="1:9" ht="14.4" customHeight="1" x14ac:dyDescent="0.3">
      <c r="A111" s="551" t="s">
        <v>194</v>
      </c>
      <c r="B111" s="552"/>
      <c r="C111" s="552"/>
      <c r="D111" s="552"/>
      <c r="E111" s="552"/>
      <c r="F111" s="553"/>
      <c r="G111" s="20"/>
      <c r="H111" s="20"/>
      <c r="I111" s="20"/>
    </row>
    <row r="112" spans="1:9" x14ac:dyDescent="0.3">
      <c r="A112" s="4">
        <v>5</v>
      </c>
      <c r="B112" s="31" t="s">
        <v>552</v>
      </c>
      <c r="C112" s="253">
        <f>C64+C67+C73+C70</f>
        <v>952207.56302521017</v>
      </c>
      <c r="D112" s="253">
        <f t="shared" ref="D112:F112" si="51">D64+D67+D73+D70</f>
        <v>974495.3445378152</v>
      </c>
      <c r="E112" s="253">
        <f t="shared" si="51"/>
        <v>1002631.2685714287</v>
      </c>
      <c r="F112" s="253">
        <f t="shared" si="51"/>
        <v>1034135.939314286</v>
      </c>
      <c r="G112" s="20"/>
      <c r="H112" s="258"/>
      <c r="I112" s="20"/>
    </row>
    <row r="113" spans="1:9" x14ac:dyDescent="0.3">
      <c r="A113" s="4">
        <v>6</v>
      </c>
      <c r="B113" s="31" t="s">
        <v>193</v>
      </c>
      <c r="C113" s="253">
        <f>C75+C76</f>
        <v>467962.46250000002</v>
      </c>
      <c r="D113" s="253">
        <f t="shared" ref="D113:F113" si="52">D75+D76</f>
        <v>514758.70875000005</v>
      </c>
      <c r="E113" s="253">
        <f t="shared" si="52"/>
        <v>566234.57962500013</v>
      </c>
      <c r="F113" s="253">
        <f t="shared" si="52"/>
        <v>622858.03758750018</v>
      </c>
      <c r="G113" s="20"/>
      <c r="H113" s="20"/>
      <c r="I113" s="20"/>
    </row>
    <row r="114" spans="1:9" x14ac:dyDescent="0.3">
      <c r="A114" s="4">
        <v>7</v>
      </c>
      <c r="B114" s="31" t="s">
        <v>505</v>
      </c>
      <c r="C114" s="256">
        <v>0</v>
      </c>
      <c r="D114" s="256">
        <v>0</v>
      </c>
      <c r="E114" s="256">
        <v>0</v>
      </c>
      <c r="F114" s="256">
        <v>0</v>
      </c>
      <c r="G114" s="20"/>
      <c r="H114" s="20"/>
      <c r="I114" s="20"/>
    </row>
    <row r="115" spans="1:9" ht="24" x14ac:dyDescent="0.3">
      <c r="A115" s="4">
        <v>8</v>
      </c>
      <c r="B115" s="31" t="s">
        <v>253</v>
      </c>
      <c r="C115" s="253">
        <f>C78</f>
        <v>794306.72268907563</v>
      </c>
      <c r="D115" s="253">
        <f t="shared" ref="D115:F115" si="53">D78</f>
        <v>810192.85714285716</v>
      </c>
      <c r="E115" s="253">
        <f t="shared" si="53"/>
        <v>834498.64285714296</v>
      </c>
      <c r="F115" s="253">
        <f t="shared" si="53"/>
        <v>859533.60214285715</v>
      </c>
      <c r="G115" s="20"/>
      <c r="H115" s="20"/>
      <c r="I115" s="20"/>
    </row>
    <row r="116" spans="1:9" x14ac:dyDescent="0.3">
      <c r="A116" s="547" t="s">
        <v>192</v>
      </c>
      <c r="B116" s="547"/>
      <c r="C116" s="269">
        <f>SUM(C112:C115)</f>
        <v>2214476.7482142858</v>
      </c>
      <c r="D116" s="390">
        <f t="shared" ref="D116:F116" si="54">SUM(D112:D115)</f>
        <v>2299446.9104306726</v>
      </c>
      <c r="E116" s="390">
        <f t="shared" si="54"/>
        <v>2403364.4910535719</v>
      </c>
      <c r="F116" s="390">
        <f t="shared" si="54"/>
        <v>2516527.5790446433</v>
      </c>
      <c r="G116" s="20"/>
      <c r="H116" s="20"/>
      <c r="I116" s="20"/>
    </row>
    <row r="117" spans="1:9" x14ac:dyDescent="0.3">
      <c r="A117" s="547" t="s">
        <v>52</v>
      </c>
      <c r="B117" s="547" t="s">
        <v>182</v>
      </c>
      <c r="C117" s="269">
        <f>C110-C116</f>
        <v>588060.97178571438</v>
      </c>
      <c r="D117" s="390">
        <f t="shared" ref="D117:F117" si="55">D110-D116</f>
        <v>1080149.9673306723</v>
      </c>
      <c r="E117" s="390">
        <f t="shared" si="55"/>
        <v>1043824.3242629995</v>
      </c>
      <c r="F117" s="390">
        <f t="shared" si="55"/>
        <v>1004919.2982925451</v>
      </c>
      <c r="G117" s="20"/>
      <c r="H117" s="20"/>
      <c r="I117" s="20"/>
    </row>
    <row r="118" spans="1:9" ht="14.4" customHeight="1" x14ac:dyDescent="0.3">
      <c r="A118" s="551" t="s">
        <v>191</v>
      </c>
      <c r="B118" s="552"/>
      <c r="C118" s="552"/>
      <c r="D118" s="552"/>
      <c r="E118" s="552"/>
      <c r="F118" s="553"/>
      <c r="G118" s="20"/>
      <c r="H118" s="20"/>
      <c r="I118" s="20"/>
    </row>
    <row r="119" spans="1:9" x14ac:dyDescent="0.3">
      <c r="A119" s="547" t="s">
        <v>183</v>
      </c>
      <c r="B119" s="547" t="s">
        <v>183</v>
      </c>
      <c r="C119" s="269">
        <f t="shared" ref="C119:F119" si="56">C55</f>
        <v>8441.52</v>
      </c>
      <c r="D119" s="269">
        <f t="shared" si="56"/>
        <v>9285.6720000000005</v>
      </c>
      <c r="E119" s="269">
        <f t="shared" si="56"/>
        <v>10214.239200000002</v>
      </c>
      <c r="F119" s="269">
        <f t="shared" si="56"/>
        <v>11235.663120000003</v>
      </c>
      <c r="G119" s="20"/>
      <c r="H119" s="20"/>
      <c r="I119" s="20"/>
    </row>
    <row r="120" spans="1:9" ht="14.4" customHeight="1" x14ac:dyDescent="0.3">
      <c r="A120" s="551" t="s">
        <v>190</v>
      </c>
      <c r="B120" s="552"/>
      <c r="C120" s="552"/>
      <c r="D120" s="552"/>
      <c r="E120" s="552"/>
      <c r="F120" s="553"/>
      <c r="G120" s="20"/>
      <c r="H120" s="20"/>
      <c r="I120" s="20"/>
    </row>
    <row r="121" spans="1:9" x14ac:dyDescent="0.3">
      <c r="A121" s="4">
        <v>9</v>
      </c>
      <c r="B121" s="31" t="s">
        <v>181</v>
      </c>
      <c r="C121" s="253">
        <f>C122+C123+C124</f>
        <v>14080.08</v>
      </c>
      <c r="D121" s="253">
        <f t="shared" ref="D121:F121" si="57">D122+D123+D124</f>
        <v>14220.880800000001</v>
      </c>
      <c r="E121" s="253">
        <f t="shared" si="57"/>
        <v>14363.089608</v>
      </c>
      <c r="F121" s="253">
        <f t="shared" si="57"/>
        <v>14506.72050408</v>
      </c>
      <c r="G121" s="20"/>
      <c r="H121" s="20"/>
      <c r="I121" s="20"/>
    </row>
    <row r="122" spans="1:9" x14ac:dyDescent="0.3">
      <c r="A122" s="4"/>
      <c r="B122" s="32" t="s">
        <v>465</v>
      </c>
      <c r="C122" s="254">
        <f>C82</f>
        <v>0</v>
      </c>
      <c r="D122" s="254">
        <f t="shared" ref="D122:F122" si="58">D82</f>
        <v>0</v>
      </c>
      <c r="E122" s="254">
        <f t="shared" si="58"/>
        <v>0</v>
      </c>
      <c r="F122" s="254">
        <f t="shared" si="58"/>
        <v>0</v>
      </c>
      <c r="G122" s="20"/>
      <c r="H122" s="20"/>
      <c r="I122" s="20"/>
    </row>
    <row r="123" spans="1:9" ht="24" x14ac:dyDescent="0.3">
      <c r="A123" s="4"/>
      <c r="B123" s="32" t="s">
        <v>210</v>
      </c>
      <c r="C123" s="254">
        <f>C83</f>
        <v>14080.08</v>
      </c>
      <c r="D123" s="254">
        <f t="shared" ref="D123:F123" si="59">D83</f>
        <v>14220.880800000001</v>
      </c>
      <c r="E123" s="254">
        <f t="shared" si="59"/>
        <v>14363.089608</v>
      </c>
      <c r="F123" s="254">
        <f t="shared" si="59"/>
        <v>14506.72050408</v>
      </c>
      <c r="G123" s="20"/>
      <c r="H123" s="20"/>
      <c r="I123" s="20"/>
    </row>
    <row r="124" spans="1:9" x14ac:dyDescent="0.3">
      <c r="A124" s="4"/>
      <c r="B124" s="32" t="s">
        <v>249</v>
      </c>
      <c r="C124" s="254">
        <f>C84</f>
        <v>0</v>
      </c>
      <c r="D124" s="254">
        <f t="shared" ref="D124:F124" si="60">D84</f>
        <v>0</v>
      </c>
      <c r="E124" s="254">
        <f t="shared" si="60"/>
        <v>0</v>
      </c>
      <c r="F124" s="254">
        <f t="shared" si="60"/>
        <v>0</v>
      </c>
      <c r="G124" s="20"/>
      <c r="H124" s="20"/>
      <c r="I124" s="20"/>
    </row>
    <row r="125" spans="1:9" x14ac:dyDescent="0.3">
      <c r="A125" s="4">
        <v>10</v>
      </c>
      <c r="B125" s="31" t="s">
        <v>180</v>
      </c>
      <c r="C125" s="254">
        <f>C85</f>
        <v>0</v>
      </c>
      <c r="D125" s="254">
        <f t="shared" ref="D125:F125" si="61">D85</f>
        <v>0</v>
      </c>
      <c r="E125" s="254">
        <f t="shared" si="61"/>
        <v>0</v>
      </c>
      <c r="F125" s="254">
        <f t="shared" si="61"/>
        <v>0</v>
      </c>
      <c r="G125" s="20"/>
      <c r="H125" s="20"/>
      <c r="I125" s="20"/>
    </row>
    <row r="126" spans="1:9" x14ac:dyDescent="0.3">
      <c r="A126" s="547" t="s">
        <v>189</v>
      </c>
      <c r="B126" s="547"/>
      <c r="C126" s="269">
        <f>C121+C125</f>
        <v>14080.08</v>
      </c>
      <c r="D126" s="390">
        <f t="shared" ref="D126:F126" si="62">D121+D125</f>
        <v>14220.880800000001</v>
      </c>
      <c r="E126" s="390">
        <f t="shared" si="62"/>
        <v>14363.089608</v>
      </c>
      <c r="F126" s="390">
        <f t="shared" si="62"/>
        <v>14506.72050408</v>
      </c>
      <c r="G126" s="20"/>
      <c r="H126" s="20"/>
      <c r="I126" s="20"/>
    </row>
    <row r="127" spans="1:9" x14ac:dyDescent="0.3">
      <c r="A127" s="547" t="s">
        <v>57</v>
      </c>
      <c r="B127" s="547" t="s">
        <v>180</v>
      </c>
      <c r="C127" s="269">
        <f>C119-C126</f>
        <v>-5638.5599999999995</v>
      </c>
      <c r="D127" s="390">
        <f t="shared" ref="D127:F127" si="63">D119-D126</f>
        <v>-4935.2088000000003</v>
      </c>
      <c r="E127" s="390">
        <f t="shared" si="63"/>
        <v>-4148.8504079999984</v>
      </c>
      <c r="F127" s="390">
        <f t="shared" si="63"/>
        <v>-3271.0573840799971</v>
      </c>
      <c r="G127" s="20"/>
      <c r="H127" s="20"/>
      <c r="I127" s="20"/>
    </row>
    <row r="128" spans="1:9" x14ac:dyDescent="0.3">
      <c r="A128" s="33"/>
      <c r="B128" s="269" t="s">
        <v>259</v>
      </c>
      <c r="C128" s="269">
        <f>C117+C127</f>
        <v>582422.41178571433</v>
      </c>
      <c r="D128" s="390">
        <f t="shared" ref="D128:F128" si="64">D117+D127</f>
        <v>1075214.7585306724</v>
      </c>
      <c r="E128" s="390">
        <f t="shared" si="64"/>
        <v>1039675.4738549995</v>
      </c>
      <c r="F128" s="390">
        <f t="shared" si="64"/>
        <v>1001648.2409084651</v>
      </c>
      <c r="G128" s="20"/>
      <c r="H128" s="20"/>
      <c r="I128" s="20"/>
    </row>
    <row r="129" spans="1:9" x14ac:dyDescent="0.3">
      <c r="A129" s="34"/>
      <c r="B129" s="35" t="s">
        <v>570</v>
      </c>
      <c r="C129" s="255">
        <f>C110+C119</f>
        <v>2810979.24</v>
      </c>
      <c r="D129" s="255">
        <f t="shared" ref="D129:F129" si="65">D110+D119</f>
        <v>3388882.5497613447</v>
      </c>
      <c r="E129" s="255">
        <f t="shared" si="65"/>
        <v>3457403.0545165716</v>
      </c>
      <c r="F129" s="255">
        <f t="shared" si="65"/>
        <v>3532682.5404571886</v>
      </c>
      <c r="G129" s="20"/>
      <c r="H129" s="20"/>
      <c r="I129" s="20"/>
    </row>
    <row r="130" spans="1:9" x14ac:dyDescent="0.3">
      <c r="A130" s="34"/>
      <c r="B130" s="36" t="s">
        <v>571</v>
      </c>
      <c r="C130" s="255">
        <f>C116+C126</f>
        <v>2228556.8282142859</v>
      </c>
      <c r="D130" s="255">
        <f t="shared" ref="D130:F130" si="66">D116+D126</f>
        <v>2313667.7912306725</v>
      </c>
      <c r="E130" s="255">
        <f t="shared" si="66"/>
        <v>2417727.5806615721</v>
      </c>
      <c r="F130" s="255">
        <f t="shared" si="66"/>
        <v>2531034.2995487233</v>
      </c>
      <c r="G130" s="20"/>
      <c r="H130" s="20"/>
      <c r="I130" s="20"/>
    </row>
    <row r="131" spans="1:9" x14ac:dyDescent="0.3">
      <c r="A131" s="547" t="s">
        <v>188</v>
      </c>
      <c r="B131" s="547" t="s">
        <v>180</v>
      </c>
      <c r="C131" s="269">
        <f>C129-C130</f>
        <v>582422.41178571433</v>
      </c>
      <c r="D131" s="390">
        <f t="shared" ref="D131:F131" si="67">D129-D130</f>
        <v>1075214.7585306722</v>
      </c>
      <c r="E131" s="390">
        <f t="shared" si="67"/>
        <v>1039675.4738549995</v>
      </c>
      <c r="F131" s="390">
        <f t="shared" si="67"/>
        <v>1001648.2409084653</v>
      </c>
      <c r="G131" s="20"/>
      <c r="H131" s="20"/>
      <c r="I131" s="20"/>
    </row>
    <row r="132" spans="1:9" x14ac:dyDescent="0.3">
      <c r="A132" s="4">
        <v>13</v>
      </c>
      <c r="B132" s="31" t="s">
        <v>344</v>
      </c>
      <c r="C132" s="199">
        <f>C106*0.01</f>
        <v>28025.377200000003</v>
      </c>
      <c r="D132" s="199">
        <f t="shared" ref="D132:F132" si="68">D106*0.01</f>
        <v>33795.968777613452</v>
      </c>
      <c r="E132" s="199">
        <f t="shared" si="68"/>
        <v>34471.888153165717</v>
      </c>
      <c r="F132" s="199">
        <f t="shared" si="68"/>
        <v>35214.468773371882</v>
      </c>
      <c r="G132" s="20"/>
      <c r="H132" s="20"/>
      <c r="I132" s="20"/>
    </row>
    <row r="133" spans="1:9" x14ac:dyDescent="0.3">
      <c r="A133" s="547" t="s">
        <v>186</v>
      </c>
      <c r="B133" s="547"/>
      <c r="C133" s="269">
        <f>C131-C132</f>
        <v>554397.03458571434</v>
      </c>
      <c r="D133" s="390">
        <f t="shared" ref="D133:F133" si="69">D131-D132</f>
        <v>1041418.7897530587</v>
      </c>
      <c r="E133" s="390">
        <f t="shared" si="69"/>
        <v>1005203.5857018338</v>
      </c>
      <c r="F133" s="390">
        <f t="shared" si="69"/>
        <v>966433.77213509346</v>
      </c>
      <c r="G133" s="20"/>
      <c r="H133" s="20"/>
      <c r="I133" s="20"/>
    </row>
    <row r="134" spans="1:9" ht="24" x14ac:dyDescent="0.3">
      <c r="B134" s="233" t="s">
        <v>273</v>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I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I102"/>
    <mergeCell ref="A103:A104"/>
    <mergeCell ref="B103:B104"/>
    <mergeCell ref="A93:B93"/>
    <mergeCell ref="A94:B94"/>
    <mergeCell ref="A96:B96"/>
    <mergeCell ref="A97:B97"/>
    <mergeCell ref="A98:B98"/>
    <mergeCell ref="A86:B86"/>
    <mergeCell ref="A87:B87"/>
    <mergeCell ref="A88:B88"/>
    <mergeCell ref="A92:B92"/>
    <mergeCell ref="A95:F95"/>
  </mergeCells>
  <phoneticPr fontId="51" type="noConversion"/>
  <dataValidations count="1">
    <dataValidation errorStyle="information" allowBlank="1" showInputMessage="1" showErrorMessage="1" sqref="HI10:HJ13 RE10:RF13 ABA10:ABB13 AKW10:AKX13 AUS10:AUT13 BEO10:BEP13 BOK10:BOL13 BYG10:BYH13 CIC10:CID13 CRY10:CRZ13 DBU10:DBV13 DLQ10:DLR13 DVM10:DVN13 EFI10:EFJ13 EPE10:EPF13 EZA10:EZB13 FIW10:FIX13 FSS10:FST13 GCO10:GCP13 GMK10:GML13 GWG10:GWH13 HGC10:HGD13 HPY10:HPZ13 HZU10:HZV13 IJQ10:IJR13 ITM10:ITN13 JDI10:JDJ13 JNE10:JNF13 JXA10:JXB13 KGW10:KGX13 KQS10:KQT13 LAO10:LAP13 LKK10:LKL13 LUG10:LUH13 MEC10:MED13 MNY10:MNZ13 MXU10:MXV13 NHQ10:NHR13 NRM10:NRN13 OBI10:OBJ13 OLE10:OLF13 OVA10:OVB13 PEW10:PEX13 POS10:POT13 PYO10:PYP13 QIK10:QIL13 QSG10:QSH13 RCC10:RCD13 RLY10:RLZ13 RVU10:RVV13 SFQ10:SFR13 SPM10:SPN13 SZI10:SZJ13 TJE10:TJF13 TTA10:TTB13 UCW10:UCX13 UMS10:UMT13 UWO10:UWP13 VGK10:VGL13 VQG10:VQH13 WAC10:WAD13 WJY10:WJZ13 WTU10:WTV13 HI8:HJ8 HH96:HJ96 RD96:RF96 AAZ96:ABB96 AKV96:AKX96 AUR96:AUT96 BEN96:BEP96 BOJ96:BOL96 BYF96:BYH96 CIB96:CID96 CRX96:CRZ96 DBT96:DBV96 DLP96:DLR96 DVL96:DVN96 EFH96:EFJ96 EPD96:EPF96 EYZ96:EZB96 FIV96:FIX96 FSR96:FST96 GCN96:GCP96 GMJ96:GML96 GWF96:GWH96 HGB96:HGD96 HPX96:HPZ96 HZT96:HZV96 IJP96:IJR96 ITL96:ITN96 JDH96:JDJ96 JND96:JNF96 JWZ96:JXB96 KGV96:KGX96 KQR96:KQT96 LAN96:LAP96 LKJ96:LKL96 LUF96:LUH96 MEB96:MED96 MNX96:MNZ96 MXT96:MXV96 NHP96:NHR96 NRL96:NRN96 OBH96:OBJ96 OLD96:OLF96 OUZ96:OVB96 PEV96:PEX96 POR96:POT96 PYN96:PYP96 QIJ96:QIL96 QSF96:QSH96 RCB96:RCD96 RLX96:RLZ96 RVT96:RVV96 SFP96:SFR96 SPL96:SPN96 SZH96:SZJ96 TJD96:TJF96 TSZ96:TTB96 UCV96:UCX96 UMR96:UMT96 UWN96:UWP96 VGJ96:VGL96 VQF96:VQH96 WAB96:WAD96 WJX96:WJZ96 WTT96:WTV96 HI72:HJ74 RE72:RF74 ABA72:ABB74 AKW72:AKX74 AUS72:AUT74 BEO72:BEP74 BOK72:BOL74 BYG72:BYH74 CIC72:CID74 CRY72:CRZ74 DBU72:DBV74 DLQ72:DLR74 DVM72:DVN74 EFI72:EFJ74 EPE72:EPF74 EZA72:EZB74 FIW72:FIX74 FSS72:FST74 GCO72:GCP74 GMK72:GML74 GWG72:GWH74 HGC72:HGD74 HPY72:HPZ74 HZU72:HZV74 IJQ72:IJR74 ITM72:ITN74 JDI72:JDJ74 JNE72:JNF74 JXA72:JXB74 KGW72:KGX74 KQS72:KQT74 LAO72:LAP74 LKK72:LKL74 LUG72:LUH74 MEC72:MED74 MNY72:MNZ74 MXU72:MXV74 NHQ72:NHR74 NRM72:NRN74 OBI72:OBJ74 OLE72:OLF74 OVA72:OVB74 PEW72:PEX74 POS72:POT74 PYO72:PYP74 QIK72:QIL74 QSG72:QSH74 RCC72:RCD74 RLY72:RLZ74 RVU72:RVV74 SFQ72:SFR74 SPM72:SPN74 SZI72:SZJ74 TJE72:TJF74 TTA72:TTB74 UCW72:UCX74 UMS72:UMT74 UWO72:UWP74 VGK72:VGL74 VQG72:VQH74 WAC72:WAD74 WJY72:WJZ74 WTU72:WTV74 HI28:HJ30 RE28:RF30 ABA28:ABB30 AKW28:AKX30 AUS28:AUT30 BEO28:BEP30 BOK28:BOL30 BYG28:BYH30 CIC28:CID30 CRY28:CRZ30 DBU28:DBV30 DLQ28:DLR30 DVM28:DVN30 EFI28:EFJ30 EPE28:EPF30 EZA28:EZB30 FIW28:FIX30 FSS28:FST30 GCO28:GCP30 GMK28:GML30 GWG28:GWH30 HGC28:HGD30 HPY28:HPZ30 HZU28:HZV30 IJQ28:IJR30 ITM28:ITN30 JDI28:JDJ30 JNE28:JNF30 JXA28:JXB30 KGW28:KGX30 KQS28:KQT30 LAO28:LAP30 LKK28:LKL30 LUG28:LUH30 MEC28:MED30 MNY28:MNZ30 MXU28:MXV30 NHQ28:NHR30 NRM28:NRN30 OBI28:OBJ30 OLE28:OLF30 OVA28:OVB30 PEW28:PEX30 POS28:POT30 PYO28:PYP30 QIK28:QIL30 QSG28:QSH30 RCC28:RCD30 RLY28:RLZ30 RVU28:RVV30 SFQ28:SFR30 SPM28:SPN30 SZI28:SZJ30 TJE28:TJF30 TTA28:TTB30 UCW28:UCX30 UMS28:UMT30 UWO28:UWP30 VGK28:VGL30 VQG28:VQH30 WAC28:WAD30 WJY28:WJZ30 WTU28:WTV30 WTU25:WTV25 WTU8:WTV8 WJY25:WJZ25 WJY8:WJZ8 WAC25:WAD25 WAC8:WAD8 VQG25:VQH25 VQG8:VQH8 VGK25:VGL25 VGK8:VGL8 UWO25:UWP25 UWO8:UWP8 UMS25:UMT25 UMS8:UMT8 UCW25:UCX25 UCW8:UCX8 TTA25:TTB25 TTA8:TTB8 TJE25:TJF25 TJE8:TJF8 SZI25:SZJ25 SZI8:SZJ8 SPM25:SPN25 SPM8:SPN8 SFQ25:SFR25 SFQ8:SFR8 RVU25:RVV25 RVU8:RVV8 RLY25:RLZ25 RLY8:RLZ8 RCC25:RCD25 RCC8:RCD8 QSG25:QSH25 QSG8:QSH8 QIK25:QIL25 QIK8:QIL8 PYO25:PYP25 PYO8:PYP8 POS25:POT25 POS8:POT8 PEW25:PEX25 PEW8:PEX8 OVA25:OVB25 OVA8:OVB8 OLE25:OLF25 OLE8:OLF8 OBI25:OBJ25 OBI8:OBJ8 NRM25:NRN25 NRM8:NRN8 NHQ25:NHR25 NHQ8:NHR8 MXU25:MXV25 MXU8:MXV8 MNY25:MNZ25 MNY8:MNZ8 MEC25:MED25 MEC8:MED8 LUG25:LUH25 LUG8:LUH8 LKK25:LKL25 LKK8:LKL8 LAO25:LAP25 LAO8:LAP8 KQS25:KQT25 KQS8:KQT8 KGW25:KGX25 KGW8:KGX8 JXA25:JXB25 JXA8:JXB8 JNE25:JNF25 JNE8:JNF8 JDI25:JDJ25 JDI8:JDJ8 ITM25:ITN25 ITM8:ITN8 IJQ25:IJR25 IJQ8:IJR8 HZU25:HZV25 HZU8:HZV8 HPY25:HPZ25 HPY8:HPZ8 HGC25:HGD25 HGC8:HGD8 GWG25:GWH25 GWG8:GWH8 GMK25:GML25 GMK8:GML8 GCO25:GCP25 GCO8:GCP8 FSS25:FST25 FSS8:FST8 FIW25:FIX25 FIW8:FIX8 EZA25:EZB25 EZA8:EZB8 EPE25:EPF25 EPE8:EPF8 EFI25:EFJ25 EFI8:EFJ8 DVM25:DVN25 DVM8:DVN8 DLQ25:DLR25 DLQ8:DLR8 DBU25:DBV25 DBU8:DBV8 CRY25:CRZ25 CRY8:CRZ8 CIC25:CID25 CIC8:CID8 BYG25:BYH25 BYG8:BYH8 BOK25:BOL25 BOK8:BOL8 BEO25:BEP25 BEO8:BEP8 AUS25:AUT25 AUS8:AUT8 AKW25:AKX25 AKW8:AKX8 ABA25:ABB25 ABA8:ABB8 RE25:RF25 RE8:RF8 HI25:HJ25 HH20:HJ20 HH91:HJ94 RD20:RF20 RD91:RF94 AAZ20:ABB20 AAZ91:ABB94 AKV20:AKX20 AKV91:AKX94 AUR20:AUT20 AUR91:AUT94 BEN20:BEP20 BEN91:BEP94 BOJ20:BOL20 BOJ91:BOL94 BYF20:BYH20 BYF91:BYH94 CIB20:CID20 CIB91:CID94 CRX20:CRZ20 CRX91:CRZ94 DBT20:DBV20 DBT91:DBV94 DLP20:DLR20 DLP91:DLR94 DVL20:DVN20 DVL91:DVN94 EFH20:EFJ20 EFH91:EFJ94 EPD20:EPF20 EPD91:EPF94 EYZ20:EZB20 EYZ91:EZB94 FIV20:FIX20 FIV91:FIX94 FSR20:FST20 FSR91:FST94 GCN20:GCP20 GCN91:GCP94 GMJ20:GML20 GMJ91:GML94 GWF20:GWH20 GWF91:GWH94 HGB20:HGD20 HGB91:HGD94 HPX20:HPZ20 HPX91:HPZ94 HZT20:HZV20 HZT91:HZV94 IJP20:IJR20 IJP91:IJR94 ITL20:ITN20 ITL91:ITN94 JDH20:JDJ20 JDH91:JDJ94 JND20:JNF20 JND91:JNF94 JWZ20:JXB20 JWZ91:JXB94 KGV20:KGX20 KGV91:KGX94 KQR20:KQT20 KQR91:KQT94 LAN20:LAP20 LAN91:LAP94 LKJ20:LKL20 LKJ91:LKL94 LUF20:LUH20 LUF91:LUH94 MEB20:MED20 MEB91:MED94 MNX20:MNZ20 MNX91:MNZ94 MXT20:MXV20 MXT91:MXV94 NHP20:NHR20 NHP91:NHR94 NRL20:NRN20 NRL91:NRN94 OBH20:OBJ20 OBH91:OBJ94 OLD20:OLF20 OLD91:OLF94 OUZ20:OVB20 OUZ91:OVB94 PEV20:PEX20 PEV91:PEX94 POR20:POT20 POR91:POT94 PYN20:PYP20 PYN91:PYP94 QIJ20:QIL20 QIJ91:QIL94 QSF20:QSH20 QSF91:QSH94 RCB20:RCD20 RCB91:RCD94 RLX20:RLZ20 RLX91:RLZ94 RVT20:RVV20 RVT91:RVV94 SFP20:SFR20 SFP91:SFR94 SPL20:SPN20 SPL91:SPN94 SZH20:SZJ20 SZH91:SZJ94 TJD20:TJF20 TJD91:TJF94 TSZ20:TTB20 TSZ91:TTB94 UCV20:UCX20 UCV91:UCX94 UMR20:UMT20 UMR91:UMT94 UWN20:UWP20 UWN91:UWP94 VGJ20:VGL20 VGJ91:VGL94 VQF20:VQH20 VQF91:VQH94 WAB20:WAD20 WAB91:WAD94 WJX20:WJZ20 WJX91:WJZ94 WTT20:WTV20 WTT91:WTV94 C20:F20 C80:F81 C87:F87 WTT80:WTV87 C96:F96 WJX80:WJZ87 WAB80:WAD87 VQF80:VQH87 VGJ80:VGL87 UWN80:UWP87 UMR80:UMT87 UCV80:UCX87 TSZ80:TTB87 TJD80:TJF87 SZH80:SZJ87 SPL80:SPN87 SFP80:SFR87 RVT80:RVV87 RLX80:RLZ87 RCB80:RCD87 QSF80:QSH87 QIJ80:QIL87 PYN80:PYP87 POR80:POT87 PEV80:PEX87 OUZ80:OVB87 OLD80:OLF87 OBH80:OBJ87 NRL80:NRN87 NHP80:NHR87 MXT80:MXV87 MNX80:MNZ87 MEB80:MED87 LUF80:LUH87 LKJ80:LKL87 LAN80:LAP87 KQR80:KQT87 KGV80:KGX87 JWZ80:JXB87 JND80:JNF87 JDH80:JDJ87 ITL80:ITN87 IJP80:IJR87 HZT80:HZV87 HPX80:HPZ87 HGB80:HGD87 GWF80:GWH87 GMJ80:GML87 GCN80:GCP87 FSR80:FST87 FIV80:FIX87 EYZ80:EZB87 EPD80:EPF87 EFH80:EFJ87 DVL80:DVN87 DLP80:DLR87 DBT80:DBV87 CRX80:CRZ87 CIB80:CID87 BYF80:BYH87 BOJ80:BOL87 BEN80:BEP87 AUR80:AUT87 AKV80:AKX87 AAZ80:ABB87 RD80:RF87 HH80:HJ87 C92:F94" xr:uid="{00000000-0002-0000-0A00-000000000000}"/>
  </dataValidations>
  <pageMargins left="0.45833333333333331" right="0.45833333333333331" top="0.74803149606299213" bottom="0.74803149606299213" header="0.31496062992125984" footer="0.31496062992125984"/>
  <pageSetup paperSize="9" fitToHeight="0" orientation="landscape" blackAndWhite="1" horizontalDpi="300" verticalDpi="300" r:id="rId1"/>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abSelected="1" topLeftCell="A43" workbookViewId="0">
      <selection activeCell="C49" sqref="C49"/>
    </sheetView>
  </sheetViews>
  <sheetFormatPr defaultColWidth="9.109375" defaultRowHeight="13.8" x14ac:dyDescent="0.3"/>
  <cols>
    <col min="1" max="1" width="64.5546875" style="61" customWidth="1"/>
    <col min="2" max="4" width="12.88671875" style="44" customWidth="1"/>
    <col min="5" max="16384" width="9.109375" style="22"/>
  </cols>
  <sheetData>
    <row r="1" spans="1:4" s="65" customFormat="1" ht="14.4" x14ac:dyDescent="0.3">
      <c r="A1" s="38" t="s">
        <v>456</v>
      </c>
      <c r="B1" s="39"/>
      <c r="C1" s="39"/>
      <c r="D1" s="39"/>
    </row>
    <row r="2" spans="1:4" s="65" customFormat="1" x14ac:dyDescent="0.3">
      <c r="A2" s="42"/>
      <c r="B2" s="39"/>
      <c r="C2" s="39"/>
      <c r="D2" s="39"/>
    </row>
    <row r="3" spans="1:4" s="65" customFormat="1" ht="38.25" customHeight="1" x14ac:dyDescent="0.3">
      <c r="A3" s="435" t="s">
        <v>553</v>
      </c>
      <c r="B3" s="435"/>
      <c r="C3" s="435"/>
      <c r="D3" s="435"/>
    </row>
    <row r="4" spans="1:4" s="65" customFormat="1" x14ac:dyDescent="0.3">
      <c r="A4" s="63"/>
      <c r="B4" s="63"/>
      <c r="C4" s="63"/>
      <c r="D4" s="63"/>
    </row>
    <row r="5" spans="1:4" s="67" customFormat="1" x14ac:dyDescent="0.3">
      <c r="A5" s="43"/>
      <c r="B5" s="422">
        <f>'1A-Bilant'!B5</f>
        <v>2018</v>
      </c>
      <c r="C5" s="422">
        <f>'1A-Bilant'!C5</f>
        <v>2019</v>
      </c>
      <c r="D5" s="365" t="str">
        <f>'1A-Bilant'!D5</f>
        <v>AN</v>
      </c>
    </row>
    <row r="6" spans="1:4" x14ac:dyDescent="0.3">
      <c r="A6" s="420" t="s">
        <v>51</v>
      </c>
      <c r="B6" s="412">
        <v>1856597</v>
      </c>
      <c r="C6" s="412">
        <v>2747586</v>
      </c>
      <c r="D6" s="421"/>
    </row>
    <row r="7" spans="1:4" x14ac:dyDescent="0.3">
      <c r="A7" s="106" t="s">
        <v>542</v>
      </c>
      <c r="B7" s="423">
        <v>0</v>
      </c>
      <c r="C7" s="423">
        <v>0</v>
      </c>
      <c r="D7" s="69">
        <v>0</v>
      </c>
    </row>
    <row r="8" spans="1:4" x14ac:dyDescent="0.3">
      <c r="A8" s="106" t="s">
        <v>543</v>
      </c>
      <c r="B8" s="69">
        <v>0</v>
      </c>
      <c r="C8" s="69">
        <v>0</v>
      </c>
      <c r="D8" s="69">
        <v>0</v>
      </c>
    </row>
    <row r="9" spans="1:4" x14ac:dyDescent="0.3">
      <c r="A9" s="106" t="s">
        <v>544</v>
      </c>
      <c r="B9" s="69">
        <v>0</v>
      </c>
      <c r="C9" s="69">
        <v>0</v>
      </c>
      <c r="D9" s="69">
        <v>0</v>
      </c>
    </row>
    <row r="10" spans="1:4" x14ac:dyDescent="0.3">
      <c r="A10" s="106" t="s">
        <v>545</v>
      </c>
      <c r="B10" s="69">
        <v>0</v>
      </c>
      <c r="C10" s="69">
        <v>0</v>
      </c>
      <c r="D10" s="69">
        <v>0</v>
      </c>
    </row>
    <row r="11" spans="1:4" x14ac:dyDescent="0.3">
      <c r="A11" s="106" t="s">
        <v>546</v>
      </c>
      <c r="B11" s="424">
        <v>0</v>
      </c>
      <c r="C11" s="424">
        <v>0</v>
      </c>
      <c r="D11" s="69">
        <v>0</v>
      </c>
    </row>
    <row r="12" spans="1:4" x14ac:dyDescent="0.3">
      <c r="A12" s="420" t="s">
        <v>76</v>
      </c>
      <c r="B12" s="412">
        <v>2064</v>
      </c>
      <c r="C12" s="412">
        <v>169343</v>
      </c>
      <c r="D12" s="421">
        <v>0</v>
      </c>
    </row>
    <row r="13" spans="1:4" s="67" customFormat="1" x14ac:dyDescent="0.3">
      <c r="A13" s="43" t="s">
        <v>77</v>
      </c>
      <c r="B13" s="426">
        <f>SUM(B6:B12)</f>
        <v>1858661</v>
      </c>
      <c r="C13" s="426">
        <f>SUM(C6:C12)</f>
        <v>2916929</v>
      </c>
      <c r="D13" s="57">
        <f>SUM(D6:D12)</f>
        <v>0</v>
      </c>
    </row>
    <row r="14" spans="1:4" s="67" customFormat="1" x14ac:dyDescent="0.3">
      <c r="A14" s="420" t="s">
        <v>78</v>
      </c>
      <c r="B14" s="427">
        <v>572438</v>
      </c>
      <c r="C14" s="427">
        <v>831028</v>
      </c>
      <c r="D14" s="421"/>
    </row>
    <row r="15" spans="1:4" s="67" customFormat="1" x14ac:dyDescent="0.3">
      <c r="A15" s="420" t="s">
        <v>254</v>
      </c>
      <c r="B15" s="427">
        <v>59145</v>
      </c>
      <c r="C15" s="427">
        <v>67175</v>
      </c>
      <c r="D15" s="421"/>
    </row>
    <row r="16" spans="1:4" s="67" customFormat="1" x14ac:dyDescent="0.3">
      <c r="A16" s="420" t="s">
        <v>79</v>
      </c>
      <c r="B16" s="412">
        <v>21471</v>
      </c>
      <c r="C16" s="412">
        <v>35334</v>
      </c>
      <c r="D16" s="421">
        <v>0</v>
      </c>
    </row>
    <row r="17" spans="1:4" s="67" customFormat="1" x14ac:dyDescent="0.3">
      <c r="A17" s="106" t="s">
        <v>80</v>
      </c>
      <c r="B17" s="423">
        <v>0</v>
      </c>
      <c r="C17" s="423">
        <v>0</v>
      </c>
      <c r="D17" s="69">
        <v>0</v>
      </c>
    </row>
    <row r="18" spans="1:4" s="67" customFormat="1" x14ac:dyDescent="0.3">
      <c r="A18" s="106" t="s">
        <v>547</v>
      </c>
      <c r="B18" s="424">
        <v>0</v>
      </c>
      <c r="C18" s="424">
        <v>0</v>
      </c>
      <c r="D18" s="69">
        <v>0</v>
      </c>
    </row>
    <row r="19" spans="1:4" s="67" customFormat="1" x14ac:dyDescent="0.3">
      <c r="A19" s="428" t="s">
        <v>81</v>
      </c>
      <c r="B19" s="427">
        <v>353172</v>
      </c>
      <c r="C19" s="427">
        <v>457665</v>
      </c>
      <c r="D19" s="421"/>
    </row>
    <row r="20" spans="1:4" s="67" customFormat="1" x14ac:dyDescent="0.3">
      <c r="A20" s="420" t="s">
        <v>82</v>
      </c>
      <c r="B20" s="412">
        <v>93542</v>
      </c>
      <c r="C20" s="412">
        <v>136221</v>
      </c>
      <c r="D20" s="421"/>
    </row>
    <row r="21" spans="1:4" s="67" customFormat="1" x14ac:dyDescent="0.3">
      <c r="A21" s="173" t="s">
        <v>83</v>
      </c>
      <c r="B21" s="429">
        <v>0</v>
      </c>
      <c r="C21" s="429">
        <v>0</v>
      </c>
      <c r="D21" s="69">
        <v>0</v>
      </c>
    </row>
    <row r="22" spans="1:4" s="67" customFormat="1" x14ac:dyDescent="0.3">
      <c r="A22" s="428" t="s">
        <v>84</v>
      </c>
      <c r="B22" s="412">
        <v>382854</v>
      </c>
      <c r="C22" s="412">
        <v>778732</v>
      </c>
      <c r="D22" s="421"/>
    </row>
    <row r="23" spans="1:4" s="67" customFormat="1" x14ac:dyDescent="0.3">
      <c r="A23" s="173" t="s">
        <v>551</v>
      </c>
      <c r="B23" s="423">
        <v>0</v>
      </c>
      <c r="C23" s="423">
        <v>0</v>
      </c>
      <c r="D23" s="69">
        <v>0</v>
      </c>
    </row>
    <row r="24" spans="1:4" s="67" customFormat="1" x14ac:dyDescent="0.3">
      <c r="A24" s="43" t="s">
        <v>85</v>
      </c>
      <c r="B24" s="57">
        <f>B14+B15+B16+B17-B18+B19+B20+B21+B22+B23</f>
        <v>1482622</v>
      </c>
      <c r="C24" s="57">
        <f t="shared" ref="C24:D24" si="0">C14+C15+C16+C17-C18+C19+C20+C21+C22+C23</f>
        <v>2306155</v>
      </c>
      <c r="D24" s="57">
        <f t="shared" si="0"/>
        <v>0</v>
      </c>
    </row>
    <row r="25" spans="1:4" s="67" customFormat="1" x14ac:dyDescent="0.3">
      <c r="A25" s="43" t="s">
        <v>52</v>
      </c>
      <c r="B25" s="57">
        <f>B13-B24</f>
        <v>376039</v>
      </c>
      <c r="C25" s="57">
        <f>C13-C24</f>
        <v>610774</v>
      </c>
      <c r="D25" s="57">
        <f>D13-D24</f>
        <v>0</v>
      </c>
    </row>
    <row r="26" spans="1:4" s="71" customFormat="1" x14ac:dyDescent="0.3">
      <c r="A26" s="106" t="s">
        <v>53</v>
      </c>
      <c r="B26" s="70">
        <f>IF(B13-B24&gt;0,B13-B24,"")</f>
        <v>376039</v>
      </c>
      <c r="C26" s="70">
        <f>IF(C13-C24&gt;0,C13-C24,"")</f>
        <v>610774</v>
      </c>
      <c r="D26" s="70" t="str">
        <f t="shared" ref="D26" si="1">IF(D13-D24&gt;0,D13-D24,"")</f>
        <v/>
      </c>
    </row>
    <row r="27" spans="1:4" s="71" customFormat="1" x14ac:dyDescent="0.3">
      <c r="A27" s="106" t="s">
        <v>54</v>
      </c>
      <c r="B27" s="70" t="str">
        <f>IF(B13-B24&lt;0,-B13+B24,"")</f>
        <v/>
      </c>
      <c r="C27" s="70" t="str">
        <f t="shared" ref="C27:D27" si="2">IF(C13-C24&lt;0,-C13+C24,"")</f>
        <v/>
      </c>
      <c r="D27" s="70" t="str">
        <f t="shared" si="2"/>
        <v/>
      </c>
    </row>
    <row r="28" spans="1:4" s="71" customFormat="1" x14ac:dyDescent="0.3">
      <c r="A28" s="106" t="s">
        <v>256</v>
      </c>
      <c r="B28" s="69">
        <v>0</v>
      </c>
      <c r="C28" s="69">
        <v>0</v>
      </c>
      <c r="D28" s="69">
        <v>0</v>
      </c>
    </row>
    <row r="29" spans="1:4" s="71" customFormat="1" x14ac:dyDescent="0.3">
      <c r="A29" s="106" t="s">
        <v>536</v>
      </c>
      <c r="B29" s="69">
        <v>0</v>
      </c>
      <c r="C29" s="69"/>
      <c r="D29" s="69"/>
    </row>
    <row r="30" spans="1:4" s="71" customFormat="1" x14ac:dyDescent="0.3">
      <c r="A30" s="106" t="s">
        <v>535</v>
      </c>
      <c r="B30" s="69">
        <v>0</v>
      </c>
      <c r="C30" s="69">
        <v>0</v>
      </c>
      <c r="D30" s="69">
        <v>0</v>
      </c>
    </row>
    <row r="31" spans="1:4" s="71" customFormat="1" x14ac:dyDescent="0.3">
      <c r="A31" s="106" t="s">
        <v>534</v>
      </c>
      <c r="B31" s="69">
        <v>0</v>
      </c>
      <c r="C31" s="407">
        <v>8276</v>
      </c>
      <c r="D31" s="69"/>
    </row>
    <row r="32" spans="1:4" x14ac:dyDescent="0.3">
      <c r="A32" s="43" t="s">
        <v>55</v>
      </c>
      <c r="B32" s="272">
        <f>B31+B30+B29+B28</f>
        <v>0</v>
      </c>
      <c r="C32" s="272">
        <f>C31+C30+C29+C28</f>
        <v>8276</v>
      </c>
      <c r="D32" s="272">
        <f t="shared" ref="D32" si="3">D31+D30+D29+D28</f>
        <v>0</v>
      </c>
    </row>
    <row r="33" spans="1:4" ht="27.6" x14ac:dyDescent="0.3">
      <c r="A33" s="173" t="s">
        <v>86</v>
      </c>
      <c r="B33" s="424">
        <v>0</v>
      </c>
      <c r="C33" s="424">
        <v>0</v>
      </c>
      <c r="D33" s="69">
        <v>0</v>
      </c>
    </row>
    <row r="34" spans="1:4" x14ac:dyDescent="0.3">
      <c r="A34" s="428" t="s">
        <v>87</v>
      </c>
      <c r="B34" s="427">
        <v>11970</v>
      </c>
      <c r="C34" s="427">
        <v>13804</v>
      </c>
      <c r="D34" s="421"/>
    </row>
    <row r="35" spans="1:4" x14ac:dyDescent="0.3">
      <c r="A35" s="428" t="s">
        <v>88</v>
      </c>
      <c r="B35" s="412">
        <v>1631</v>
      </c>
      <c r="C35" s="412">
        <v>23718</v>
      </c>
      <c r="D35" s="421"/>
    </row>
    <row r="36" spans="1:4" s="67" customFormat="1" x14ac:dyDescent="0.3">
      <c r="A36" s="43" t="s">
        <v>56</v>
      </c>
      <c r="B36" s="425">
        <f>SUM(B33:B35)</f>
        <v>13601</v>
      </c>
      <c r="C36" s="425">
        <f t="shared" ref="C36:D36" si="4">SUM(C33:C35)</f>
        <v>37522</v>
      </c>
      <c r="D36" s="57">
        <f t="shared" si="4"/>
        <v>0</v>
      </c>
    </row>
    <row r="37" spans="1:4" s="67" customFormat="1" x14ac:dyDescent="0.3">
      <c r="A37" s="43" t="s">
        <v>57</v>
      </c>
      <c r="B37" s="57">
        <f>B32-B36</f>
        <v>-13601</v>
      </c>
      <c r="C37" s="57">
        <f>C32-C36</f>
        <v>-29246</v>
      </c>
      <c r="D37" s="57">
        <f t="shared" ref="D37" si="5">D32-D36</f>
        <v>0</v>
      </c>
    </row>
    <row r="38" spans="1:4" s="71" customFormat="1" x14ac:dyDescent="0.3">
      <c r="A38" s="106" t="s">
        <v>58</v>
      </c>
      <c r="B38" s="70" t="str">
        <f>IF(B32-B36&gt;0,B32-B36,"")</f>
        <v/>
      </c>
      <c r="C38" s="70" t="str">
        <f t="shared" ref="C38:D38" si="6">IF(C32-C36&gt;0,C32-C36,"")</f>
        <v/>
      </c>
      <c r="D38" s="70" t="str">
        <f t="shared" si="6"/>
        <v/>
      </c>
    </row>
    <row r="39" spans="1:4" s="71" customFormat="1" x14ac:dyDescent="0.3">
      <c r="A39" s="106" t="s">
        <v>59</v>
      </c>
      <c r="B39" s="70">
        <f>IF(B32-B36&lt;0,-B32+B36,"")</f>
        <v>13601</v>
      </c>
      <c r="C39" s="70">
        <f t="shared" ref="C39:D39" si="7">IF(C32-C36&lt;0,-C32+C36,"")</f>
        <v>29246</v>
      </c>
      <c r="D39" s="70" t="str">
        <f t="shared" si="7"/>
        <v/>
      </c>
    </row>
    <row r="40" spans="1:4" s="67" customFormat="1" x14ac:dyDescent="0.3">
      <c r="A40" s="43" t="s">
        <v>60</v>
      </c>
      <c r="B40" s="57">
        <f>B25+B37</f>
        <v>362438</v>
      </c>
      <c r="C40" s="57">
        <f t="shared" ref="C40:D40" si="8">C25+C37</f>
        <v>581528</v>
      </c>
      <c r="D40" s="57">
        <f t="shared" si="8"/>
        <v>0</v>
      </c>
    </row>
    <row r="41" spans="1:4" s="71" customFormat="1" x14ac:dyDescent="0.3">
      <c r="A41" s="106" t="s">
        <v>61</v>
      </c>
      <c r="B41" s="70">
        <f>IF(B25+B37&gt;0,B25+B37,"")</f>
        <v>362438</v>
      </c>
      <c r="C41" s="70">
        <f t="shared" ref="C41:D41" si="9">IF(C25+C37&gt;0,C25+C37,"")</f>
        <v>581528</v>
      </c>
      <c r="D41" s="70" t="str">
        <f t="shared" si="9"/>
        <v/>
      </c>
    </row>
    <row r="42" spans="1:4" s="71" customFormat="1" x14ac:dyDescent="0.3">
      <c r="A42" s="106" t="s">
        <v>62</v>
      </c>
      <c r="B42" s="70" t="str">
        <f>IF(B25+B37&lt;0,-B25-B37,"")</f>
        <v/>
      </c>
      <c r="C42" s="70" t="str">
        <f t="shared" ref="C42:D42" si="10">IF(C25+C37&lt;0,-C25-C37,"")</f>
        <v/>
      </c>
      <c r="D42" s="70" t="str">
        <f t="shared" si="10"/>
        <v/>
      </c>
    </row>
    <row r="43" spans="1:4" s="73" customFormat="1" x14ac:dyDescent="0.3">
      <c r="A43" s="43" t="s">
        <v>63</v>
      </c>
      <c r="B43" s="72">
        <v>0</v>
      </c>
      <c r="C43" s="72">
        <v>0</v>
      </c>
      <c r="D43" s="72">
        <v>0</v>
      </c>
    </row>
    <row r="44" spans="1:4" s="73" customFormat="1" x14ac:dyDescent="0.3">
      <c r="A44" s="43" t="s">
        <v>64</v>
      </c>
      <c r="B44" s="72">
        <v>0</v>
      </c>
      <c r="C44" s="72">
        <v>0</v>
      </c>
      <c r="D44" s="72">
        <v>0</v>
      </c>
    </row>
    <row r="45" spans="1:4" s="73" customFormat="1" x14ac:dyDescent="0.3">
      <c r="A45" s="43" t="s">
        <v>65</v>
      </c>
      <c r="B45" s="57">
        <f>B43-B44</f>
        <v>0</v>
      </c>
      <c r="C45" s="57">
        <f t="shared" ref="C45:D45" si="11">C43-C44</f>
        <v>0</v>
      </c>
      <c r="D45" s="57">
        <f t="shared" si="11"/>
        <v>0</v>
      </c>
    </row>
    <row r="46" spans="1:4" s="74" customFormat="1" x14ac:dyDescent="0.3">
      <c r="A46" s="106" t="s">
        <v>66</v>
      </c>
      <c r="B46" s="70" t="str">
        <f>IF(B43-B44&gt;0,B43-B44,"")</f>
        <v/>
      </c>
      <c r="C46" s="70" t="str">
        <f t="shared" ref="C46:D46" si="12">IF(C43-C44&gt;0,C43-C44,"")</f>
        <v/>
      </c>
      <c r="D46" s="70" t="str">
        <f t="shared" si="12"/>
        <v/>
      </c>
    </row>
    <row r="47" spans="1:4" s="74" customFormat="1" x14ac:dyDescent="0.3">
      <c r="A47" s="106" t="s">
        <v>67</v>
      </c>
      <c r="B47" s="70" t="str">
        <f>IF(B43-B44&lt;0,-B43+B44,"")</f>
        <v/>
      </c>
      <c r="C47" s="70" t="str">
        <f t="shared" ref="C47:D47" si="13">IF(C43-C44&lt;0,-C43+C44,"")</f>
        <v/>
      </c>
      <c r="D47" s="70" t="str">
        <f t="shared" si="13"/>
        <v/>
      </c>
    </row>
    <row r="48" spans="1:4" s="73" customFormat="1" x14ac:dyDescent="0.3">
      <c r="A48" s="43" t="s">
        <v>68</v>
      </c>
      <c r="B48" s="57">
        <f>B13+B32+B43</f>
        <v>1858661</v>
      </c>
      <c r="C48" s="57">
        <f t="shared" ref="C48:D48" si="14">C13+C32+C43</f>
        <v>2925205</v>
      </c>
      <c r="D48" s="57">
        <f t="shared" si="14"/>
        <v>0</v>
      </c>
    </row>
    <row r="49" spans="1:4" s="73" customFormat="1" x14ac:dyDescent="0.3">
      <c r="A49" s="43" t="s">
        <v>69</v>
      </c>
      <c r="B49" s="57">
        <f>B24+B36+B44</f>
        <v>1496223</v>
      </c>
      <c r="C49" s="57">
        <f t="shared" ref="C49:D49" si="15">C24+C36+C44</f>
        <v>2343677</v>
      </c>
      <c r="D49" s="57">
        <f t="shared" si="15"/>
        <v>0</v>
      </c>
    </row>
    <row r="50" spans="1:4" s="73" customFormat="1" x14ac:dyDescent="0.3">
      <c r="A50" s="43" t="s">
        <v>70</v>
      </c>
      <c r="B50" s="57">
        <f>B48-B49</f>
        <v>362438</v>
      </c>
      <c r="C50" s="57">
        <f t="shared" ref="C50:D50" si="16">C48-C49</f>
        <v>581528</v>
      </c>
      <c r="D50" s="57">
        <f t="shared" si="16"/>
        <v>0</v>
      </c>
    </row>
    <row r="51" spans="1:4" s="74" customFormat="1" x14ac:dyDescent="0.3">
      <c r="A51" s="106" t="s">
        <v>71</v>
      </c>
      <c r="B51" s="70">
        <f>IF(B48-B49&gt;0,B48-B49,"")</f>
        <v>362438</v>
      </c>
      <c r="C51" s="70">
        <f t="shared" ref="C51:D51" si="17">IF(C48-C49&gt;0,C48-C49,"")</f>
        <v>581528</v>
      </c>
      <c r="D51" s="70" t="str">
        <f t="shared" si="17"/>
        <v/>
      </c>
    </row>
    <row r="52" spans="1:4" s="74" customFormat="1" x14ac:dyDescent="0.3">
      <c r="A52" s="106" t="s">
        <v>72</v>
      </c>
      <c r="B52" s="70" t="str">
        <f>IF(B48-B49&lt;0,-B48+B49,"")</f>
        <v/>
      </c>
      <c r="C52" s="70" t="str">
        <f t="shared" ref="C52:D52" si="18">IF(C48-C49&lt;0,-C48+C49,"")</f>
        <v/>
      </c>
      <c r="D52" s="70" t="str">
        <f t="shared" si="18"/>
        <v/>
      </c>
    </row>
    <row r="53" spans="1:4" s="75" customFormat="1" x14ac:dyDescent="0.3">
      <c r="A53" s="106" t="s">
        <v>89</v>
      </c>
      <c r="B53" s="424">
        <v>0</v>
      </c>
      <c r="C53" s="424">
        <v>0</v>
      </c>
      <c r="D53" s="69">
        <v>0</v>
      </c>
    </row>
    <row r="54" spans="1:4" s="75" customFormat="1" x14ac:dyDescent="0.3">
      <c r="A54" s="420" t="s">
        <v>537</v>
      </c>
      <c r="B54" s="412">
        <v>18586</v>
      </c>
      <c r="C54" s="412">
        <v>28856</v>
      </c>
      <c r="D54" s="421"/>
    </row>
    <row r="55" spans="1:4" s="73" customFormat="1" x14ac:dyDescent="0.3">
      <c r="A55" s="43" t="s">
        <v>73</v>
      </c>
      <c r="B55" s="425">
        <f t="shared" ref="B55:C55" si="19">B50-B53-B54</f>
        <v>343852</v>
      </c>
      <c r="C55" s="425">
        <f t="shared" si="19"/>
        <v>552672</v>
      </c>
      <c r="D55" s="57">
        <f>D50-D53-D54</f>
        <v>0</v>
      </c>
    </row>
    <row r="56" spans="1:4" s="74" customFormat="1" x14ac:dyDescent="0.3">
      <c r="A56" s="106" t="s">
        <v>74</v>
      </c>
      <c r="B56" s="70">
        <f>IF(B55&gt;=0,B55,"")</f>
        <v>343852</v>
      </c>
      <c r="C56" s="70">
        <f t="shared" ref="C56:D56" si="20">IF(C55&gt;=0,C55,"")</f>
        <v>552672</v>
      </c>
      <c r="D56" s="70">
        <f t="shared" si="20"/>
        <v>0</v>
      </c>
    </row>
    <row r="57" spans="1:4" s="74" customFormat="1" x14ac:dyDescent="0.3">
      <c r="A57" s="106" t="s">
        <v>75</v>
      </c>
      <c r="B57" s="70" t="str">
        <f>IF(B55&lt;0,-B55,"")</f>
        <v/>
      </c>
      <c r="C57" s="70" t="str">
        <f t="shared" ref="C57:D57" si="21">IF(C55&lt;0,-C55,"")</f>
        <v/>
      </c>
      <c r="D57" s="70" t="str">
        <f t="shared" si="21"/>
        <v/>
      </c>
    </row>
    <row r="58" spans="1:4" s="75" customFormat="1" x14ac:dyDescent="0.3">
      <c r="A58" s="174"/>
      <c r="B58" s="44"/>
      <c r="C58" s="44"/>
      <c r="D58" s="44"/>
    </row>
  </sheetData>
  <mergeCells count="1">
    <mergeCell ref="A3:D3"/>
  </mergeCells>
  <pageMargins left="0.54166666666666663" right="0.46875" top="0.75" bottom="0.75" header="0.3" footer="0.3"/>
  <pageSetup paperSize="9" fitToHeight="0" orientation="portrait" blackAndWhite="1"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81" customWidth="1"/>
    <col min="2" max="4" width="9.109375" style="102" customWidth="1"/>
    <col min="5" max="5" width="2" style="81" customWidth="1"/>
    <col min="6" max="6" width="27.6640625" style="81" customWidth="1"/>
    <col min="7" max="9" width="7.5546875" style="103" customWidth="1"/>
    <col min="10" max="10" width="1.5546875" style="81" customWidth="1"/>
    <col min="11" max="11" width="27.44140625" style="81" customWidth="1"/>
    <col min="12" max="12" width="9.5546875" style="103" bestFit="1" customWidth="1"/>
    <col min="13" max="13" width="7.6640625" style="103" customWidth="1"/>
    <col min="14" max="15" width="9.109375" style="82"/>
    <col min="16" max="16" width="10.44140625" style="83" customWidth="1"/>
    <col min="17" max="17" width="9.109375" style="83"/>
    <col min="18" max="16384" width="9.109375" style="157"/>
  </cols>
  <sheetData>
    <row r="1" spans="1:17" s="156" customFormat="1" ht="14.4" x14ac:dyDescent="0.3">
      <c r="A1" s="436" t="s">
        <v>507</v>
      </c>
      <c r="B1" s="436"/>
      <c r="C1" s="436"/>
      <c r="D1" s="436"/>
      <c r="E1" s="76"/>
      <c r="F1" s="76"/>
      <c r="G1" s="77"/>
      <c r="H1" s="77"/>
      <c r="I1" s="77"/>
      <c r="J1" s="76"/>
      <c r="K1" s="76"/>
      <c r="L1" s="77"/>
      <c r="M1" s="77"/>
      <c r="N1" s="78"/>
      <c r="O1" s="78"/>
      <c r="P1" s="79"/>
      <c r="Q1" s="79"/>
    </row>
    <row r="2" spans="1:17" s="156" customFormat="1" x14ac:dyDescent="0.3">
      <c r="A2" s="170"/>
      <c r="B2" s="170"/>
      <c r="C2" s="170"/>
      <c r="D2" s="170"/>
      <c r="E2" s="76"/>
      <c r="F2" s="170"/>
      <c r="G2" s="170"/>
      <c r="H2" s="170"/>
      <c r="I2" s="170"/>
      <c r="J2" s="76"/>
      <c r="K2" s="170"/>
      <c r="L2" s="170"/>
      <c r="M2" s="170"/>
      <c r="N2" s="78"/>
      <c r="O2" s="78"/>
      <c r="P2" s="79"/>
      <c r="Q2" s="79"/>
    </row>
    <row r="3" spans="1:17" s="371" customFormat="1" ht="24" x14ac:dyDescent="0.3">
      <c r="A3" s="366" t="s">
        <v>457</v>
      </c>
      <c r="B3" s="367">
        <f>'1A-Bilant'!B5</f>
        <v>2018</v>
      </c>
      <c r="C3" s="367">
        <f>'1A-Bilant'!C5</f>
        <v>2019</v>
      </c>
      <c r="D3" s="367" t="str">
        <f>'1A-Bilant'!D5</f>
        <v>AN</v>
      </c>
      <c r="E3" s="368"/>
      <c r="F3" s="366" t="s">
        <v>459</v>
      </c>
      <c r="G3" s="367">
        <f>'1A-Bilant'!B5</f>
        <v>2018</v>
      </c>
      <c r="H3" s="367">
        <f>'1A-Bilant'!C5</f>
        <v>2019</v>
      </c>
      <c r="I3" s="367" t="str">
        <f>'1A-Bilant'!D5</f>
        <v>AN</v>
      </c>
      <c r="J3" s="368"/>
      <c r="K3" s="366" t="s">
        <v>460</v>
      </c>
      <c r="L3" s="367">
        <f>'1A-Bilant'!C5</f>
        <v>2019</v>
      </c>
      <c r="M3" s="367" t="str">
        <f>'1A-Bilant'!D5</f>
        <v>AN</v>
      </c>
      <c r="N3" s="369"/>
      <c r="O3" s="369"/>
      <c r="P3" s="370"/>
      <c r="Q3" s="370"/>
    </row>
    <row r="4" spans="1:17" s="91" customFormat="1" ht="15.6" x14ac:dyDescent="0.3">
      <c r="A4" s="80" t="s">
        <v>93</v>
      </c>
      <c r="B4" s="85">
        <f>'1A-Bilant'!B18</f>
        <v>345404</v>
      </c>
      <c r="C4" s="85">
        <f>'1A-Bilant'!C18</f>
        <v>925164</v>
      </c>
      <c r="D4" s="85">
        <f>'1A-Bilant'!D18</f>
        <v>0</v>
      </c>
      <c r="E4" s="86"/>
      <c r="F4" s="80" t="s">
        <v>93</v>
      </c>
      <c r="G4" s="88">
        <f>IFERROR(B4/B$21,"")</f>
        <v>0.44081315940941418</v>
      </c>
      <c r="H4" s="88">
        <f t="shared" ref="H4:I4" si="0">IFERROR(C4/C$21,"")</f>
        <v>0.62896577605037363</v>
      </c>
      <c r="I4" s="88" t="str">
        <f t="shared" si="0"/>
        <v/>
      </c>
      <c r="J4" s="86"/>
      <c r="K4" s="80" t="s">
        <v>93</v>
      </c>
      <c r="L4" s="88">
        <f>IFERROR((C4-B4)/B4,"")</f>
        <v>1.6784982223714837</v>
      </c>
      <c r="M4" s="88">
        <f>IFERROR((D4-C4)/C4,"")</f>
        <v>-1</v>
      </c>
      <c r="N4" s="89"/>
      <c r="O4" s="89"/>
      <c r="P4" s="90"/>
      <c r="Q4" s="90"/>
    </row>
    <row r="5" spans="1:17" s="91" customFormat="1" ht="15.6" x14ac:dyDescent="0.3">
      <c r="A5" s="80" t="s">
        <v>94</v>
      </c>
      <c r="B5" s="85">
        <f>SUM(B6:B9)</f>
        <v>438157</v>
      </c>
      <c r="C5" s="85">
        <f t="shared" ref="C5:D5" si="1">SUM(C6:C9)</f>
        <v>545765</v>
      </c>
      <c r="D5" s="85">
        <f t="shared" si="1"/>
        <v>0</v>
      </c>
      <c r="E5" s="86"/>
      <c r="F5" s="80" t="s">
        <v>94</v>
      </c>
      <c r="G5" s="88">
        <f t="shared" ref="G5:G22" si="2">IFERROR(B5/B$21,"")</f>
        <v>0.55918684059058577</v>
      </c>
      <c r="H5" s="88">
        <f t="shared" ref="H5:H22" si="3">IFERROR(C5/C$21,"")</f>
        <v>0.37103422394962637</v>
      </c>
      <c r="I5" s="88" t="str">
        <f t="shared" ref="I5:I22" si="4">IFERROR(D5/D$21,"")</f>
        <v/>
      </c>
      <c r="J5" s="86"/>
      <c r="K5" s="80" t="s">
        <v>94</v>
      </c>
      <c r="L5" s="88">
        <f t="shared" ref="L5:L22" si="5">IFERROR((C5-B5)/B5,"")</f>
        <v>0.24559233334170172</v>
      </c>
      <c r="M5" s="88">
        <f t="shared" ref="M5:M22" si="6">IFERROR((D5-C5)/C5,"")</f>
        <v>-1</v>
      </c>
      <c r="N5" s="89"/>
      <c r="O5" s="89"/>
      <c r="P5" s="90"/>
      <c r="Q5" s="90"/>
    </row>
    <row r="6" spans="1:17" s="91" customFormat="1" ht="15.6" x14ac:dyDescent="0.3">
      <c r="A6" s="92" t="s">
        <v>92</v>
      </c>
      <c r="B6" s="93">
        <f>'1A-Bilant'!B25</f>
        <v>17457</v>
      </c>
      <c r="C6" s="93">
        <f>'1A-Bilant'!C25</f>
        <v>60555</v>
      </c>
      <c r="D6" s="93">
        <f>'1A-Bilant'!D25</f>
        <v>0</v>
      </c>
      <c r="E6" s="86"/>
      <c r="F6" s="92" t="s">
        <v>92</v>
      </c>
      <c r="G6" s="87">
        <f t="shared" si="2"/>
        <v>2.2279056767756437E-2</v>
      </c>
      <c r="H6" s="87">
        <f t="shared" si="3"/>
        <v>4.1167860583345629E-2</v>
      </c>
      <c r="I6" s="87" t="str">
        <f t="shared" si="4"/>
        <v/>
      </c>
      <c r="J6" s="81"/>
      <c r="K6" s="92" t="s">
        <v>92</v>
      </c>
      <c r="L6" s="87">
        <f t="shared" si="5"/>
        <v>2.4688090737240076</v>
      </c>
      <c r="M6" s="87">
        <f t="shared" si="6"/>
        <v>-1</v>
      </c>
      <c r="N6" s="82"/>
      <c r="O6" s="89"/>
      <c r="P6" s="90"/>
      <c r="Q6" s="90"/>
    </row>
    <row r="7" spans="1:17" s="91" customFormat="1" ht="15.6" x14ac:dyDescent="0.3">
      <c r="A7" s="92" t="s">
        <v>91</v>
      </c>
      <c r="B7" s="93">
        <f>'1A-Bilant'!B26</f>
        <v>46573</v>
      </c>
      <c r="C7" s="93">
        <f>'1A-Bilant'!C26</f>
        <v>45277</v>
      </c>
      <c r="D7" s="93">
        <f>'1A-Bilant'!D26</f>
        <v>0</v>
      </c>
      <c r="E7" s="86"/>
      <c r="F7" s="92" t="s">
        <v>91</v>
      </c>
      <c r="G7" s="87">
        <f t="shared" si="2"/>
        <v>5.9437618768672762E-2</v>
      </c>
      <c r="H7" s="87">
        <f t="shared" si="3"/>
        <v>3.0781227373992897E-2</v>
      </c>
      <c r="I7" s="87" t="str">
        <f t="shared" si="4"/>
        <v/>
      </c>
      <c r="J7" s="81"/>
      <c r="K7" s="92" t="s">
        <v>91</v>
      </c>
      <c r="L7" s="87">
        <f t="shared" si="5"/>
        <v>-2.7827281901530929E-2</v>
      </c>
      <c r="M7" s="87">
        <f t="shared" si="6"/>
        <v>-1</v>
      </c>
      <c r="N7" s="82"/>
      <c r="O7" s="89"/>
      <c r="P7" s="90"/>
      <c r="Q7" s="90"/>
    </row>
    <row r="8" spans="1:17" s="91" customFormat="1" ht="15" customHeight="1" x14ac:dyDescent="0.3">
      <c r="A8" s="92" t="s">
        <v>110</v>
      </c>
      <c r="B8" s="93">
        <f>'1A-Bilant'!B30</f>
        <v>1355</v>
      </c>
      <c r="C8" s="93">
        <f>'1A-Bilant'!C30</f>
        <v>2581</v>
      </c>
      <c r="D8" s="93">
        <f>'1A-Bilant'!D30</f>
        <v>0</v>
      </c>
      <c r="E8" s="86"/>
      <c r="F8" s="92" t="s">
        <v>110</v>
      </c>
      <c r="G8" s="87">
        <f t="shared" si="2"/>
        <v>1.7292846376989156E-3</v>
      </c>
      <c r="H8" s="87">
        <f t="shared" si="3"/>
        <v>1.7546734070781119E-3</v>
      </c>
      <c r="I8" s="87" t="str">
        <f t="shared" si="4"/>
        <v/>
      </c>
      <c r="J8" s="81"/>
      <c r="K8" s="92" t="s">
        <v>110</v>
      </c>
      <c r="L8" s="87">
        <f t="shared" si="5"/>
        <v>0.90479704797047966</v>
      </c>
      <c r="M8" s="87">
        <f t="shared" si="6"/>
        <v>-1</v>
      </c>
      <c r="N8" s="82"/>
      <c r="O8" s="89"/>
      <c r="P8" s="90"/>
      <c r="Q8" s="90"/>
    </row>
    <row r="9" spans="1:17" s="91" customFormat="1" ht="15.6" x14ac:dyDescent="0.3">
      <c r="A9" s="92" t="s">
        <v>90</v>
      </c>
      <c r="B9" s="93">
        <f>'1A-Bilant'!B27+'1A-Bilant'!B28</f>
        <v>372772</v>
      </c>
      <c r="C9" s="93">
        <f>'1A-Bilant'!C27+'1A-Bilant'!C28</f>
        <v>437352</v>
      </c>
      <c r="D9" s="93">
        <f>'1A-Bilant'!D27+'1A-Bilant'!D28</f>
        <v>0</v>
      </c>
      <c r="E9" s="86"/>
      <c r="F9" s="92" t="s">
        <v>90</v>
      </c>
      <c r="G9" s="87">
        <f t="shared" si="2"/>
        <v>0.47574088041645768</v>
      </c>
      <c r="H9" s="87">
        <f t="shared" si="3"/>
        <v>0.29733046258520973</v>
      </c>
      <c r="I9" s="87" t="str">
        <f t="shared" si="4"/>
        <v/>
      </c>
      <c r="J9" s="81"/>
      <c r="K9" s="92" t="s">
        <v>90</v>
      </c>
      <c r="L9" s="87">
        <f t="shared" si="5"/>
        <v>0.17324262551908406</v>
      </c>
      <c r="M9" s="87">
        <f t="shared" si="6"/>
        <v>-1</v>
      </c>
      <c r="N9" s="82"/>
      <c r="O9" s="89"/>
      <c r="P9" s="90"/>
      <c r="Q9" s="90"/>
    </row>
    <row r="10" spans="1:17" s="91" customFormat="1" ht="15.6" x14ac:dyDescent="0.3">
      <c r="A10" s="80" t="s">
        <v>95</v>
      </c>
      <c r="B10" s="85">
        <f>B4+B5</f>
        <v>783561</v>
      </c>
      <c r="C10" s="85">
        <f t="shared" ref="C10:D10" si="7">C4+C5</f>
        <v>1470929</v>
      </c>
      <c r="D10" s="85">
        <f t="shared" si="7"/>
        <v>0</v>
      </c>
      <c r="E10" s="86"/>
      <c r="F10" s="80" t="s">
        <v>95</v>
      </c>
      <c r="G10" s="88">
        <f t="shared" si="2"/>
        <v>1</v>
      </c>
      <c r="H10" s="88">
        <f t="shared" si="3"/>
        <v>1</v>
      </c>
      <c r="I10" s="88" t="str">
        <f t="shared" si="4"/>
        <v/>
      </c>
      <c r="J10" s="86"/>
      <c r="K10" s="80" t="s">
        <v>95</v>
      </c>
      <c r="L10" s="88">
        <f t="shared" si="5"/>
        <v>0.87723610542127539</v>
      </c>
      <c r="M10" s="88">
        <f t="shared" si="6"/>
        <v>-1</v>
      </c>
      <c r="N10" s="89"/>
      <c r="O10" s="89"/>
      <c r="P10" s="90"/>
      <c r="Q10" s="90"/>
    </row>
    <row r="11" spans="1:17" s="91" customFormat="1" ht="15.6" x14ac:dyDescent="0.3">
      <c r="A11" s="80" t="s">
        <v>96</v>
      </c>
      <c r="B11" s="85">
        <f>SUM(B12:B15)</f>
        <v>74016</v>
      </c>
      <c r="C11" s="85">
        <f>SUM(C12:C15)</f>
        <v>367444</v>
      </c>
      <c r="D11" s="85">
        <f t="shared" ref="D11" si="8">SUM(D12:D15)</f>
        <v>0</v>
      </c>
      <c r="E11" s="86"/>
      <c r="F11" s="80" t="s">
        <v>96</v>
      </c>
      <c r="G11" s="88">
        <f t="shared" si="2"/>
        <v>9.4461056637581503E-2</v>
      </c>
      <c r="H11" s="88">
        <f t="shared" si="3"/>
        <v>0.24980403540891505</v>
      </c>
      <c r="I11" s="88" t="str">
        <f t="shared" si="4"/>
        <v/>
      </c>
      <c r="J11" s="86"/>
      <c r="K11" s="80" t="s">
        <v>96</v>
      </c>
      <c r="L11" s="88">
        <f t="shared" si="5"/>
        <v>3.9643860786856897</v>
      </c>
      <c r="M11" s="88">
        <f t="shared" si="6"/>
        <v>-1</v>
      </c>
      <c r="N11" s="89"/>
      <c r="O11" s="89"/>
      <c r="P11" s="90"/>
      <c r="Q11" s="90"/>
    </row>
    <row r="12" spans="1:17" s="94" customFormat="1" ht="15.6" x14ac:dyDescent="0.3">
      <c r="A12" s="92" t="s">
        <v>98</v>
      </c>
      <c r="B12" s="93">
        <f>'1A-Bilant'!B34+'1A-Bilant'!B35</f>
        <v>0</v>
      </c>
      <c r="C12" s="93">
        <f>'1A-Bilant'!C34+'1A-Bilant'!C35</f>
        <v>0</v>
      </c>
      <c r="D12" s="93">
        <f>'1A-Bilant'!D34+'1A-Bilant'!D35</f>
        <v>0</v>
      </c>
      <c r="E12" s="81"/>
      <c r="F12" s="92" t="s">
        <v>98</v>
      </c>
      <c r="G12" s="87">
        <f t="shared" si="2"/>
        <v>0</v>
      </c>
      <c r="H12" s="87">
        <f t="shared" si="3"/>
        <v>0</v>
      </c>
      <c r="I12" s="87" t="str">
        <f t="shared" si="4"/>
        <v/>
      </c>
      <c r="J12" s="81"/>
      <c r="K12" s="92" t="s">
        <v>98</v>
      </c>
      <c r="L12" s="87" t="str">
        <f t="shared" si="5"/>
        <v/>
      </c>
      <c r="M12" s="87" t="str">
        <f t="shared" si="6"/>
        <v/>
      </c>
      <c r="N12" s="82"/>
      <c r="O12" s="82"/>
      <c r="P12" s="83"/>
      <c r="Q12" s="83"/>
    </row>
    <row r="13" spans="1:17" s="94" customFormat="1" ht="15.6" x14ac:dyDescent="0.3">
      <c r="A13" s="92" t="s">
        <v>23</v>
      </c>
      <c r="B13" s="93">
        <f>'1A-Bilant'!B37+'1A-Bilant'!B38</f>
        <v>29748</v>
      </c>
      <c r="C13" s="93">
        <f>'1A-Bilant'!C37+'1A-Bilant'!C38</f>
        <v>44984</v>
      </c>
      <c r="D13" s="93">
        <f>'1A-Bilant'!D37+'1A-Bilant'!D38</f>
        <v>0</v>
      </c>
      <c r="E13" s="81"/>
      <c r="F13" s="92" t="s">
        <v>23</v>
      </c>
      <c r="G13" s="87">
        <f t="shared" si="2"/>
        <v>3.7965136090234199E-2</v>
      </c>
      <c r="H13" s="87">
        <f t="shared" si="3"/>
        <v>3.0582033531190152E-2</v>
      </c>
      <c r="I13" s="87" t="str">
        <f t="shared" si="4"/>
        <v/>
      </c>
      <c r="J13" s="81"/>
      <c r="K13" s="92" t="s">
        <v>23</v>
      </c>
      <c r="L13" s="87">
        <f t="shared" si="5"/>
        <v>0.51216888530321369</v>
      </c>
      <c r="M13" s="87">
        <f t="shared" si="6"/>
        <v>-1</v>
      </c>
      <c r="N13" s="82"/>
      <c r="O13" s="82"/>
      <c r="P13" s="83"/>
      <c r="Q13" s="83"/>
    </row>
    <row r="14" spans="1:17" s="94" customFormat="1" ht="15.6" x14ac:dyDescent="0.3">
      <c r="A14" s="92" t="s">
        <v>97</v>
      </c>
      <c r="B14" s="93">
        <f>'1A-Bilant'!B36+'1A-Bilant'!B39+'1A-Bilant'!B40+'1A-Bilant'!B41</f>
        <v>44268</v>
      </c>
      <c r="C14" s="93">
        <f>'1A-Bilant'!C36+'1A-Bilant'!C39+'1A-Bilant'!C40+'1A-Bilant'!C41</f>
        <v>313053</v>
      </c>
      <c r="D14" s="93">
        <f>'1A-Bilant'!D36+'1A-Bilant'!D39+'1A-Bilant'!D40+'1A-Bilant'!D41</f>
        <v>0</v>
      </c>
      <c r="E14" s="81"/>
      <c r="F14" s="92" t="s">
        <v>97</v>
      </c>
      <c r="G14" s="87">
        <f t="shared" si="2"/>
        <v>5.6495920547347304E-2</v>
      </c>
      <c r="H14" s="87">
        <f t="shared" si="3"/>
        <v>0.21282672379156303</v>
      </c>
      <c r="I14" s="87" t="str">
        <f t="shared" si="4"/>
        <v/>
      </c>
      <c r="J14" s="81"/>
      <c r="K14" s="92" t="s">
        <v>97</v>
      </c>
      <c r="L14" s="87">
        <f t="shared" si="5"/>
        <v>6.0717674166440769</v>
      </c>
      <c r="M14" s="87">
        <f t="shared" si="6"/>
        <v>-1</v>
      </c>
      <c r="N14" s="82"/>
      <c r="O14" s="82"/>
      <c r="P14" s="83"/>
      <c r="Q14" s="83"/>
    </row>
    <row r="15" spans="1:17" s="94" customFormat="1" ht="15.6" x14ac:dyDescent="0.3">
      <c r="A15" s="92" t="s">
        <v>103</v>
      </c>
      <c r="B15" s="93">
        <f>'1A-Bilant'!B56</f>
        <v>0</v>
      </c>
      <c r="C15" s="93">
        <f>'1A-Bilant'!C56</f>
        <v>9407</v>
      </c>
      <c r="D15" s="93">
        <f>'1A-Bilant'!D56</f>
        <v>0</v>
      </c>
      <c r="E15" s="81"/>
      <c r="F15" s="92" t="s">
        <v>103</v>
      </c>
      <c r="G15" s="87">
        <f t="shared" si="2"/>
        <v>0</v>
      </c>
      <c r="H15" s="87">
        <f t="shared" si="3"/>
        <v>6.3952780861618744E-3</v>
      </c>
      <c r="I15" s="87" t="str">
        <f t="shared" si="4"/>
        <v/>
      </c>
      <c r="J15" s="81"/>
      <c r="K15" s="92" t="s">
        <v>103</v>
      </c>
      <c r="L15" s="87" t="str">
        <f t="shared" si="5"/>
        <v/>
      </c>
      <c r="M15" s="87">
        <f t="shared" si="6"/>
        <v>-1</v>
      </c>
      <c r="N15" s="82"/>
      <c r="O15" s="82"/>
      <c r="P15" s="83"/>
      <c r="Q15" s="83"/>
    </row>
    <row r="16" spans="1:17" s="91" customFormat="1" ht="15.6" x14ac:dyDescent="0.3">
      <c r="A16" s="80" t="s">
        <v>99</v>
      </c>
      <c r="B16" s="85">
        <f>SUM(B17:B19)</f>
        <v>252343</v>
      </c>
      <c r="C16" s="85">
        <f t="shared" ref="C16:D16" si="9">SUM(C17:C19)</f>
        <v>543611</v>
      </c>
      <c r="D16" s="85">
        <f t="shared" si="9"/>
        <v>0</v>
      </c>
      <c r="E16" s="86"/>
      <c r="F16" s="80" t="s">
        <v>99</v>
      </c>
      <c r="G16" s="88">
        <f t="shared" si="2"/>
        <v>0.32204640098218262</v>
      </c>
      <c r="H16" s="88">
        <f t="shared" si="3"/>
        <v>0.36956984327591613</v>
      </c>
      <c r="I16" s="88" t="str">
        <f t="shared" si="4"/>
        <v/>
      </c>
      <c r="J16" s="86"/>
      <c r="K16" s="80" t="s">
        <v>99</v>
      </c>
      <c r="L16" s="88">
        <f t="shared" si="5"/>
        <v>1.1542543284339173</v>
      </c>
      <c r="M16" s="88">
        <f t="shared" si="6"/>
        <v>-1</v>
      </c>
      <c r="N16" s="89"/>
      <c r="O16" s="89"/>
      <c r="P16" s="90"/>
      <c r="Q16" s="90"/>
    </row>
    <row r="17" spans="1:17" s="91" customFormat="1" ht="15.6" x14ac:dyDescent="0.3">
      <c r="A17" s="92" t="s">
        <v>100</v>
      </c>
      <c r="B17" s="93">
        <f>'1A-Bilant'!B46+'1A-Bilant'!B47</f>
        <v>0</v>
      </c>
      <c r="C17" s="93">
        <f>'1A-Bilant'!C46+'1A-Bilant'!C47</f>
        <v>0</v>
      </c>
      <c r="D17" s="93">
        <f>'1A-Bilant'!D46+'1A-Bilant'!D47</f>
        <v>0</v>
      </c>
      <c r="E17" s="86"/>
      <c r="F17" s="80" t="s">
        <v>100</v>
      </c>
      <c r="G17" s="88">
        <f t="shared" si="2"/>
        <v>0</v>
      </c>
      <c r="H17" s="88">
        <f t="shared" si="3"/>
        <v>0</v>
      </c>
      <c r="I17" s="88" t="str">
        <f t="shared" si="4"/>
        <v/>
      </c>
      <c r="J17" s="86"/>
      <c r="K17" s="80" t="s">
        <v>100</v>
      </c>
      <c r="L17" s="88" t="str">
        <f t="shared" si="5"/>
        <v/>
      </c>
      <c r="M17" s="88" t="str">
        <f t="shared" si="6"/>
        <v/>
      </c>
      <c r="N17" s="89"/>
      <c r="O17" s="89"/>
      <c r="P17" s="353"/>
      <c r="Q17" s="90"/>
    </row>
    <row r="18" spans="1:17" s="94" customFormat="1" ht="15.6" x14ac:dyDescent="0.3">
      <c r="A18" s="92" t="s">
        <v>101</v>
      </c>
      <c r="B18" s="93">
        <f>SUM('1A-Bilant'!B48:B53)</f>
        <v>252343</v>
      </c>
      <c r="C18" s="93">
        <f>SUM('1A-Bilant'!C48:C53)</f>
        <v>543611</v>
      </c>
      <c r="D18" s="93">
        <f>SUM('1A-Bilant'!D48:D53)</f>
        <v>0</v>
      </c>
      <c r="E18" s="81"/>
      <c r="F18" s="92" t="s">
        <v>101</v>
      </c>
      <c r="G18" s="87">
        <f t="shared" si="2"/>
        <v>0.32204640098218262</v>
      </c>
      <c r="H18" s="87">
        <f t="shared" si="3"/>
        <v>0.36956984327591613</v>
      </c>
      <c r="I18" s="87" t="str">
        <f t="shared" si="4"/>
        <v/>
      </c>
      <c r="J18" s="81"/>
      <c r="K18" s="92" t="s">
        <v>101</v>
      </c>
      <c r="L18" s="87">
        <f t="shared" si="5"/>
        <v>1.1542543284339173</v>
      </c>
      <c r="M18" s="87">
        <f t="shared" si="6"/>
        <v>-1</v>
      </c>
      <c r="N18" s="82"/>
      <c r="O18" s="82"/>
      <c r="P18" s="83"/>
      <c r="Q18" s="83"/>
    </row>
    <row r="19" spans="1:17" s="94" customFormat="1" ht="15.6" x14ac:dyDescent="0.3">
      <c r="A19" s="92" t="s">
        <v>104</v>
      </c>
      <c r="B19" s="93">
        <f>'1A-Bilant'!B55</f>
        <v>0</v>
      </c>
      <c r="C19" s="93">
        <f>'1A-Bilant'!C55</f>
        <v>0</v>
      </c>
      <c r="D19" s="93">
        <f>'1A-Bilant'!D55</f>
        <v>0</v>
      </c>
      <c r="E19" s="81"/>
      <c r="F19" s="92" t="s">
        <v>104</v>
      </c>
      <c r="G19" s="87">
        <f t="shared" si="2"/>
        <v>0</v>
      </c>
      <c r="H19" s="87">
        <f t="shared" si="3"/>
        <v>0</v>
      </c>
      <c r="I19" s="87" t="str">
        <f t="shared" si="4"/>
        <v/>
      </c>
      <c r="J19" s="81"/>
      <c r="K19" s="92" t="s">
        <v>104</v>
      </c>
      <c r="L19" s="87" t="str">
        <f t="shared" si="5"/>
        <v/>
      </c>
      <c r="M19" s="87" t="str">
        <f t="shared" si="6"/>
        <v/>
      </c>
      <c r="N19" s="82"/>
      <c r="O19" s="82"/>
      <c r="P19" s="83"/>
      <c r="Q19" s="83"/>
    </row>
    <row r="20" spans="1:17" s="91" customFormat="1" ht="15.6" x14ac:dyDescent="0.3">
      <c r="A20" s="80" t="s">
        <v>102</v>
      </c>
      <c r="B20" s="85">
        <f>'1A-Bilant'!B89</f>
        <v>457202</v>
      </c>
      <c r="C20" s="85">
        <f>'1A-Bilant'!C89</f>
        <v>559874</v>
      </c>
      <c r="D20" s="85">
        <f>'1A-Bilant'!D89</f>
        <v>0</v>
      </c>
      <c r="E20" s="86"/>
      <c r="F20" s="80" t="s">
        <v>102</v>
      </c>
      <c r="G20" s="87">
        <f t="shared" si="2"/>
        <v>0.58349254238023585</v>
      </c>
      <c r="H20" s="88">
        <f t="shared" si="3"/>
        <v>0.38062612131516887</v>
      </c>
      <c r="I20" s="88" t="str">
        <f t="shared" si="4"/>
        <v/>
      </c>
      <c r="J20" s="86"/>
      <c r="K20" s="80" t="s">
        <v>102</v>
      </c>
      <c r="L20" s="88">
        <f t="shared" si="5"/>
        <v>0.22456594678063527</v>
      </c>
      <c r="M20" s="88">
        <f t="shared" si="6"/>
        <v>-1</v>
      </c>
      <c r="N20" s="89"/>
      <c r="O20" s="89"/>
      <c r="P20" s="90"/>
      <c r="Q20" s="90"/>
    </row>
    <row r="21" spans="1:17" s="91" customFormat="1" ht="15.6" x14ac:dyDescent="0.3">
      <c r="A21" s="80" t="str">
        <f>'1A-Bilant'!A93</f>
        <v>TOTAL ACTIV</v>
      </c>
      <c r="B21" s="85">
        <f>B4+B5</f>
        <v>783561</v>
      </c>
      <c r="C21" s="85">
        <f t="shared" ref="C21" si="10">C4+C5</f>
        <v>1470929</v>
      </c>
      <c r="D21" s="85">
        <f>D4+D5</f>
        <v>0</v>
      </c>
      <c r="E21" s="86"/>
      <c r="F21" s="80" t="s">
        <v>40</v>
      </c>
      <c r="G21" s="87">
        <f t="shared" si="2"/>
        <v>1</v>
      </c>
      <c r="H21" s="88">
        <f t="shared" si="3"/>
        <v>1</v>
      </c>
      <c r="I21" s="88" t="str">
        <f t="shared" si="4"/>
        <v/>
      </c>
      <c r="J21" s="86"/>
      <c r="K21" s="80" t="s">
        <v>40</v>
      </c>
      <c r="L21" s="88">
        <f t="shared" si="5"/>
        <v>0.87723610542127539</v>
      </c>
      <c r="M21" s="88">
        <f t="shared" si="6"/>
        <v>-1</v>
      </c>
      <c r="N21" s="89"/>
      <c r="O21" s="89"/>
      <c r="P21" s="90"/>
      <c r="Q21" s="90"/>
    </row>
    <row r="22" spans="1:17" s="91" customFormat="1" ht="15.6" x14ac:dyDescent="0.3">
      <c r="A22" s="80" t="str">
        <f>'1A-Bilant'!A94</f>
        <v>TOTAL CAPITALURI SI DATORII</v>
      </c>
      <c r="B22" s="85">
        <f>B11+B16+B20</f>
        <v>783561</v>
      </c>
      <c r="C22" s="85">
        <f>C11+C16+C20</f>
        <v>1470929</v>
      </c>
      <c r="D22" s="85">
        <f>D11+D16+D20</f>
        <v>0</v>
      </c>
      <c r="E22" s="86"/>
      <c r="F22" s="80" t="s">
        <v>41</v>
      </c>
      <c r="G22" s="87">
        <f t="shared" si="2"/>
        <v>1</v>
      </c>
      <c r="H22" s="88">
        <f t="shared" si="3"/>
        <v>1</v>
      </c>
      <c r="I22" s="88" t="str">
        <f t="shared" si="4"/>
        <v/>
      </c>
      <c r="J22" s="86"/>
      <c r="K22" s="80" t="s">
        <v>41</v>
      </c>
      <c r="L22" s="88">
        <f t="shared" si="5"/>
        <v>0.87723610542127539</v>
      </c>
      <c r="M22" s="88">
        <f t="shared" si="6"/>
        <v>-1</v>
      </c>
      <c r="N22" s="89"/>
      <c r="O22" s="89"/>
      <c r="P22" s="90"/>
      <c r="Q22" s="90"/>
    </row>
    <row r="23" spans="1:17" s="91" customFormat="1" ht="15.6" x14ac:dyDescent="0.3">
      <c r="A23" s="86"/>
      <c r="B23" s="95"/>
      <c r="C23" s="95"/>
      <c r="D23" s="95"/>
      <c r="E23" s="86"/>
      <c r="F23" s="86"/>
      <c r="G23" s="96"/>
      <c r="H23" s="96"/>
      <c r="I23" s="96"/>
      <c r="J23" s="86"/>
      <c r="K23" s="86"/>
      <c r="L23" s="96"/>
      <c r="M23" s="96"/>
      <c r="N23" s="89"/>
      <c r="O23" s="89"/>
      <c r="P23" s="90"/>
      <c r="Q23" s="90"/>
    </row>
    <row r="24" spans="1:17" s="372" customFormat="1" ht="24" x14ac:dyDescent="0.3">
      <c r="A24" s="366" t="s">
        <v>458</v>
      </c>
      <c r="B24" s="367">
        <f>'1A-Bilant'!B5</f>
        <v>2018</v>
      </c>
      <c r="C24" s="367">
        <f>'1A-Bilant'!C5</f>
        <v>2019</v>
      </c>
      <c r="D24" s="367" t="str">
        <f>'1A-Bilant'!D5</f>
        <v>AN</v>
      </c>
      <c r="E24" s="368"/>
      <c r="F24" s="366" t="s">
        <v>461</v>
      </c>
      <c r="G24" s="367">
        <f>'1A-Bilant'!B5</f>
        <v>2018</v>
      </c>
      <c r="H24" s="367">
        <f>'1A-Bilant'!C5</f>
        <v>2019</v>
      </c>
      <c r="I24" s="367" t="str">
        <f>'1A-Bilant'!D5</f>
        <v>AN</v>
      </c>
      <c r="J24" s="368"/>
      <c r="K24" s="366" t="s">
        <v>460</v>
      </c>
      <c r="L24" s="367">
        <f>'1A-Bilant'!C5</f>
        <v>2019</v>
      </c>
      <c r="M24" s="367" t="str">
        <f>'1A-Bilant'!D5</f>
        <v>AN</v>
      </c>
      <c r="N24" s="369"/>
      <c r="O24" s="369"/>
      <c r="P24" s="370"/>
      <c r="Q24" s="370"/>
    </row>
    <row r="25" spans="1:17" s="91" customFormat="1" ht="15.6" x14ac:dyDescent="0.3">
      <c r="A25" s="80" t="str">
        <f>'1B-ContPP'!A6</f>
        <v>Cifra de afaceri neta</v>
      </c>
      <c r="B25" s="85">
        <f>'1B-ContPP'!B6</f>
        <v>1856597</v>
      </c>
      <c r="C25" s="85">
        <f>'1B-ContPP'!C6</f>
        <v>2747586</v>
      </c>
      <c r="D25" s="85">
        <f>'1B-ContPP'!D6</f>
        <v>0</v>
      </c>
      <c r="E25" s="86"/>
      <c r="F25" s="80" t="s">
        <v>51</v>
      </c>
      <c r="G25" s="88">
        <f>IFERROR(B25/B$25,"")</f>
        <v>1</v>
      </c>
      <c r="H25" s="88">
        <f t="shared" ref="H25:I25" si="11">IFERROR(C25/C$25,"")</f>
        <v>1</v>
      </c>
      <c r="I25" s="88" t="str">
        <f t="shared" si="11"/>
        <v/>
      </c>
      <c r="J25" s="86"/>
      <c r="K25" s="80" t="s">
        <v>51</v>
      </c>
      <c r="L25" s="88">
        <f>IFERROR((C25-B25)/B25,"")</f>
        <v>0.47990436265920927</v>
      </c>
      <c r="M25" s="88">
        <f>IFERROR((D25-C25)/C25,"")</f>
        <v>-1</v>
      </c>
      <c r="N25" s="89"/>
      <c r="O25" s="89"/>
      <c r="P25" s="90"/>
      <c r="Q25" s="90"/>
    </row>
    <row r="26" spans="1:17" s="94" customFormat="1" ht="15.6" x14ac:dyDescent="0.3">
      <c r="A26" s="92" t="str">
        <f>'1B-ContPP'!A12</f>
        <v>Alte venituri din exploatare</v>
      </c>
      <c r="B26" s="93">
        <f>'1B-ContPP'!B12</f>
        <v>2064</v>
      </c>
      <c r="C26" s="93">
        <f>'1B-ContPP'!C12</f>
        <v>169343</v>
      </c>
      <c r="D26" s="93">
        <f>'1B-ContPP'!D12</f>
        <v>0</v>
      </c>
      <c r="E26" s="81"/>
      <c r="F26" s="92" t="s">
        <v>76</v>
      </c>
      <c r="G26" s="87">
        <f t="shared" ref="G26:G45" si="12">IFERROR(B26/B$25,"")</f>
        <v>1.1117113730120215E-3</v>
      </c>
      <c r="H26" s="87">
        <f t="shared" ref="H26:H50" si="13">IFERROR(C26/C$25,"")</f>
        <v>6.1633375625003185E-2</v>
      </c>
      <c r="I26" s="87" t="str">
        <f t="shared" ref="I26:I50" si="14">IFERROR(D26/D$25,"")</f>
        <v/>
      </c>
      <c r="J26" s="81"/>
      <c r="K26" s="92" t="s">
        <v>76</v>
      </c>
      <c r="L26" s="87">
        <f t="shared" ref="L26:L49" si="15">IFERROR((C26-B26)/B26,"")</f>
        <v>81.046027131782949</v>
      </c>
      <c r="M26" s="87">
        <f t="shared" ref="M26:M44" si="16">IFERROR((D26-C26)/C26,"")</f>
        <v>-1</v>
      </c>
      <c r="N26" s="82"/>
      <c r="O26" s="82"/>
      <c r="P26" s="83"/>
      <c r="Q26" s="83"/>
    </row>
    <row r="27" spans="1:17" s="91" customFormat="1" ht="15.6" x14ac:dyDescent="0.3">
      <c r="A27" s="80" t="str">
        <f>'1B-ContPP'!A13</f>
        <v>Venituri din exploatare - total</v>
      </c>
      <c r="B27" s="85">
        <f>'1B-ContPP'!B13</f>
        <v>1858661</v>
      </c>
      <c r="C27" s="85">
        <f>'1B-ContPP'!C13</f>
        <v>2916929</v>
      </c>
      <c r="D27" s="85">
        <f>'1B-ContPP'!D13</f>
        <v>0</v>
      </c>
      <c r="E27" s="86"/>
      <c r="F27" s="80" t="s">
        <v>77</v>
      </c>
      <c r="G27" s="88">
        <f>IFERROR(B27/B$25,"")</f>
        <v>1.0011117113730119</v>
      </c>
      <c r="H27" s="88">
        <f t="shared" si="13"/>
        <v>1.0616333756250032</v>
      </c>
      <c r="I27" s="88" t="str">
        <f t="shared" si="14"/>
        <v/>
      </c>
      <c r="J27" s="86"/>
      <c r="K27" s="80" t="s">
        <v>77</v>
      </c>
      <c r="L27" s="88">
        <f t="shared" si="15"/>
        <v>0.5693711763468432</v>
      </c>
      <c r="M27" s="88">
        <f t="shared" si="16"/>
        <v>-1</v>
      </c>
      <c r="N27" s="89"/>
      <c r="O27" s="89"/>
      <c r="P27" s="90"/>
      <c r="Q27" s="90"/>
    </row>
    <row r="28" spans="1:17" s="94" customFormat="1" ht="15.6" x14ac:dyDescent="0.3">
      <c r="A28" s="97" t="s">
        <v>108</v>
      </c>
      <c r="B28" s="93">
        <f>SUM('1B-ContPP'!B14:B19)+'1B-ContPP'!B22</f>
        <v>1389080</v>
      </c>
      <c r="C28" s="93">
        <f>SUM('1B-ContPP'!C14:C19)+'1B-ContPP'!C22</f>
        <v>2169934</v>
      </c>
      <c r="D28" s="93">
        <f>SUM('1B-ContPP'!D14:D19)+'1B-ContPP'!D22</f>
        <v>0</v>
      </c>
      <c r="E28" s="81"/>
      <c r="F28" s="92" t="s">
        <v>108</v>
      </c>
      <c r="G28" s="87">
        <f t="shared" si="12"/>
        <v>0.74818606299590051</v>
      </c>
      <c r="H28" s="87">
        <f t="shared" si="13"/>
        <v>0.78976017493174011</v>
      </c>
      <c r="I28" s="87" t="str">
        <f t="shared" si="14"/>
        <v/>
      </c>
      <c r="J28" s="81"/>
      <c r="K28" s="92" t="s">
        <v>108</v>
      </c>
      <c r="L28" s="87">
        <f t="shared" si="15"/>
        <v>0.56213752987588905</v>
      </c>
      <c r="M28" s="87">
        <f t="shared" si="16"/>
        <v>-1</v>
      </c>
      <c r="N28" s="82"/>
      <c r="O28" s="82"/>
      <c r="P28" s="83"/>
      <c r="Q28" s="83"/>
    </row>
    <row r="29" spans="1:17" s="101" customFormat="1" ht="36" x14ac:dyDescent="0.3">
      <c r="A29" s="92" t="s">
        <v>109</v>
      </c>
      <c r="B29" s="93">
        <f>'1B-ContPP'!B20+'1B-ContPP'!B21+'1B-ContPP'!B23</f>
        <v>93542</v>
      </c>
      <c r="C29" s="93">
        <f>'1B-ContPP'!C20+'1B-ContPP'!C21+'1B-ContPP'!C23</f>
        <v>136221</v>
      </c>
      <c r="D29" s="93">
        <f>'1B-ContPP'!D20+'1B-ContPP'!D21+'1B-ContPP'!D23</f>
        <v>0</v>
      </c>
      <c r="E29" s="98"/>
      <c r="F29" s="92" t="s">
        <v>109</v>
      </c>
      <c r="G29" s="87">
        <f t="shared" si="12"/>
        <v>5.0383578127078735E-2</v>
      </c>
      <c r="H29" s="87">
        <f t="shared" si="13"/>
        <v>4.9578429938134785E-2</v>
      </c>
      <c r="I29" s="87" t="str">
        <f t="shared" si="14"/>
        <v/>
      </c>
      <c r="J29" s="81"/>
      <c r="K29" s="92" t="s">
        <v>109</v>
      </c>
      <c r="L29" s="87">
        <f t="shared" si="15"/>
        <v>0.45625494430309382</v>
      </c>
      <c r="M29" s="87">
        <f t="shared" si="16"/>
        <v>-1</v>
      </c>
      <c r="N29" s="99"/>
      <c r="O29" s="99"/>
      <c r="P29" s="100"/>
      <c r="Q29" s="100"/>
    </row>
    <row r="30" spans="1:17" s="91" customFormat="1" ht="15.6" x14ac:dyDescent="0.3">
      <c r="A30" s="80" t="str">
        <f>'1B-ContPP'!A24</f>
        <v>Cheltuieli din exploatare - total</v>
      </c>
      <c r="B30" s="85">
        <f>'1B-ContPP'!B24</f>
        <v>1482622</v>
      </c>
      <c r="C30" s="85">
        <f>'1B-ContPP'!C24</f>
        <v>2306155</v>
      </c>
      <c r="D30" s="85">
        <f>'1B-ContPP'!D24</f>
        <v>0</v>
      </c>
      <c r="E30" s="86"/>
      <c r="F30" s="80" t="s">
        <v>85</v>
      </c>
      <c r="G30" s="88">
        <f t="shared" si="12"/>
        <v>0.79856964112297935</v>
      </c>
      <c r="H30" s="88">
        <f t="shared" si="13"/>
        <v>0.83933860486987488</v>
      </c>
      <c r="I30" s="88" t="str">
        <f t="shared" si="14"/>
        <v/>
      </c>
      <c r="J30" s="86"/>
      <c r="K30" s="80" t="s">
        <v>85</v>
      </c>
      <c r="L30" s="88">
        <f t="shared" si="15"/>
        <v>0.55545715630821613</v>
      </c>
      <c r="M30" s="88">
        <f t="shared" si="16"/>
        <v>-1</v>
      </c>
      <c r="N30" s="89"/>
      <c r="O30" s="89"/>
      <c r="P30" s="90"/>
      <c r="Q30" s="90"/>
    </row>
    <row r="31" spans="1:17" s="94" customFormat="1" ht="15.6" x14ac:dyDescent="0.3">
      <c r="A31" s="80" t="str">
        <f>'1B-ContPP'!A25</f>
        <v>Rezultatul din exploatare</v>
      </c>
      <c r="B31" s="85">
        <f>'1B-ContPP'!B25</f>
        <v>376039</v>
      </c>
      <c r="C31" s="85">
        <f>'1B-ContPP'!C25</f>
        <v>610774</v>
      </c>
      <c r="D31" s="85">
        <f>'1B-ContPP'!D25</f>
        <v>0</v>
      </c>
      <c r="E31" s="81"/>
      <c r="F31" s="80" t="s">
        <v>52</v>
      </c>
      <c r="G31" s="88">
        <f t="shared" si="12"/>
        <v>0.20254207025003271</v>
      </c>
      <c r="H31" s="88">
        <f t="shared" si="13"/>
        <v>0.22229477075512832</v>
      </c>
      <c r="I31" s="88" t="str">
        <f t="shared" si="14"/>
        <v/>
      </c>
      <c r="J31" s="86"/>
      <c r="K31" s="80" t="s">
        <v>52</v>
      </c>
      <c r="L31" s="88">
        <f>IF(C31&gt;0,ABS((C31-B31)/B31),0)</f>
        <v>0.62423046545704031</v>
      </c>
      <c r="M31" s="88">
        <f>IF(D31&gt;0,ABS((D31-C31)/C31),0)</f>
        <v>0</v>
      </c>
      <c r="N31" s="82"/>
      <c r="O31" s="82"/>
      <c r="P31" s="83"/>
      <c r="Q31" s="83"/>
    </row>
    <row r="32" spans="1:17" s="94" customFormat="1" ht="15.6" x14ac:dyDescent="0.3">
      <c r="A32" s="80" t="str">
        <f>'1B-ContPP'!A32</f>
        <v>Venituri financiare</v>
      </c>
      <c r="B32" s="85">
        <f>'1B-ContPP'!B32</f>
        <v>0</v>
      </c>
      <c r="C32" s="85">
        <f>'1B-ContPP'!C32</f>
        <v>8276</v>
      </c>
      <c r="D32" s="85">
        <f>'1B-ContPP'!D32</f>
        <v>0</v>
      </c>
      <c r="E32" s="81"/>
      <c r="F32" s="80" t="s">
        <v>55</v>
      </c>
      <c r="G32" s="88">
        <f t="shared" si="12"/>
        <v>0</v>
      </c>
      <c r="H32" s="88">
        <f t="shared" si="13"/>
        <v>3.0120986203889524E-3</v>
      </c>
      <c r="I32" s="88" t="str">
        <f t="shared" si="14"/>
        <v/>
      </c>
      <c r="J32" s="86"/>
      <c r="K32" s="80" t="s">
        <v>55</v>
      </c>
      <c r="L32" s="88" t="str">
        <f t="shared" si="15"/>
        <v/>
      </c>
      <c r="M32" s="88">
        <f t="shared" si="16"/>
        <v>-1</v>
      </c>
      <c r="N32" s="82"/>
      <c r="O32" s="82"/>
      <c r="P32" s="83"/>
      <c r="Q32" s="83"/>
    </row>
    <row r="33" spans="1:17" s="94" customFormat="1" ht="48" x14ac:dyDescent="0.3">
      <c r="A33" s="92" t="str">
        <f>'1B-ContPP'!A33</f>
        <v>Ajustări de valoare privind imobilizările financiare şi investiţiile financiare deţinute ca active circulante</v>
      </c>
      <c r="B33" s="93">
        <f>'1B-ContPP'!B33</f>
        <v>0</v>
      </c>
      <c r="C33" s="93">
        <f>'1B-ContPP'!C33</f>
        <v>0</v>
      </c>
      <c r="D33" s="93">
        <f>'1B-ContPP'!D33</f>
        <v>0</v>
      </c>
      <c r="E33" s="81"/>
      <c r="F33" s="92" t="s">
        <v>86</v>
      </c>
      <c r="G33" s="87">
        <f t="shared" si="12"/>
        <v>0</v>
      </c>
      <c r="H33" s="87">
        <f t="shared" si="13"/>
        <v>0</v>
      </c>
      <c r="I33" s="87" t="str">
        <f t="shared" si="14"/>
        <v/>
      </c>
      <c r="J33" s="81"/>
      <c r="K33" s="92" t="s">
        <v>86</v>
      </c>
      <c r="L33" s="87" t="str">
        <f t="shared" si="15"/>
        <v/>
      </c>
      <c r="M33" s="87" t="str">
        <f t="shared" si="16"/>
        <v/>
      </c>
      <c r="N33" s="82"/>
      <c r="O33" s="82"/>
      <c r="P33" s="83"/>
      <c r="Q33" s="83"/>
    </row>
    <row r="34" spans="1:17" s="94" customFormat="1" ht="15.6" x14ac:dyDescent="0.3">
      <c r="A34" s="92" t="str">
        <f>'1B-ContPP'!A34</f>
        <v xml:space="preserve">Cheltuieli privind dobânzile </v>
      </c>
      <c r="B34" s="93">
        <f>'1B-ContPP'!B34</f>
        <v>11970</v>
      </c>
      <c r="C34" s="93">
        <f>'1B-ContPP'!C34</f>
        <v>13804</v>
      </c>
      <c r="D34" s="93">
        <f>'1B-ContPP'!D34</f>
        <v>0</v>
      </c>
      <c r="E34" s="81"/>
      <c r="F34" s="92" t="s">
        <v>87</v>
      </c>
      <c r="G34" s="87">
        <f t="shared" si="12"/>
        <v>6.4472796196482062E-3</v>
      </c>
      <c r="H34" s="87">
        <f t="shared" si="13"/>
        <v>5.0240465630557148E-3</v>
      </c>
      <c r="I34" s="87" t="str">
        <f t="shared" si="14"/>
        <v/>
      </c>
      <c r="J34" s="81"/>
      <c r="K34" s="92" t="s">
        <v>87</v>
      </c>
      <c r="L34" s="87">
        <f t="shared" si="15"/>
        <v>0.15321637426900586</v>
      </c>
      <c r="M34" s="87">
        <f t="shared" si="16"/>
        <v>-1</v>
      </c>
      <c r="N34" s="82"/>
      <c r="O34" s="82"/>
      <c r="P34" s="83"/>
      <c r="Q34" s="83"/>
    </row>
    <row r="35" spans="1:17" s="94" customFormat="1" ht="15.6" x14ac:dyDescent="0.3">
      <c r="A35" s="92" t="str">
        <f>'1B-ContPP'!A35</f>
        <v xml:space="preserve">Alte cheltuieli financiare  </v>
      </c>
      <c r="B35" s="93">
        <f>'1B-ContPP'!B35</f>
        <v>1631</v>
      </c>
      <c r="C35" s="93">
        <f>'1B-ContPP'!C35</f>
        <v>23718</v>
      </c>
      <c r="D35" s="93">
        <f>'1B-ContPP'!D35</f>
        <v>0</v>
      </c>
      <c r="E35" s="81"/>
      <c r="F35" s="92" t="s">
        <v>88</v>
      </c>
      <c r="G35" s="87">
        <f t="shared" si="12"/>
        <v>8.7848897741405374E-4</v>
      </c>
      <c r="H35" s="87">
        <f t="shared" si="13"/>
        <v>8.6323048668904261E-3</v>
      </c>
      <c r="I35" s="87" t="str">
        <f t="shared" si="14"/>
        <v/>
      </c>
      <c r="J35" s="81"/>
      <c r="K35" s="92" t="s">
        <v>88</v>
      </c>
      <c r="L35" s="87">
        <f t="shared" si="15"/>
        <v>13.541998773758431</v>
      </c>
      <c r="M35" s="87">
        <f t="shared" si="16"/>
        <v>-1</v>
      </c>
      <c r="N35" s="82"/>
      <c r="O35" s="82"/>
      <c r="P35" s="83"/>
      <c r="Q35" s="83"/>
    </row>
    <row r="36" spans="1:17" s="91" customFormat="1" ht="15.6" x14ac:dyDescent="0.3">
      <c r="A36" s="80" t="str">
        <f>'1B-ContPP'!A36</f>
        <v>Cheltuieli financiare</v>
      </c>
      <c r="B36" s="85">
        <f>'1B-ContPP'!B36</f>
        <v>13601</v>
      </c>
      <c r="C36" s="85">
        <f>'1B-ContPP'!C36</f>
        <v>37522</v>
      </c>
      <c r="D36" s="85">
        <f>'1B-ContPP'!D36</f>
        <v>0</v>
      </c>
      <c r="E36" s="86"/>
      <c r="F36" s="80" t="s">
        <v>56</v>
      </c>
      <c r="G36" s="88">
        <f t="shared" si="12"/>
        <v>7.3257685970622597E-3</v>
      </c>
      <c r="H36" s="88">
        <f t="shared" si="13"/>
        <v>1.3656351429946142E-2</v>
      </c>
      <c r="I36" s="88" t="str">
        <f t="shared" si="14"/>
        <v/>
      </c>
      <c r="J36" s="86"/>
      <c r="K36" s="80" t="s">
        <v>56</v>
      </c>
      <c r="L36" s="88">
        <f t="shared" si="15"/>
        <v>1.758767737666348</v>
      </c>
      <c r="M36" s="88">
        <f t="shared" si="16"/>
        <v>-1</v>
      </c>
      <c r="N36" s="89"/>
      <c r="O36" s="89"/>
      <c r="P36" s="90"/>
      <c r="Q36" s="90"/>
    </row>
    <row r="37" spans="1:17" s="94" customFormat="1" ht="15.6" x14ac:dyDescent="0.3">
      <c r="A37" s="92" t="str">
        <f>'1B-ContPP'!A37</f>
        <v>Rezultatul financiar</v>
      </c>
      <c r="B37" s="93">
        <f>'1B-ContPP'!B37</f>
        <v>-13601</v>
      </c>
      <c r="C37" s="93">
        <f>'1B-ContPP'!C37</f>
        <v>-29246</v>
      </c>
      <c r="D37" s="93">
        <f>'1B-ContPP'!D37</f>
        <v>0</v>
      </c>
      <c r="E37" s="81"/>
      <c r="F37" s="92" t="s">
        <v>57</v>
      </c>
      <c r="G37" s="87">
        <f t="shared" si="12"/>
        <v>-7.3257685970622597E-3</v>
      </c>
      <c r="H37" s="87">
        <f t="shared" si="13"/>
        <v>-1.064425280955719E-2</v>
      </c>
      <c r="I37" s="87" t="str">
        <f t="shared" si="14"/>
        <v/>
      </c>
      <c r="J37" s="81"/>
      <c r="K37" s="92" t="s">
        <v>57</v>
      </c>
      <c r="L37" s="87">
        <f t="shared" si="15"/>
        <v>1.1502830674215132</v>
      </c>
      <c r="M37" s="87">
        <f t="shared" si="16"/>
        <v>-1</v>
      </c>
      <c r="N37" s="82"/>
      <c r="O37" s="82"/>
      <c r="P37" s="83"/>
      <c r="Q37" s="83"/>
    </row>
    <row r="38" spans="1:17" s="91" customFormat="1" ht="15.6" x14ac:dyDescent="0.3">
      <c r="A38" s="80" t="str">
        <f>'1B-ContPP'!A40</f>
        <v>Rezultatul curent</v>
      </c>
      <c r="B38" s="85">
        <f>'1B-ContPP'!B40</f>
        <v>362438</v>
      </c>
      <c r="C38" s="85">
        <f>'1B-ContPP'!C40</f>
        <v>581528</v>
      </c>
      <c r="D38" s="85">
        <f>'1B-ContPP'!D40</f>
        <v>0</v>
      </c>
      <c r="E38" s="86"/>
      <c r="F38" s="80" t="s">
        <v>60</v>
      </c>
      <c r="G38" s="88">
        <f t="shared" si="12"/>
        <v>0.19521630165297046</v>
      </c>
      <c r="H38" s="88">
        <f t="shared" si="13"/>
        <v>0.21165051794557113</v>
      </c>
      <c r="I38" s="88" t="str">
        <f t="shared" si="14"/>
        <v/>
      </c>
      <c r="J38" s="86"/>
      <c r="K38" s="80" t="s">
        <v>60</v>
      </c>
      <c r="L38" s="88">
        <f t="shared" si="15"/>
        <v>0.60448959546184455</v>
      </c>
      <c r="M38" s="88">
        <f t="shared" si="16"/>
        <v>-1</v>
      </c>
      <c r="N38" s="89"/>
      <c r="O38" s="89"/>
      <c r="P38" s="90"/>
      <c r="Q38" s="90"/>
    </row>
    <row r="39" spans="1:17" s="91" customFormat="1" ht="15.6" x14ac:dyDescent="0.3">
      <c r="A39" s="80" t="str">
        <f>'1B-ContPP'!A43</f>
        <v>Venituri extraordinare</v>
      </c>
      <c r="B39" s="85">
        <f>'1B-ContPP'!B43</f>
        <v>0</v>
      </c>
      <c r="C39" s="85">
        <f>'1B-ContPP'!C43</f>
        <v>0</v>
      </c>
      <c r="D39" s="85">
        <f>'1B-ContPP'!D43</f>
        <v>0</v>
      </c>
      <c r="E39" s="86"/>
      <c r="F39" s="80" t="s">
        <v>63</v>
      </c>
      <c r="G39" s="88">
        <f t="shared" si="12"/>
        <v>0</v>
      </c>
      <c r="H39" s="88">
        <f t="shared" si="13"/>
        <v>0</v>
      </c>
      <c r="I39" s="88" t="str">
        <f t="shared" si="14"/>
        <v/>
      </c>
      <c r="J39" s="86"/>
      <c r="K39" s="80" t="s">
        <v>63</v>
      </c>
      <c r="L39" s="88" t="str">
        <f t="shared" si="15"/>
        <v/>
      </c>
      <c r="M39" s="88" t="str">
        <f t="shared" si="16"/>
        <v/>
      </c>
      <c r="N39" s="89"/>
      <c r="O39" s="89"/>
      <c r="P39" s="90"/>
      <c r="Q39" s="90"/>
    </row>
    <row r="40" spans="1:17" s="91" customFormat="1" ht="15.6" x14ac:dyDescent="0.3">
      <c r="A40" s="80" t="str">
        <f>'1B-ContPP'!A44</f>
        <v>Cheltuieli extraordinare</v>
      </c>
      <c r="B40" s="85">
        <f>'1B-ContPP'!B44</f>
        <v>0</v>
      </c>
      <c r="C40" s="85">
        <f>'1B-ContPP'!C44</f>
        <v>0</v>
      </c>
      <c r="D40" s="85">
        <f>'1B-ContPP'!D44</f>
        <v>0</v>
      </c>
      <c r="E40" s="86"/>
      <c r="F40" s="80" t="s">
        <v>64</v>
      </c>
      <c r="G40" s="88">
        <f t="shared" si="12"/>
        <v>0</v>
      </c>
      <c r="H40" s="88">
        <f t="shared" si="13"/>
        <v>0</v>
      </c>
      <c r="I40" s="88" t="str">
        <f t="shared" si="14"/>
        <v/>
      </c>
      <c r="J40" s="86"/>
      <c r="K40" s="80" t="s">
        <v>64</v>
      </c>
      <c r="L40" s="88" t="str">
        <f t="shared" si="15"/>
        <v/>
      </c>
      <c r="M40" s="88" t="str">
        <f t="shared" si="16"/>
        <v/>
      </c>
      <c r="N40" s="89"/>
      <c r="O40" s="89"/>
      <c r="P40" s="90"/>
      <c r="Q40" s="90"/>
    </row>
    <row r="41" spans="1:17" s="91" customFormat="1" ht="15.6" x14ac:dyDescent="0.3">
      <c r="A41" s="80" t="str">
        <f>'1B-ContPP'!A45</f>
        <v>Rezultatul extraordinar</v>
      </c>
      <c r="B41" s="85">
        <f>'1B-ContPP'!B45</f>
        <v>0</v>
      </c>
      <c r="C41" s="85">
        <f>'1B-ContPP'!C45</f>
        <v>0</v>
      </c>
      <c r="D41" s="85">
        <f>'1B-ContPP'!D45</f>
        <v>0</v>
      </c>
      <c r="E41" s="86"/>
      <c r="F41" s="80" t="s">
        <v>65</v>
      </c>
      <c r="G41" s="88">
        <f t="shared" si="12"/>
        <v>0</v>
      </c>
      <c r="H41" s="88">
        <f t="shared" si="13"/>
        <v>0</v>
      </c>
      <c r="I41" s="88" t="str">
        <f t="shared" si="14"/>
        <v/>
      </c>
      <c r="J41" s="86"/>
      <c r="K41" s="80" t="s">
        <v>65</v>
      </c>
      <c r="L41" s="88" t="str">
        <f t="shared" si="15"/>
        <v/>
      </c>
      <c r="M41" s="88" t="str">
        <f t="shared" si="16"/>
        <v/>
      </c>
      <c r="N41" s="89"/>
      <c r="O41" s="89"/>
      <c r="P41" s="90"/>
      <c r="Q41" s="90"/>
    </row>
    <row r="42" spans="1:17" s="91" customFormat="1" ht="15.6" x14ac:dyDescent="0.3">
      <c r="A42" s="80" t="str">
        <f>'1B-ContPP'!A48</f>
        <v>Venituri totale</v>
      </c>
      <c r="B42" s="85">
        <f>'1B-ContPP'!B48</f>
        <v>1858661</v>
      </c>
      <c r="C42" s="85">
        <f>'1B-ContPP'!C48</f>
        <v>2925205</v>
      </c>
      <c r="D42" s="85">
        <f>'1B-ContPP'!D48</f>
        <v>0</v>
      </c>
      <c r="E42" s="86"/>
      <c r="F42" s="80" t="s">
        <v>68</v>
      </c>
      <c r="G42" s="88">
        <f t="shared" si="12"/>
        <v>1.0011117113730119</v>
      </c>
      <c r="H42" s="88">
        <f t="shared" si="13"/>
        <v>1.0646454742453921</v>
      </c>
      <c r="I42" s="88" t="str">
        <f t="shared" si="14"/>
        <v/>
      </c>
      <c r="J42" s="86"/>
      <c r="K42" s="80" t="s">
        <v>68</v>
      </c>
      <c r="L42" s="88">
        <f t="shared" si="15"/>
        <v>0.57382384415447463</v>
      </c>
      <c r="M42" s="88">
        <f t="shared" si="16"/>
        <v>-1</v>
      </c>
      <c r="N42" s="89"/>
      <c r="O42" s="89"/>
      <c r="P42" s="90"/>
      <c r="Q42" s="90"/>
    </row>
    <row r="43" spans="1:17" s="94" customFormat="1" ht="15.6" x14ac:dyDescent="0.3">
      <c r="A43" s="80" t="str">
        <f>'1B-ContPP'!A49</f>
        <v>Cheltuieli totale</v>
      </c>
      <c r="B43" s="85">
        <f>'1B-ContPP'!B49</f>
        <v>1496223</v>
      </c>
      <c r="C43" s="85">
        <f>'1B-ContPP'!C49</f>
        <v>2343677</v>
      </c>
      <c r="D43" s="85">
        <f>'1B-ContPP'!D49</f>
        <v>0</v>
      </c>
      <c r="E43" s="81"/>
      <c r="F43" s="80" t="s">
        <v>69</v>
      </c>
      <c r="G43" s="88">
        <f t="shared" si="12"/>
        <v>0.80589540972004159</v>
      </c>
      <c r="H43" s="88">
        <f t="shared" si="13"/>
        <v>0.85299495629982103</v>
      </c>
      <c r="I43" s="88" t="str">
        <f t="shared" si="14"/>
        <v/>
      </c>
      <c r="J43" s="86"/>
      <c r="K43" s="80" t="s">
        <v>69</v>
      </c>
      <c r="L43" s="88">
        <f t="shared" si="15"/>
        <v>0.56639551724575821</v>
      </c>
      <c r="M43" s="88">
        <f t="shared" si="16"/>
        <v>-1</v>
      </c>
      <c r="N43" s="82"/>
      <c r="O43" s="82"/>
      <c r="P43" s="83"/>
      <c r="Q43" s="83"/>
    </row>
    <row r="44" spans="1:17" s="91" customFormat="1" ht="15.6" x14ac:dyDescent="0.3">
      <c r="A44" s="80" t="str">
        <f>'1B-ContPP'!A50</f>
        <v>Rezultatul brut</v>
      </c>
      <c r="B44" s="85">
        <f>'1B-ContPP'!B50</f>
        <v>362438</v>
      </c>
      <c r="C44" s="85">
        <f>'1B-ContPP'!C50</f>
        <v>581528</v>
      </c>
      <c r="D44" s="85">
        <f>'1B-ContPP'!D50</f>
        <v>0</v>
      </c>
      <c r="E44" s="86"/>
      <c r="F44" s="80" t="s">
        <v>70</v>
      </c>
      <c r="G44" s="88">
        <f t="shared" si="12"/>
        <v>0.19521630165297046</v>
      </c>
      <c r="H44" s="88">
        <f t="shared" si="13"/>
        <v>0.21165051794557113</v>
      </c>
      <c r="I44" s="88" t="str">
        <f t="shared" si="14"/>
        <v/>
      </c>
      <c r="J44" s="86"/>
      <c r="K44" s="80" t="s">
        <v>70</v>
      </c>
      <c r="L44" s="88">
        <f t="shared" si="15"/>
        <v>0.60448959546184455</v>
      </c>
      <c r="M44" s="88">
        <f t="shared" si="16"/>
        <v>-1</v>
      </c>
      <c r="N44" s="89"/>
      <c r="O44" s="89"/>
      <c r="P44" s="90"/>
      <c r="Q44" s="90"/>
    </row>
    <row r="45" spans="1:17" s="94" customFormat="1" ht="15.6" x14ac:dyDescent="0.3">
      <c r="A45" s="92" t="str">
        <f>'1B-ContPP'!A53</f>
        <v>Impozit pe profit</v>
      </c>
      <c r="B45" s="93">
        <f>'1B-ContPP'!B53</f>
        <v>0</v>
      </c>
      <c r="C45" s="93">
        <f>'1B-ContPP'!C53</f>
        <v>0</v>
      </c>
      <c r="D45" s="93">
        <f>'1B-ContPP'!D53</f>
        <v>0</v>
      </c>
      <c r="E45" s="81"/>
      <c r="F45" s="92" t="s">
        <v>89</v>
      </c>
      <c r="G45" s="87">
        <f t="shared" si="12"/>
        <v>0</v>
      </c>
      <c r="H45" s="87">
        <f t="shared" si="13"/>
        <v>0</v>
      </c>
      <c r="I45" s="87" t="str">
        <f t="shared" si="14"/>
        <v/>
      </c>
      <c r="J45" s="81"/>
      <c r="K45" s="92" t="s">
        <v>89</v>
      </c>
      <c r="L45" s="87" t="str">
        <f>IFERROR((C45-B45)/B45,"")</f>
        <v/>
      </c>
      <c r="M45" s="87" t="str">
        <f>IFERROR((D45-C45)/C45,"")</f>
        <v/>
      </c>
      <c r="N45" s="82"/>
      <c r="O45" s="82"/>
      <c r="P45" s="83"/>
      <c r="Q45" s="83"/>
    </row>
    <row r="46" spans="1:17" s="94" customFormat="1" ht="24" x14ac:dyDescent="0.3">
      <c r="A46" s="92" t="str">
        <f>'1B-ContPP'!A54</f>
        <v>Alte impozite neprezentate la elementele de mai sus</v>
      </c>
      <c r="B46" s="93">
        <f>'1B-ContPP'!B54</f>
        <v>18586</v>
      </c>
      <c r="C46" s="93">
        <f>'1B-ContPP'!C54</f>
        <v>28856</v>
      </c>
      <c r="D46" s="93">
        <f>'1B-ContPP'!D54</f>
        <v>0</v>
      </c>
      <c r="E46" s="81"/>
      <c r="F46" s="92" t="str">
        <f>$A$46</f>
        <v>Alte impozite neprezentate la elementele de mai sus</v>
      </c>
      <c r="G46" s="87">
        <f t="shared" ref="G46" si="17">IFERROR(B46/B$25,"")</f>
        <v>1.0010788555620848E-2</v>
      </c>
      <c r="H46" s="87">
        <f t="shared" ref="H46" si="18">IFERROR(C46/C$25,"")</f>
        <v>1.050231002778439E-2</v>
      </c>
      <c r="I46" s="87" t="str">
        <f t="shared" ref="I46" si="19">IFERROR(D46/D$25,"")</f>
        <v/>
      </c>
      <c r="J46" s="81"/>
      <c r="K46" s="92" t="str">
        <f>F46</f>
        <v>Alte impozite neprezentate la elementele de mai sus</v>
      </c>
      <c r="L46" s="87">
        <f>IFERROR((C46-B46)/B46,"")</f>
        <v>0.55256644786398368</v>
      </c>
      <c r="M46" s="87">
        <f t="shared" ref="M46" si="20">IFERROR((D46-C46)/C46,"")</f>
        <v>-1</v>
      </c>
      <c r="N46" s="82"/>
      <c r="O46" s="82"/>
      <c r="P46" s="83"/>
      <c r="Q46" s="83"/>
    </row>
    <row r="47" spans="1:17" s="91" customFormat="1" ht="15.6" x14ac:dyDescent="0.3">
      <c r="A47" s="80" t="str">
        <f>'1B-ContPP'!A55</f>
        <v>Rezultatul net</v>
      </c>
      <c r="B47" s="85">
        <f>'1B-ContPP'!B55</f>
        <v>343852</v>
      </c>
      <c r="C47" s="85">
        <f>'1B-ContPP'!C55</f>
        <v>552672</v>
      </c>
      <c r="D47" s="85">
        <f>'1B-ContPP'!D55</f>
        <v>0</v>
      </c>
      <c r="E47" s="86"/>
      <c r="F47" s="80" t="s">
        <v>73</v>
      </c>
      <c r="G47" s="88">
        <f>IFERROR(B47/B$25,"")</f>
        <v>0.18520551309734962</v>
      </c>
      <c r="H47" s="88">
        <f>IFERROR(C47/C$25,"")</f>
        <v>0.20114820791778673</v>
      </c>
      <c r="I47" s="88" t="str">
        <f>IFERROR(D47/D$25,"")</f>
        <v/>
      </c>
      <c r="J47" s="86"/>
      <c r="K47" s="80" t="s">
        <v>73</v>
      </c>
      <c r="L47" s="88">
        <f>IFERROR((C47-B47)/B47,"")</f>
        <v>0.60729616230238592</v>
      </c>
      <c r="M47" s="88">
        <f>IFERROR((D47-C47)/C47,"")</f>
        <v>-1</v>
      </c>
      <c r="N47" s="89"/>
      <c r="O47" s="89"/>
      <c r="P47" s="90"/>
      <c r="Q47" s="90"/>
    </row>
    <row r="48" spans="1:17" s="91" customFormat="1" ht="15.6" x14ac:dyDescent="0.3">
      <c r="A48" s="80" t="s">
        <v>105</v>
      </c>
      <c r="B48" s="85">
        <f>B47+B45+B46</f>
        <v>362438</v>
      </c>
      <c r="C48" s="85">
        <f t="shared" ref="C48:D48" si="21">C47+C45+C46</f>
        <v>581528</v>
      </c>
      <c r="D48" s="85">
        <f t="shared" si="21"/>
        <v>0</v>
      </c>
      <c r="E48" s="86"/>
      <c r="F48" s="80" t="s">
        <v>105</v>
      </c>
      <c r="G48" s="88">
        <f>IFERROR(B48/B$25,"")</f>
        <v>0.19521630165297046</v>
      </c>
      <c r="H48" s="88">
        <f>IFERROR(C48/C$25,"")</f>
        <v>0.21165051794557113</v>
      </c>
      <c r="I48" s="88" t="str">
        <f t="shared" si="14"/>
        <v/>
      </c>
      <c r="J48" s="86"/>
      <c r="K48" s="80" t="s">
        <v>105</v>
      </c>
      <c r="L48" s="88">
        <f>IFERROR((C48-B48)/B48,"")</f>
        <v>0.60448959546184455</v>
      </c>
      <c r="M48" s="88">
        <f>IFERROR((D48-C48)/C48,"")</f>
        <v>-1</v>
      </c>
      <c r="N48" s="89"/>
      <c r="O48" s="89"/>
      <c r="P48" s="90"/>
      <c r="Q48" s="90"/>
    </row>
    <row r="49" spans="1:17" s="94" customFormat="1" ht="15.6" x14ac:dyDescent="0.3">
      <c r="A49" s="80" t="s">
        <v>106</v>
      </c>
      <c r="B49" s="85">
        <f>B48+B34</f>
        <v>374408</v>
      </c>
      <c r="C49" s="85">
        <f t="shared" ref="C49:D49" si="22">C48+C34</f>
        <v>595332</v>
      </c>
      <c r="D49" s="85">
        <f t="shared" si="22"/>
        <v>0</v>
      </c>
      <c r="E49" s="81"/>
      <c r="F49" s="80" t="s">
        <v>106</v>
      </c>
      <c r="G49" s="88">
        <f>IFERROR(B49/B$25,"")</f>
        <v>0.20166358127261866</v>
      </c>
      <c r="H49" s="88">
        <f t="shared" si="13"/>
        <v>0.21667456450862685</v>
      </c>
      <c r="I49" s="88" t="str">
        <f t="shared" si="14"/>
        <v/>
      </c>
      <c r="J49" s="86"/>
      <c r="K49" s="80" t="s">
        <v>106</v>
      </c>
      <c r="L49" s="88">
        <f t="shared" si="15"/>
        <v>0.5900621781585863</v>
      </c>
      <c r="M49" s="88">
        <f>IFERROR((D49-C49)/C49,"")</f>
        <v>-1</v>
      </c>
      <c r="N49" s="82"/>
      <c r="O49" s="82"/>
      <c r="P49" s="83"/>
      <c r="Q49" s="83"/>
    </row>
    <row r="50" spans="1:17" s="94" customFormat="1" ht="15.6" x14ac:dyDescent="0.3">
      <c r="A50" s="80" t="s">
        <v>107</v>
      </c>
      <c r="B50" s="85">
        <f>B49+B33+B29</f>
        <v>467950</v>
      </c>
      <c r="C50" s="85">
        <f t="shared" ref="C50:D50" si="23">C49+C33+C29</f>
        <v>731553</v>
      </c>
      <c r="D50" s="85">
        <f t="shared" si="23"/>
        <v>0</v>
      </c>
      <c r="E50" s="81"/>
      <c r="F50" s="80" t="s">
        <v>107</v>
      </c>
      <c r="G50" s="88">
        <f>IFERROR(B50/B$25,"")</f>
        <v>0.25204715939969741</v>
      </c>
      <c r="H50" s="88">
        <f t="shared" si="13"/>
        <v>0.26625299444676165</v>
      </c>
      <c r="I50" s="88" t="str">
        <f t="shared" si="14"/>
        <v/>
      </c>
      <c r="J50" s="86"/>
      <c r="K50" s="80" t="s">
        <v>107</v>
      </c>
      <c r="L50" s="88">
        <f>IFERROR((C50-B50)/B50,"")</f>
        <v>0.5633144566727214</v>
      </c>
      <c r="M50" s="88">
        <f>IFERROR((D50-C50)/C50,"")</f>
        <v>-1</v>
      </c>
      <c r="N50" s="82"/>
      <c r="O50" s="82"/>
      <c r="P50" s="83"/>
      <c r="Q50" s="83"/>
    </row>
    <row r="51" spans="1:17" s="94" customFormat="1" ht="15.6" x14ac:dyDescent="0.3">
      <c r="A51" s="81"/>
      <c r="B51" s="102"/>
      <c r="C51" s="102"/>
      <c r="D51" s="102"/>
      <c r="E51" s="81"/>
      <c r="F51" s="81"/>
      <c r="G51" s="103"/>
      <c r="H51" s="103"/>
      <c r="I51" s="103"/>
      <c r="J51" s="81"/>
      <c r="K51" s="81"/>
      <c r="L51" s="103"/>
      <c r="M51" s="103"/>
      <c r="N51" s="82"/>
      <c r="O51" s="82"/>
      <c r="P51" s="83"/>
      <c r="Q51" s="83"/>
    </row>
    <row r="52" spans="1:17" s="94" customFormat="1" ht="15.6" x14ac:dyDescent="0.3">
      <c r="A52" s="81"/>
      <c r="B52" s="102"/>
      <c r="C52" s="102"/>
      <c r="D52" s="102"/>
      <c r="E52" s="81"/>
      <c r="F52" s="81"/>
      <c r="G52" s="103"/>
      <c r="H52" s="103"/>
      <c r="I52" s="103"/>
      <c r="J52" s="81"/>
      <c r="K52" s="81"/>
      <c r="L52" s="103"/>
      <c r="M52" s="103"/>
      <c r="N52" s="82"/>
      <c r="O52" s="82"/>
      <c r="P52" s="83"/>
      <c r="Q52" s="83"/>
    </row>
    <row r="53" spans="1:17" s="94" customFormat="1" ht="15.6" x14ac:dyDescent="0.3">
      <c r="A53" s="81"/>
      <c r="B53" s="102"/>
      <c r="C53" s="102"/>
      <c r="D53" s="102"/>
      <c r="E53" s="81"/>
      <c r="F53" s="81"/>
      <c r="G53" s="103"/>
      <c r="H53" s="103"/>
      <c r="I53" s="103"/>
      <c r="J53" s="81"/>
      <c r="K53" s="81"/>
      <c r="L53" s="103"/>
      <c r="M53" s="103"/>
      <c r="N53" s="82"/>
      <c r="O53" s="82"/>
      <c r="P53" s="83"/>
      <c r="Q53" s="83"/>
    </row>
    <row r="54" spans="1:17" s="94" customFormat="1" ht="15.6" x14ac:dyDescent="0.3">
      <c r="A54" s="81"/>
      <c r="B54" s="102"/>
      <c r="C54" s="102"/>
      <c r="D54" s="102"/>
      <c r="E54" s="81"/>
      <c r="F54" s="81"/>
      <c r="G54" s="103"/>
      <c r="H54" s="103"/>
      <c r="I54" s="103"/>
      <c r="J54" s="81"/>
      <c r="K54" s="81"/>
      <c r="L54" s="103"/>
      <c r="M54" s="103"/>
      <c r="N54" s="82"/>
      <c r="O54" s="82"/>
      <c r="P54" s="83"/>
      <c r="Q54" s="83"/>
    </row>
    <row r="55" spans="1:17" s="94" customFormat="1" ht="15.6" x14ac:dyDescent="0.3">
      <c r="A55" s="81"/>
      <c r="B55" s="102"/>
      <c r="C55" s="102"/>
      <c r="D55" s="102"/>
      <c r="E55" s="81"/>
      <c r="F55" s="81"/>
      <c r="G55" s="103"/>
      <c r="H55" s="103"/>
      <c r="I55" s="103"/>
      <c r="J55" s="81"/>
      <c r="K55" s="81"/>
      <c r="L55" s="103"/>
      <c r="M55" s="103"/>
      <c r="N55" s="82"/>
      <c r="O55" s="82"/>
      <c r="P55" s="83"/>
      <c r="Q55" s="83"/>
    </row>
    <row r="56" spans="1:17" s="94" customFormat="1" ht="15.6" x14ac:dyDescent="0.3">
      <c r="A56" s="81"/>
      <c r="B56" s="102"/>
      <c r="C56" s="102"/>
      <c r="D56" s="102"/>
      <c r="E56" s="81"/>
      <c r="F56" s="81"/>
      <c r="G56" s="103"/>
      <c r="H56" s="103"/>
      <c r="I56" s="103"/>
      <c r="J56" s="81"/>
      <c r="K56" s="81"/>
      <c r="L56" s="103"/>
      <c r="M56" s="103"/>
      <c r="N56" s="82"/>
      <c r="O56" s="82"/>
      <c r="P56" s="83"/>
      <c r="Q56" s="83"/>
    </row>
    <row r="57" spans="1:17" s="94" customFormat="1" ht="15.6" x14ac:dyDescent="0.3">
      <c r="A57" s="81"/>
      <c r="B57" s="102"/>
      <c r="C57" s="102"/>
      <c r="D57" s="102"/>
      <c r="E57" s="81"/>
      <c r="F57" s="81"/>
      <c r="G57" s="103"/>
      <c r="H57" s="103"/>
      <c r="I57" s="103"/>
      <c r="J57" s="81"/>
      <c r="K57" s="81"/>
      <c r="L57" s="103"/>
      <c r="M57" s="103"/>
      <c r="N57" s="82"/>
      <c r="O57" s="82"/>
      <c r="P57" s="83"/>
      <c r="Q57" s="83"/>
    </row>
    <row r="58" spans="1:17" s="94" customFormat="1" ht="15.6" x14ac:dyDescent="0.3">
      <c r="A58" s="81"/>
      <c r="B58" s="102"/>
      <c r="C58" s="102"/>
      <c r="D58" s="102"/>
      <c r="E58" s="81"/>
      <c r="F58" s="81"/>
      <c r="G58" s="103"/>
      <c r="H58" s="103"/>
      <c r="I58" s="103"/>
      <c r="J58" s="81"/>
      <c r="K58" s="81"/>
      <c r="L58" s="103"/>
      <c r="M58" s="103"/>
      <c r="N58" s="82"/>
      <c r="O58" s="82"/>
      <c r="P58" s="83"/>
      <c r="Q58" s="83"/>
    </row>
    <row r="59" spans="1:17" s="94" customFormat="1" ht="15.6" x14ac:dyDescent="0.3">
      <c r="A59" s="81"/>
      <c r="B59" s="102"/>
      <c r="C59" s="102"/>
      <c r="D59" s="102"/>
      <c r="E59" s="81"/>
      <c r="F59" s="81"/>
      <c r="G59" s="103"/>
      <c r="H59" s="103"/>
      <c r="I59" s="103"/>
      <c r="J59" s="81"/>
      <c r="K59" s="81"/>
      <c r="L59" s="103"/>
      <c r="M59" s="103"/>
      <c r="N59" s="82"/>
      <c r="O59" s="82"/>
      <c r="P59" s="83"/>
      <c r="Q59" s="83"/>
    </row>
    <row r="60" spans="1:17" s="94" customFormat="1" ht="15.6" x14ac:dyDescent="0.3">
      <c r="A60" s="81"/>
      <c r="B60" s="102"/>
      <c r="C60" s="102"/>
      <c r="D60" s="102"/>
      <c r="E60" s="81"/>
      <c r="F60" s="81"/>
      <c r="G60" s="103"/>
      <c r="H60" s="103"/>
      <c r="I60" s="103"/>
      <c r="J60" s="81"/>
      <c r="K60" s="81"/>
      <c r="L60" s="103"/>
      <c r="M60" s="103"/>
      <c r="N60" s="82"/>
      <c r="O60" s="82"/>
      <c r="P60" s="83"/>
      <c r="Q60" s="83"/>
    </row>
    <row r="61" spans="1:17" s="94" customFormat="1" ht="15.6" x14ac:dyDescent="0.3">
      <c r="A61" s="86"/>
      <c r="B61" s="102"/>
      <c r="C61" s="102"/>
      <c r="D61" s="102"/>
      <c r="E61" s="81"/>
      <c r="F61" s="81"/>
      <c r="G61" s="103"/>
      <c r="H61" s="103"/>
      <c r="I61" s="103"/>
      <c r="J61" s="81"/>
      <c r="K61" s="81"/>
      <c r="L61" s="103"/>
      <c r="M61" s="103"/>
      <c r="N61" s="82"/>
      <c r="O61" s="82"/>
      <c r="P61" s="83"/>
      <c r="Q61" s="83"/>
    </row>
    <row r="62" spans="1:17" s="94" customFormat="1" ht="15.6" x14ac:dyDescent="0.3">
      <c r="A62" s="81"/>
      <c r="B62" s="102"/>
      <c r="C62" s="102"/>
      <c r="D62" s="102"/>
      <c r="E62" s="81"/>
      <c r="F62" s="81"/>
      <c r="G62" s="103"/>
      <c r="H62" s="103"/>
      <c r="I62" s="103"/>
      <c r="J62" s="81"/>
      <c r="K62" s="81"/>
      <c r="L62" s="103"/>
      <c r="M62" s="103"/>
      <c r="N62" s="82"/>
      <c r="O62" s="82"/>
      <c r="P62" s="83"/>
      <c r="Q62" s="83"/>
    </row>
    <row r="63" spans="1:17" s="94" customFormat="1" ht="15.6" x14ac:dyDescent="0.3">
      <c r="A63" s="81"/>
      <c r="B63" s="102"/>
      <c r="C63" s="102"/>
      <c r="D63" s="102"/>
      <c r="E63" s="81"/>
      <c r="F63" s="81"/>
      <c r="G63" s="103"/>
      <c r="H63" s="103"/>
      <c r="I63" s="103"/>
      <c r="J63" s="81"/>
      <c r="K63" s="81"/>
      <c r="L63" s="103"/>
      <c r="M63" s="103"/>
      <c r="N63" s="82"/>
      <c r="O63" s="82"/>
      <c r="P63" s="83"/>
      <c r="Q63" s="83"/>
    </row>
    <row r="64" spans="1:17" s="94" customFormat="1" ht="15.6" x14ac:dyDescent="0.3">
      <c r="A64" s="81"/>
      <c r="B64" s="102"/>
      <c r="C64" s="102"/>
      <c r="D64" s="102"/>
      <c r="E64" s="81"/>
      <c r="F64" s="81"/>
      <c r="G64" s="103"/>
      <c r="H64" s="103"/>
      <c r="I64" s="103"/>
      <c r="J64" s="81"/>
      <c r="K64" s="81"/>
      <c r="L64" s="103"/>
      <c r="M64" s="103"/>
      <c r="N64" s="82"/>
      <c r="O64" s="82"/>
      <c r="P64" s="83"/>
      <c r="Q64" s="83"/>
    </row>
    <row r="65" spans="1:17" s="94" customFormat="1" ht="15.6" x14ac:dyDescent="0.3">
      <c r="A65" s="81"/>
      <c r="B65" s="102"/>
      <c r="C65" s="102"/>
      <c r="D65" s="102"/>
      <c r="E65" s="81"/>
      <c r="F65" s="81"/>
      <c r="G65" s="103"/>
      <c r="H65" s="103"/>
      <c r="I65" s="103"/>
      <c r="J65" s="81"/>
      <c r="K65" s="81"/>
      <c r="L65" s="103"/>
      <c r="M65" s="103"/>
      <c r="N65" s="82"/>
      <c r="O65" s="82"/>
      <c r="P65" s="83"/>
      <c r="Q65" s="83"/>
    </row>
    <row r="66" spans="1:17" s="94" customFormat="1" ht="15.6" x14ac:dyDescent="0.3">
      <c r="A66" s="81"/>
      <c r="B66" s="102"/>
      <c r="C66" s="102"/>
      <c r="D66" s="102"/>
      <c r="E66" s="81"/>
      <c r="F66" s="81"/>
      <c r="G66" s="103"/>
      <c r="H66" s="103"/>
      <c r="I66" s="103"/>
      <c r="J66" s="81"/>
      <c r="K66" s="81"/>
      <c r="L66" s="103"/>
      <c r="M66" s="103"/>
      <c r="N66" s="82"/>
      <c r="O66" s="82"/>
      <c r="P66" s="83"/>
      <c r="Q66" s="83"/>
    </row>
    <row r="67" spans="1:17" s="94" customFormat="1" ht="15.6" x14ac:dyDescent="0.3">
      <c r="A67" s="81"/>
      <c r="B67" s="102"/>
      <c r="C67" s="102"/>
      <c r="D67" s="102"/>
      <c r="E67" s="81"/>
      <c r="F67" s="81"/>
      <c r="G67" s="103"/>
      <c r="H67" s="103"/>
      <c r="I67" s="103"/>
      <c r="J67" s="81"/>
      <c r="K67" s="81"/>
      <c r="L67" s="103"/>
      <c r="M67" s="103"/>
      <c r="N67" s="82"/>
      <c r="O67" s="82"/>
      <c r="P67" s="83"/>
      <c r="Q67" s="83"/>
    </row>
    <row r="68" spans="1:17" s="94" customFormat="1" ht="15.6" x14ac:dyDescent="0.3">
      <c r="A68" s="81"/>
      <c r="B68" s="102"/>
      <c r="C68" s="102"/>
      <c r="D68" s="102"/>
      <c r="E68" s="81"/>
      <c r="F68" s="81"/>
      <c r="G68" s="103"/>
      <c r="H68" s="103"/>
      <c r="I68" s="103"/>
      <c r="J68" s="81"/>
      <c r="K68" s="81"/>
      <c r="L68" s="103"/>
      <c r="M68" s="103"/>
      <c r="N68" s="82"/>
      <c r="O68" s="82"/>
      <c r="P68" s="83"/>
      <c r="Q68" s="83"/>
    </row>
    <row r="69" spans="1:17" s="94" customFormat="1" ht="15.6" x14ac:dyDescent="0.3">
      <c r="A69" s="81"/>
      <c r="B69" s="102"/>
      <c r="C69" s="102"/>
      <c r="D69" s="102"/>
      <c r="E69" s="81"/>
      <c r="F69" s="81"/>
      <c r="G69" s="103"/>
      <c r="H69" s="103"/>
      <c r="I69" s="103"/>
      <c r="J69" s="81"/>
      <c r="K69" s="81"/>
      <c r="L69" s="103"/>
      <c r="M69" s="103"/>
      <c r="N69" s="82"/>
      <c r="O69" s="82"/>
      <c r="P69" s="83"/>
      <c r="Q69" s="83"/>
    </row>
    <row r="70" spans="1:17" s="94" customFormat="1" ht="15.6" x14ac:dyDescent="0.3">
      <c r="A70" s="81"/>
      <c r="B70" s="102"/>
      <c r="C70" s="102"/>
      <c r="D70" s="102"/>
      <c r="E70" s="81"/>
      <c r="F70" s="81"/>
      <c r="G70" s="103"/>
      <c r="H70" s="103"/>
      <c r="I70" s="103"/>
      <c r="J70" s="81"/>
      <c r="K70" s="81"/>
      <c r="L70" s="103"/>
      <c r="M70" s="103"/>
      <c r="N70" s="82"/>
      <c r="O70" s="82"/>
      <c r="P70" s="83"/>
      <c r="Q70" s="83"/>
    </row>
    <row r="71" spans="1:17" s="94" customFormat="1" ht="15.6" x14ac:dyDescent="0.3">
      <c r="A71" s="81"/>
      <c r="B71" s="102"/>
      <c r="C71" s="102"/>
      <c r="D71" s="102"/>
      <c r="E71" s="81"/>
      <c r="F71" s="81"/>
      <c r="G71" s="103"/>
      <c r="H71" s="103"/>
      <c r="I71" s="103"/>
      <c r="J71" s="81"/>
      <c r="K71" s="81"/>
      <c r="L71" s="103"/>
      <c r="M71" s="103"/>
      <c r="N71" s="82"/>
      <c r="O71" s="82"/>
      <c r="P71" s="83"/>
      <c r="Q71" s="83"/>
    </row>
    <row r="72" spans="1:17" s="94" customFormat="1" ht="15.6" x14ac:dyDescent="0.3">
      <c r="A72" s="81"/>
      <c r="B72" s="102"/>
      <c r="C72" s="102"/>
      <c r="D72" s="102"/>
      <c r="E72" s="81"/>
      <c r="F72" s="81"/>
      <c r="G72" s="103"/>
      <c r="H72" s="103"/>
      <c r="I72" s="103"/>
      <c r="J72" s="81"/>
      <c r="K72" s="81"/>
      <c r="L72" s="103"/>
      <c r="M72" s="103"/>
      <c r="N72" s="82"/>
      <c r="O72" s="82"/>
      <c r="P72" s="83"/>
      <c r="Q72" s="83"/>
    </row>
    <row r="73" spans="1:17" s="94" customFormat="1" ht="15.6" x14ac:dyDescent="0.3">
      <c r="A73" s="81"/>
      <c r="B73" s="102"/>
      <c r="C73" s="102"/>
      <c r="D73" s="102"/>
      <c r="E73" s="81"/>
      <c r="F73" s="81"/>
      <c r="G73" s="103"/>
      <c r="H73" s="103"/>
      <c r="I73" s="103"/>
      <c r="J73" s="81"/>
      <c r="K73" s="81"/>
      <c r="L73" s="103"/>
      <c r="M73" s="103"/>
      <c r="N73" s="82"/>
      <c r="O73" s="82"/>
      <c r="P73" s="83"/>
      <c r="Q73" s="83"/>
    </row>
    <row r="74" spans="1:17" s="94" customFormat="1" ht="15.6" x14ac:dyDescent="0.3">
      <c r="A74" s="81"/>
      <c r="B74" s="102"/>
      <c r="C74" s="102"/>
      <c r="D74" s="102"/>
      <c r="E74" s="81"/>
      <c r="F74" s="81"/>
      <c r="G74" s="103"/>
      <c r="H74" s="103"/>
      <c r="I74" s="103"/>
      <c r="J74" s="81"/>
      <c r="K74" s="81"/>
      <c r="L74" s="103"/>
      <c r="M74" s="103"/>
      <c r="N74" s="82"/>
      <c r="O74" s="82"/>
      <c r="P74" s="83"/>
      <c r="Q74" s="83"/>
    </row>
    <row r="75" spans="1:17" s="94" customFormat="1" ht="15.6" x14ac:dyDescent="0.3">
      <c r="A75" s="81"/>
      <c r="B75" s="102"/>
      <c r="C75" s="102"/>
      <c r="D75" s="102"/>
      <c r="E75" s="81"/>
      <c r="F75" s="81"/>
      <c r="G75" s="103"/>
      <c r="H75" s="103"/>
      <c r="I75" s="103"/>
      <c r="J75" s="81"/>
      <c r="K75" s="81"/>
      <c r="L75" s="103"/>
      <c r="M75" s="103"/>
      <c r="N75" s="82"/>
      <c r="O75" s="82"/>
      <c r="P75" s="83"/>
      <c r="Q75" s="83"/>
    </row>
    <row r="76" spans="1:17" s="94" customFormat="1" ht="15.6" x14ac:dyDescent="0.3">
      <c r="A76" s="81"/>
      <c r="B76" s="102"/>
      <c r="C76" s="102"/>
      <c r="D76" s="102"/>
      <c r="E76" s="81"/>
      <c r="F76" s="81"/>
      <c r="G76" s="103"/>
      <c r="H76" s="103"/>
      <c r="I76" s="103"/>
      <c r="J76" s="81"/>
      <c r="K76" s="81"/>
      <c r="L76" s="103"/>
      <c r="M76" s="103"/>
      <c r="N76" s="82"/>
      <c r="O76" s="82"/>
      <c r="P76" s="83"/>
      <c r="Q76" s="83"/>
    </row>
    <row r="77" spans="1:17" s="94" customFormat="1" ht="15.6" x14ac:dyDescent="0.3">
      <c r="A77" s="81"/>
      <c r="B77" s="102"/>
      <c r="C77" s="102"/>
      <c r="D77" s="102"/>
      <c r="E77" s="81"/>
      <c r="F77" s="81"/>
      <c r="G77" s="103"/>
      <c r="H77" s="103"/>
      <c r="I77" s="103"/>
      <c r="J77" s="81"/>
      <c r="K77" s="81"/>
      <c r="L77" s="103"/>
      <c r="M77" s="103"/>
      <c r="N77" s="82"/>
      <c r="O77" s="82"/>
      <c r="P77" s="83"/>
      <c r="Q77" s="83"/>
    </row>
    <row r="78" spans="1:17" s="104" customFormat="1" ht="15" x14ac:dyDescent="0.3">
      <c r="A78" s="81"/>
      <c r="B78" s="102"/>
      <c r="C78" s="102"/>
      <c r="D78" s="102"/>
      <c r="E78" s="81"/>
      <c r="F78" s="81"/>
      <c r="G78" s="103"/>
      <c r="H78" s="103"/>
      <c r="I78" s="103"/>
      <c r="J78" s="81"/>
      <c r="K78" s="81"/>
      <c r="L78" s="103"/>
      <c r="M78" s="103"/>
      <c r="N78" s="82"/>
      <c r="O78" s="82"/>
      <c r="P78" s="83"/>
      <c r="Q78" s="83"/>
    </row>
    <row r="79" spans="1:17" s="104" customFormat="1" ht="15" x14ac:dyDescent="0.3">
      <c r="A79" s="81"/>
      <c r="B79" s="102"/>
      <c r="C79" s="102"/>
      <c r="D79" s="102"/>
      <c r="E79" s="81"/>
      <c r="F79" s="81"/>
      <c r="G79" s="103"/>
      <c r="H79" s="103"/>
      <c r="I79" s="103"/>
      <c r="J79" s="81"/>
      <c r="K79" s="81"/>
      <c r="L79" s="103"/>
      <c r="M79" s="103"/>
      <c r="N79" s="82"/>
      <c r="O79" s="82"/>
      <c r="P79" s="83"/>
      <c r="Q79" s="83"/>
    </row>
    <row r="80" spans="1:17" s="104" customFormat="1" ht="15" x14ac:dyDescent="0.3">
      <c r="A80" s="81"/>
      <c r="B80" s="102"/>
      <c r="C80" s="102"/>
      <c r="D80" s="102"/>
      <c r="E80" s="81"/>
      <c r="F80" s="81"/>
      <c r="G80" s="103"/>
      <c r="H80" s="103"/>
      <c r="I80" s="103"/>
      <c r="J80" s="81"/>
      <c r="K80" s="81"/>
      <c r="L80" s="103"/>
      <c r="M80" s="103"/>
      <c r="N80" s="82"/>
      <c r="O80" s="82"/>
      <c r="P80" s="83"/>
      <c r="Q80" s="83"/>
    </row>
    <row r="81" spans="1:17" s="104" customFormat="1" ht="15" x14ac:dyDescent="0.3">
      <c r="A81" s="81"/>
      <c r="B81" s="102"/>
      <c r="C81" s="102"/>
      <c r="D81" s="102"/>
      <c r="E81" s="81"/>
      <c r="F81" s="81"/>
      <c r="G81" s="103"/>
      <c r="H81" s="103"/>
      <c r="I81" s="103"/>
      <c r="J81" s="81"/>
      <c r="K81" s="81"/>
      <c r="L81" s="103"/>
      <c r="M81" s="103"/>
      <c r="N81" s="82"/>
      <c r="O81" s="82"/>
      <c r="P81" s="83"/>
      <c r="Q81" s="83"/>
    </row>
    <row r="82" spans="1:17" s="104" customFormat="1" ht="15" x14ac:dyDescent="0.3">
      <c r="A82" s="81"/>
      <c r="B82" s="102"/>
      <c r="C82" s="102"/>
      <c r="D82" s="102"/>
      <c r="E82" s="81"/>
      <c r="F82" s="81"/>
      <c r="G82" s="103"/>
      <c r="H82" s="103"/>
      <c r="I82" s="103"/>
      <c r="J82" s="81"/>
      <c r="K82" s="81"/>
      <c r="L82" s="103"/>
      <c r="M82" s="103"/>
      <c r="N82" s="82"/>
      <c r="O82" s="82"/>
      <c r="P82" s="83"/>
      <c r="Q82" s="83"/>
    </row>
    <row r="83" spans="1:17" s="104" customFormat="1" ht="15" x14ac:dyDescent="0.3">
      <c r="A83" s="81"/>
      <c r="B83" s="102"/>
      <c r="C83" s="102"/>
      <c r="D83" s="102"/>
      <c r="E83" s="81"/>
      <c r="F83" s="81"/>
      <c r="G83" s="103"/>
      <c r="H83" s="103"/>
      <c r="I83" s="103"/>
      <c r="J83" s="81"/>
      <c r="K83" s="81"/>
      <c r="L83" s="103"/>
      <c r="M83" s="103"/>
      <c r="N83" s="82"/>
      <c r="O83" s="82"/>
      <c r="P83" s="83"/>
      <c r="Q83" s="83"/>
    </row>
    <row r="84" spans="1:17" s="104" customFormat="1" ht="15" x14ac:dyDescent="0.3">
      <c r="A84" s="81"/>
      <c r="B84" s="102"/>
      <c r="C84" s="102"/>
      <c r="D84" s="102"/>
      <c r="E84" s="81"/>
      <c r="F84" s="81"/>
      <c r="G84" s="103"/>
      <c r="H84" s="103"/>
      <c r="I84" s="103"/>
      <c r="J84" s="81"/>
      <c r="K84" s="81"/>
      <c r="L84" s="103"/>
      <c r="M84" s="103"/>
      <c r="N84" s="82"/>
      <c r="O84" s="82"/>
      <c r="P84" s="83"/>
      <c r="Q84" s="83"/>
    </row>
    <row r="85" spans="1:17" s="104" customFormat="1" ht="15" x14ac:dyDescent="0.3">
      <c r="A85" s="81"/>
      <c r="B85" s="102"/>
      <c r="C85" s="102"/>
      <c r="D85" s="102"/>
      <c r="E85" s="81"/>
      <c r="F85" s="81"/>
      <c r="G85" s="103"/>
      <c r="H85" s="103"/>
      <c r="I85" s="103"/>
      <c r="J85" s="81"/>
      <c r="K85" s="81"/>
      <c r="L85" s="103"/>
      <c r="M85" s="103"/>
      <c r="N85" s="82"/>
      <c r="O85" s="82"/>
      <c r="P85" s="83"/>
      <c r="Q85" s="83"/>
    </row>
    <row r="86" spans="1:17" s="104" customFormat="1" ht="15" x14ac:dyDescent="0.3">
      <c r="A86" s="81"/>
      <c r="B86" s="102"/>
      <c r="C86" s="102"/>
      <c r="D86" s="102"/>
      <c r="E86" s="81"/>
      <c r="F86" s="81"/>
      <c r="G86" s="103"/>
      <c r="H86" s="103"/>
      <c r="I86" s="103"/>
      <c r="J86" s="81"/>
      <c r="K86" s="81"/>
      <c r="L86" s="103"/>
      <c r="M86" s="103"/>
      <c r="N86" s="82"/>
      <c r="O86" s="82"/>
      <c r="P86" s="83"/>
      <c r="Q86" s="83"/>
    </row>
    <row r="87" spans="1:17" s="104" customFormat="1" ht="15" x14ac:dyDescent="0.3">
      <c r="A87" s="81"/>
      <c r="B87" s="102"/>
      <c r="C87" s="102"/>
      <c r="D87" s="102"/>
      <c r="E87" s="81"/>
      <c r="F87" s="81"/>
      <c r="G87" s="103"/>
      <c r="H87" s="103"/>
      <c r="I87" s="103"/>
      <c r="J87" s="81"/>
      <c r="K87" s="81"/>
      <c r="L87" s="103"/>
      <c r="M87" s="103"/>
      <c r="N87" s="82"/>
      <c r="O87" s="82"/>
      <c r="P87" s="83"/>
      <c r="Q87" s="83"/>
    </row>
    <row r="88" spans="1:17" s="104" customFormat="1" ht="15" x14ac:dyDescent="0.3">
      <c r="A88" s="81"/>
      <c r="B88" s="102"/>
      <c r="C88" s="102"/>
      <c r="D88" s="102"/>
      <c r="E88" s="81"/>
      <c r="F88" s="81"/>
      <c r="G88" s="103"/>
      <c r="H88" s="103"/>
      <c r="I88" s="103"/>
      <c r="J88" s="81"/>
      <c r="K88" s="81"/>
      <c r="L88" s="103"/>
      <c r="M88" s="103"/>
      <c r="N88" s="82"/>
      <c r="O88" s="82"/>
      <c r="P88" s="83"/>
      <c r="Q88" s="83"/>
    </row>
    <row r="89" spans="1:17" s="104" customFormat="1" ht="15" x14ac:dyDescent="0.3">
      <c r="A89" s="81"/>
      <c r="B89" s="102"/>
      <c r="C89" s="102"/>
      <c r="D89" s="102"/>
      <c r="E89" s="81"/>
      <c r="F89" s="81"/>
      <c r="G89" s="103"/>
      <c r="H89" s="103"/>
      <c r="I89" s="103"/>
      <c r="J89" s="81"/>
      <c r="K89" s="81"/>
      <c r="L89" s="103"/>
      <c r="M89" s="103"/>
      <c r="N89" s="82"/>
      <c r="O89" s="82"/>
      <c r="P89" s="83"/>
      <c r="Q89" s="83"/>
    </row>
    <row r="90" spans="1:17" s="104" customFormat="1" ht="15" x14ac:dyDescent="0.3">
      <c r="A90" s="81"/>
      <c r="B90" s="102"/>
      <c r="C90" s="102"/>
      <c r="D90" s="102"/>
      <c r="E90" s="81"/>
      <c r="F90" s="81"/>
      <c r="G90" s="103"/>
      <c r="H90" s="103"/>
      <c r="I90" s="103"/>
      <c r="J90" s="81"/>
      <c r="K90" s="81"/>
      <c r="L90" s="103"/>
      <c r="M90" s="103"/>
      <c r="N90" s="82"/>
      <c r="O90" s="82"/>
      <c r="P90" s="83"/>
      <c r="Q90" s="83"/>
    </row>
    <row r="91" spans="1:17" s="104" customFormat="1" ht="15" x14ac:dyDescent="0.3">
      <c r="A91" s="81"/>
      <c r="B91" s="102"/>
      <c r="C91" s="102"/>
      <c r="D91" s="102"/>
      <c r="E91" s="81"/>
      <c r="F91" s="81"/>
      <c r="G91" s="103"/>
      <c r="H91" s="103"/>
      <c r="I91" s="103"/>
      <c r="J91" s="81"/>
      <c r="K91" s="81"/>
      <c r="L91" s="103"/>
      <c r="M91" s="103"/>
      <c r="N91" s="82"/>
      <c r="O91" s="82"/>
      <c r="P91" s="83"/>
      <c r="Q91" s="83"/>
    </row>
    <row r="92" spans="1:17" s="104" customFormat="1" ht="15" x14ac:dyDescent="0.3">
      <c r="A92" s="81"/>
      <c r="B92" s="102"/>
      <c r="C92" s="102"/>
      <c r="D92" s="102"/>
      <c r="E92" s="81"/>
      <c r="F92" s="81"/>
      <c r="G92" s="103"/>
      <c r="H92" s="103"/>
      <c r="I92" s="103"/>
      <c r="J92" s="81"/>
      <c r="K92" s="81"/>
      <c r="L92" s="103"/>
      <c r="M92" s="103"/>
      <c r="N92" s="82"/>
      <c r="O92" s="82"/>
      <c r="P92" s="83"/>
      <c r="Q92" s="83"/>
    </row>
    <row r="93" spans="1:17" s="104" customFormat="1" ht="15" x14ac:dyDescent="0.3">
      <c r="A93" s="81"/>
      <c r="B93" s="102"/>
      <c r="C93" s="102"/>
      <c r="D93" s="102"/>
      <c r="E93" s="81"/>
      <c r="F93" s="81"/>
      <c r="G93" s="103"/>
      <c r="H93" s="103"/>
      <c r="I93" s="103"/>
      <c r="J93" s="81"/>
      <c r="K93" s="81"/>
      <c r="L93" s="103"/>
      <c r="M93" s="103"/>
      <c r="N93" s="82"/>
      <c r="O93" s="82"/>
      <c r="P93" s="83"/>
      <c r="Q93" s="83"/>
    </row>
    <row r="94" spans="1:17" s="104" customFormat="1" ht="15" x14ac:dyDescent="0.3">
      <c r="A94" s="81"/>
      <c r="B94" s="102"/>
      <c r="C94" s="102"/>
      <c r="D94" s="102"/>
      <c r="E94" s="81"/>
      <c r="F94" s="81"/>
      <c r="G94" s="103"/>
      <c r="H94" s="103"/>
      <c r="I94" s="103"/>
      <c r="J94" s="81"/>
      <c r="K94" s="81"/>
      <c r="L94" s="103"/>
      <c r="M94" s="103"/>
      <c r="N94" s="82"/>
      <c r="O94" s="82"/>
      <c r="P94" s="83"/>
      <c r="Q94" s="83"/>
    </row>
    <row r="95" spans="1:17" s="104" customFormat="1" ht="15" x14ac:dyDescent="0.3">
      <c r="A95" s="81"/>
      <c r="B95" s="102"/>
      <c r="C95" s="102"/>
      <c r="D95" s="102"/>
      <c r="E95" s="81"/>
      <c r="F95" s="81"/>
      <c r="G95" s="103"/>
      <c r="H95" s="103"/>
      <c r="I95" s="103"/>
      <c r="J95" s="81"/>
      <c r="K95" s="81"/>
      <c r="L95" s="103"/>
      <c r="M95" s="103"/>
      <c r="N95" s="82"/>
      <c r="O95" s="82"/>
      <c r="P95" s="83"/>
      <c r="Q95" s="83"/>
    </row>
    <row r="96" spans="1:17" s="104" customFormat="1" ht="15" x14ac:dyDescent="0.3">
      <c r="A96" s="81"/>
      <c r="B96" s="102"/>
      <c r="C96" s="102"/>
      <c r="D96" s="102"/>
      <c r="E96" s="81"/>
      <c r="F96" s="81"/>
      <c r="G96" s="103"/>
      <c r="H96" s="103"/>
      <c r="I96" s="103"/>
      <c r="J96" s="81"/>
      <c r="K96" s="81"/>
      <c r="L96" s="103"/>
      <c r="M96" s="103"/>
      <c r="N96" s="82"/>
      <c r="O96" s="82"/>
      <c r="P96" s="83"/>
      <c r="Q96" s="83"/>
    </row>
    <row r="97" spans="1:17" s="104" customFormat="1" ht="15" x14ac:dyDescent="0.3">
      <c r="A97" s="81"/>
      <c r="B97" s="102"/>
      <c r="C97" s="102"/>
      <c r="D97" s="102"/>
      <c r="E97" s="81"/>
      <c r="F97" s="81"/>
      <c r="G97" s="103"/>
      <c r="H97" s="103"/>
      <c r="I97" s="103"/>
      <c r="J97" s="81"/>
      <c r="K97" s="81"/>
      <c r="L97" s="103"/>
      <c r="M97" s="103"/>
      <c r="N97" s="82"/>
      <c r="O97" s="82"/>
      <c r="P97" s="83"/>
      <c r="Q97" s="83"/>
    </row>
    <row r="98" spans="1:17" s="104" customFormat="1" ht="15" x14ac:dyDescent="0.3">
      <c r="A98" s="81"/>
      <c r="B98" s="102"/>
      <c r="C98" s="102"/>
      <c r="D98" s="102"/>
      <c r="E98" s="81"/>
      <c r="F98" s="81"/>
      <c r="G98" s="103"/>
      <c r="H98" s="103"/>
      <c r="I98" s="103"/>
      <c r="J98" s="81"/>
      <c r="K98" s="81"/>
      <c r="L98" s="103"/>
      <c r="M98" s="103"/>
      <c r="N98" s="82"/>
      <c r="O98" s="82"/>
      <c r="P98" s="83"/>
      <c r="Q98" s="83"/>
    </row>
  </sheetData>
  <mergeCells count="1">
    <mergeCell ref="A1:D1"/>
  </mergeCells>
  <pageMargins left="0.50245098039215685" right="0.39215686274509803" top="0.43478260869565216" bottom="0.3079710144927536" header="0.31496062992125984" footer="0.31496062992125984"/>
  <pageSetup paperSize="9" fitToHeight="0" orientation="landscape" blackAndWhite="1" horizontalDpi="300" verticalDpi="300" r:id="rId1"/>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212"/>
  <sheetViews>
    <sheetView topLeftCell="A15" workbookViewId="0">
      <selection activeCell="C13" sqref="C13"/>
    </sheetView>
  </sheetViews>
  <sheetFormatPr defaultColWidth="9.109375" defaultRowHeight="13.8" x14ac:dyDescent="0.3"/>
  <cols>
    <col min="1" max="1" width="56.88671875" style="61" customWidth="1"/>
    <col min="2" max="4" width="12.88671875" style="45" customWidth="1"/>
    <col min="5" max="16384" width="9.109375" style="157"/>
  </cols>
  <sheetData>
    <row r="1" spans="1:4" s="105" customFormat="1" ht="17.399999999999999" x14ac:dyDescent="0.3">
      <c r="A1" s="437" t="s">
        <v>508</v>
      </c>
      <c r="B1" s="437"/>
      <c r="C1" s="437"/>
      <c r="D1" s="437"/>
    </row>
    <row r="2" spans="1:4" s="105" customFormat="1" ht="27.75" customHeight="1" x14ac:dyDescent="0.3">
      <c r="A2" s="438" t="s">
        <v>509</v>
      </c>
      <c r="B2" s="438"/>
      <c r="C2" s="438"/>
      <c r="D2" s="438"/>
    </row>
    <row r="3" spans="1:4" s="105" customFormat="1" ht="17.399999999999999" x14ac:dyDescent="0.3">
      <c r="A3" s="439"/>
      <c r="B3" s="439"/>
      <c r="C3" s="439"/>
      <c r="D3" s="439"/>
    </row>
    <row r="4" spans="1:4" s="371" customFormat="1" x14ac:dyDescent="0.3">
      <c r="A4" s="373" t="s">
        <v>115</v>
      </c>
      <c r="B4" s="365">
        <f>'1A-Bilant'!B5</f>
        <v>2018</v>
      </c>
      <c r="C4" s="365">
        <f>'1A-Bilant'!C5</f>
        <v>2019</v>
      </c>
      <c r="D4" s="365" t="str">
        <f>'1A-Bilant'!D5</f>
        <v>AN</v>
      </c>
    </row>
    <row r="5" spans="1:4" x14ac:dyDescent="0.3">
      <c r="A5" s="106" t="s">
        <v>381</v>
      </c>
      <c r="B5" s="107">
        <f>'1C-Analiza_fin_extinsa'!B21-'1C-Analiza_fin_extinsa'!B16-'1C-Analiza_fin_extinsa'!B11</f>
        <v>457202</v>
      </c>
      <c r="C5" s="107">
        <f>'1C-Analiza_fin_extinsa'!C21-'1C-Analiza_fin_extinsa'!C16-'1C-Analiza_fin_extinsa'!C11</f>
        <v>559874</v>
      </c>
      <c r="D5" s="107">
        <f>'1C-Analiza_fin_extinsa'!D21-'1C-Analiza_fin_extinsa'!D16-'1C-Analiza_fin_extinsa'!D11</f>
        <v>0</v>
      </c>
    </row>
    <row r="6" spans="1:4" ht="27.6" x14ac:dyDescent="0.3">
      <c r="A6" s="106" t="s">
        <v>382</v>
      </c>
      <c r="B6" s="107">
        <f>'1C-Analiza_fin_extinsa'!B20+'1C-Analiza_fin_extinsa'!B16-'1C-Analiza_fin_extinsa'!B4</f>
        <v>364141</v>
      </c>
      <c r="C6" s="107">
        <f>'1C-Analiza_fin_extinsa'!C20+'1C-Analiza_fin_extinsa'!C16-'1C-Analiza_fin_extinsa'!C4</f>
        <v>178321</v>
      </c>
      <c r="D6" s="107">
        <f>'1C-Analiza_fin_extinsa'!D20+'1C-Analiza_fin_extinsa'!D16-'1C-Analiza_fin_extinsa'!D4</f>
        <v>0</v>
      </c>
    </row>
    <row r="7" spans="1:4" ht="27.6" x14ac:dyDescent="0.3">
      <c r="A7" s="106" t="s">
        <v>383</v>
      </c>
      <c r="B7" s="107">
        <f>('1C-Analiza_fin_extinsa'!B5-'1C-Analiza_fin_extinsa'!B9)-('1C-Analiza_fin_extinsa'!B11-'1C-Analiza_fin_extinsa'!B12)</f>
        <v>-8631</v>
      </c>
      <c r="C7" s="107">
        <f>('1C-Analiza_fin_extinsa'!C5-'1C-Analiza_fin_extinsa'!C9)-('1C-Analiza_fin_extinsa'!C11-'1C-Analiza_fin_extinsa'!C12)</f>
        <v>-259031</v>
      </c>
      <c r="D7" s="107">
        <f>('1C-Analiza_fin_extinsa'!D5-'1C-Analiza_fin_extinsa'!D9)-('1C-Analiza_fin_extinsa'!D11-'1C-Analiza_fin_extinsa'!D12)</f>
        <v>0</v>
      </c>
    </row>
    <row r="8" spans="1:4" x14ac:dyDescent="0.3">
      <c r="A8" s="106" t="s">
        <v>384</v>
      </c>
      <c r="B8" s="107">
        <f>B6-B7</f>
        <v>372772</v>
      </c>
      <c r="C8" s="107">
        <f t="shared" ref="C8:D8" si="0">C6-C7</f>
        <v>437352</v>
      </c>
      <c r="D8" s="107">
        <f t="shared" si="0"/>
        <v>0</v>
      </c>
    </row>
    <row r="9" spans="1:4" x14ac:dyDescent="0.3">
      <c r="A9" s="106" t="s">
        <v>385</v>
      </c>
      <c r="B9" s="107"/>
      <c r="C9" s="107">
        <f>C8-B8</f>
        <v>64580</v>
      </c>
      <c r="D9" s="107">
        <f>D8-C8</f>
        <v>-437352</v>
      </c>
    </row>
    <row r="10" spans="1:4" x14ac:dyDescent="0.3">
      <c r="A10" s="106" t="s">
        <v>386</v>
      </c>
      <c r="B10" s="108">
        <f>IFERROR(B7/B6,"")</f>
        <v>-2.3702357053998313E-2</v>
      </c>
      <c r="C10" s="108">
        <f t="shared" ref="C10:D10" si="1">IFERROR(C7/C6,"")</f>
        <v>-1.4526107413036042</v>
      </c>
      <c r="D10" s="108" t="str">
        <f t="shared" si="1"/>
        <v/>
      </c>
    </row>
    <row r="11" spans="1:4" x14ac:dyDescent="0.3">
      <c r="B11" s="109"/>
      <c r="C11" s="109"/>
      <c r="D11" s="109"/>
    </row>
    <row r="12" spans="1:4" x14ac:dyDescent="0.3">
      <c r="A12" s="110" t="s">
        <v>136</v>
      </c>
      <c r="B12" s="406">
        <f>'1A-Bilant'!B5</f>
        <v>2018</v>
      </c>
      <c r="C12" s="406">
        <f>'1A-Bilant'!C5</f>
        <v>2019</v>
      </c>
      <c r="D12" s="406" t="str">
        <f>'1A-Bilant'!D5</f>
        <v>AN</v>
      </c>
    </row>
    <row r="13" spans="1:4" x14ac:dyDescent="0.3">
      <c r="A13" s="111" t="s">
        <v>138</v>
      </c>
      <c r="B13" s="112">
        <f>'1C-Analiza_fin_extinsa'!B25</f>
        <v>1856597</v>
      </c>
      <c r="C13" s="112">
        <f>'1C-Analiza_fin_extinsa'!C25</f>
        <v>2747586</v>
      </c>
      <c r="D13" s="112">
        <f>'1C-Analiza_fin_extinsa'!D25</f>
        <v>0</v>
      </c>
    </row>
    <row r="14" spans="1:4" x14ac:dyDescent="0.3">
      <c r="A14" s="111" t="s">
        <v>77</v>
      </c>
      <c r="B14" s="112">
        <f>'1C-Analiza_fin_extinsa'!B27</f>
        <v>1858661</v>
      </c>
      <c r="C14" s="112">
        <f>'1C-Analiza_fin_extinsa'!C27</f>
        <v>2916929</v>
      </c>
      <c r="D14" s="112">
        <f>'1C-Analiza_fin_extinsa'!D27</f>
        <v>0</v>
      </c>
    </row>
    <row r="15" spans="1:4" x14ac:dyDescent="0.3">
      <c r="A15" s="111" t="s">
        <v>85</v>
      </c>
      <c r="B15" s="112">
        <f>'1C-Analiza_fin_extinsa'!B30</f>
        <v>1482622</v>
      </c>
      <c r="C15" s="112">
        <f>'1C-Analiza_fin_extinsa'!C30</f>
        <v>2306155</v>
      </c>
      <c r="D15" s="112">
        <f>'1C-Analiza_fin_extinsa'!D30</f>
        <v>0</v>
      </c>
    </row>
    <row r="16" spans="1:4" ht="27.6" x14ac:dyDescent="0.3">
      <c r="A16" s="111" t="s">
        <v>387</v>
      </c>
      <c r="B16" s="112">
        <f>'1C-Analiza_fin_extinsa'!B31</f>
        <v>376039</v>
      </c>
      <c r="C16" s="112">
        <f>'1C-Analiza_fin_extinsa'!C31</f>
        <v>610774</v>
      </c>
      <c r="D16" s="112">
        <f>'1C-Analiza_fin_extinsa'!D31</f>
        <v>0</v>
      </c>
    </row>
    <row r="17" spans="1:4" x14ac:dyDescent="0.3">
      <c r="A17" s="111" t="s">
        <v>55</v>
      </c>
      <c r="B17" s="112">
        <f>'1C-Analiza_fin_extinsa'!B32</f>
        <v>0</v>
      </c>
      <c r="C17" s="112">
        <f>'1C-Analiza_fin_extinsa'!C32</f>
        <v>8276</v>
      </c>
      <c r="D17" s="112">
        <f>'1C-Analiza_fin_extinsa'!D32</f>
        <v>0</v>
      </c>
    </row>
    <row r="18" spans="1:4" x14ac:dyDescent="0.3">
      <c r="A18" s="111" t="s">
        <v>56</v>
      </c>
      <c r="B18" s="112">
        <f>'1C-Analiza_fin_extinsa'!B36</f>
        <v>13601</v>
      </c>
      <c r="C18" s="112">
        <f>'1C-Analiza_fin_extinsa'!C36</f>
        <v>37522</v>
      </c>
      <c r="D18" s="112">
        <f>'1C-Analiza_fin_extinsa'!D36</f>
        <v>0</v>
      </c>
    </row>
    <row r="19" spans="1:4" s="113" customFormat="1" x14ac:dyDescent="0.3">
      <c r="A19" s="111" t="s">
        <v>388</v>
      </c>
      <c r="B19" s="112">
        <f>'1C-Analiza_fin_extinsa'!B37</f>
        <v>-13601</v>
      </c>
      <c r="C19" s="112">
        <f>'1C-Analiza_fin_extinsa'!C37</f>
        <v>-29246</v>
      </c>
      <c r="D19" s="112">
        <f>'1C-Analiza_fin_extinsa'!D37</f>
        <v>0</v>
      </c>
    </row>
    <row r="20" spans="1:4" x14ac:dyDescent="0.3">
      <c r="A20" s="111" t="s">
        <v>389</v>
      </c>
      <c r="B20" s="112">
        <f>'1C-Analiza_fin_extinsa'!B38</f>
        <v>362438</v>
      </c>
      <c r="C20" s="112">
        <f>'1C-Analiza_fin_extinsa'!C38</f>
        <v>581528</v>
      </c>
      <c r="D20" s="112">
        <f>'1C-Analiza_fin_extinsa'!D38</f>
        <v>0</v>
      </c>
    </row>
    <row r="21" spans="1:4" x14ac:dyDescent="0.3">
      <c r="A21" s="111" t="s">
        <v>63</v>
      </c>
      <c r="B21" s="112">
        <f>'1C-Analiza_fin_extinsa'!B39</f>
        <v>0</v>
      </c>
      <c r="C21" s="112">
        <f>'1C-Analiza_fin_extinsa'!C39</f>
        <v>0</v>
      </c>
      <c r="D21" s="112">
        <f>'1C-Analiza_fin_extinsa'!D39</f>
        <v>0</v>
      </c>
    </row>
    <row r="22" spans="1:4" x14ac:dyDescent="0.3">
      <c r="A22" s="111" t="s">
        <v>64</v>
      </c>
      <c r="B22" s="112">
        <f>'1C-Analiza_fin_extinsa'!B40</f>
        <v>0</v>
      </c>
      <c r="C22" s="112">
        <f>'1C-Analiza_fin_extinsa'!C40</f>
        <v>0</v>
      </c>
      <c r="D22" s="112">
        <f>'1C-Analiza_fin_extinsa'!D40</f>
        <v>0</v>
      </c>
    </row>
    <row r="23" spans="1:4" ht="27.6" x14ac:dyDescent="0.3">
      <c r="A23" s="111" t="s">
        <v>390</v>
      </c>
      <c r="B23" s="112">
        <f>'1C-Analiza_fin_extinsa'!B41</f>
        <v>0</v>
      </c>
      <c r="C23" s="112">
        <f>'1C-Analiza_fin_extinsa'!C41</f>
        <v>0</v>
      </c>
      <c r="D23" s="112">
        <f>'1C-Analiza_fin_extinsa'!D41</f>
        <v>0</v>
      </c>
    </row>
    <row r="24" spans="1:4" x14ac:dyDescent="0.3">
      <c r="A24" s="111" t="s">
        <v>68</v>
      </c>
      <c r="B24" s="112">
        <f>'1C-Analiza_fin_extinsa'!B42</f>
        <v>1858661</v>
      </c>
      <c r="C24" s="112">
        <f>'1C-Analiza_fin_extinsa'!C42</f>
        <v>2925205</v>
      </c>
      <c r="D24" s="112">
        <f>'1C-Analiza_fin_extinsa'!D42</f>
        <v>0</v>
      </c>
    </row>
    <row r="25" spans="1:4" x14ac:dyDescent="0.3">
      <c r="A25" s="111" t="s">
        <v>69</v>
      </c>
      <c r="B25" s="112">
        <f>'1C-Analiza_fin_extinsa'!B43</f>
        <v>1496223</v>
      </c>
      <c r="C25" s="112">
        <f>'1C-Analiza_fin_extinsa'!C43</f>
        <v>2343677</v>
      </c>
      <c r="D25" s="112">
        <f>'1C-Analiza_fin_extinsa'!D43</f>
        <v>0</v>
      </c>
    </row>
    <row r="26" spans="1:4" x14ac:dyDescent="0.3">
      <c r="A26" s="111" t="s">
        <v>391</v>
      </c>
      <c r="B26" s="112">
        <f>'1C-Analiza_fin_extinsa'!B44</f>
        <v>362438</v>
      </c>
      <c r="C26" s="112">
        <f>'1C-Analiza_fin_extinsa'!C44</f>
        <v>581528</v>
      </c>
      <c r="D26" s="112">
        <f>'1C-Analiza_fin_extinsa'!D44</f>
        <v>0</v>
      </c>
    </row>
    <row r="27" spans="1:4" hidden="1" x14ac:dyDescent="0.3">
      <c r="A27" s="114" t="s">
        <v>89</v>
      </c>
      <c r="B27" s="115">
        <f>'1C-Analiza_fin_extinsa'!B45</f>
        <v>0</v>
      </c>
      <c r="C27" s="115">
        <f>'1C-Analiza_fin_extinsa'!C45</f>
        <v>0</v>
      </c>
      <c r="D27" s="115">
        <f>'1C-Analiza_fin_extinsa'!D45</f>
        <v>0</v>
      </c>
    </row>
    <row r="28" spans="1:4" x14ac:dyDescent="0.3">
      <c r="A28" s="111" t="s">
        <v>392</v>
      </c>
      <c r="B28" s="112">
        <f>'1C-Analiza_fin_extinsa'!B47</f>
        <v>343852</v>
      </c>
      <c r="C28" s="112">
        <f>'1C-Analiza_fin_extinsa'!C47</f>
        <v>552672</v>
      </c>
      <c r="D28" s="112">
        <f>'1C-Analiza_fin_extinsa'!D47</f>
        <v>0</v>
      </c>
    </row>
    <row r="29" spans="1:4" x14ac:dyDescent="0.3">
      <c r="A29" s="111" t="s">
        <v>393</v>
      </c>
      <c r="B29" s="112">
        <f>'1C-Analiza_fin_extinsa'!B48</f>
        <v>362438</v>
      </c>
      <c r="C29" s="112">
        <f>'1C-Analiza_fin_extinsa'!C48</f>
        <v>581528</v>
      </c>
      <c r="D29" s="112">
        <f>'1C-Analiza_fin_extinsa'!D48</f>
        <v>0</v>
      </c>
    </row>
    <row r="30" spans="1:4" x14ac:dyDescent="0.3">
      <c r="A30" s="111" t="s">
        <v>394</v>
      </c>
      <c r="B30" s="112">
        <f>'1C-Analiza_fin_extinsa'!B49</f>
        <v>374408</v>
      </c>
      <c r="C30" s="112">
        <f>'1C-Analiza_fin_extinsa'!C49</f>
        <v>595332</v>
      </c>
      <c r="D30" s="112">
        <f>'1C-Analiza_fin_extinsa'!D49</f>
        <v>0</v>
      </c>
    </row>
    <row r="31" spans="1:4" ht="27.6" x14ac:dyDescent="0.3">
      <c r="A31" s="111" t="s">
        <v>395</v>
      </c>
      <c r="B31" s="112">
        <f>'1C-Analiza_fin_extinsa'!B50</f>
        <v>467950</v>
      </c>
      <c r="C31" s="112">
        <f>'1C-Analiza_fin_extinsa'!C50</f>
        <v>731553</v>
      </c>
      <c r="D31" s="112">
        <f>'1C-Analiza_fin_extinsa'!D50</f>
        <v>0</v>
      </c>
    </row>
    <row r="32" spans="1:4" x14ac:dyDescent="0.3">
      <c r="B32" s="109"/>
      <c r="C32" s="109"/>
      <c r="D32" s="109"/>
    </row>
    <row r="33" spans="1:4" s="156" customFormat="1" x14ac:dyDescent="0.3">
      <c r="A33" s="116" t="s">
        <v>112</v>
      </c>
      <c r="B33" s="406">
        <f>'1A-Bilant'!B5</f>
        <v>2018</v>
      </c>
      <c r="C33" s="406">
        <f>'1A-Bilant'!C5</f>
        <v>2019</v>
      </c>
      <c r="D33" s="406" t="str">
        <f>'1A-Bilant'!D5</f>
        <v>AN</v>
      </c>
    </row>
    <row r="34" spans="1:4" s="156" customFormat="1" x14ac:dyDescent="0.3">
      <c r="A34" s="117" t="s">
        <v>396</v>
      </c>
      <c r="B34" s="118">
        <f>IFERROR('1C-Analiza_fin_extinsa'!G31,"")</f>
        <v>0.20254207025003271</v>
      </c>
      <c r="C34" s="118">
        <f>IFERROR('1C-Analiza_fin_extinsa'!H31,"")</f>
        <v>0.22229477075512832</v>
      </c>
      <c r="D34" s="118" t="str">
        <f>IFERROR('1C-Analiza_fin_extinsa'!I31,"")</f>
        <v/>
      </c>
    </row>
    <row r="35" spans="1:4" s="156" customFormat="1" x14ac:dyDescent="0.3">
      <c r="A35" s="117" t="s">
        <v>397</v>
      </c>
      <c r="B35" s="118">
        <f>IFERROR('1C-Analiza_fin_extinsa'!G37,"")</f>
        <v>-7.3257685970622597E-3</v>
      </c>
      <c r="C35" s="118">
        <f>IFERROR('1C-Analiza_fin_extinsa'!H37,"")</f>
        <v>-1.064425280955719E-2</v>
      </c>
      <c r="D35" s="118" t="str">
        <f>IFERROR('1C-Analiza_fin_extinsa'!I37,"")</f>
        <v/>
      </c>
    </row>
    <row r="36" spans="1:4" s="156" customFormat="1" x14ac:dyDescent="0.3">
      <c r="A36" s="117" t="s">
        <v>398</v>
      </c>
      <c r="B36" s="118">
        <f>IFERROR('1C-Analiza_fin_extinsa'!G41,"")</f>
        <v>0</v>
      </c>
      <c r="C36" s="118">
        <f>IFERROR('1C-Analiza_fin_extinsa'!H41,"")</f>
        <v>0</v>
      </c>
      <c r="D36" s="118" t="str">
        <f>IFERROR('1C-Analiza_fin_extinsa'!I41,"")</f>
        <v/>
      </c>
    </row>
    <row r="37" spans="1:4" s="156" customFormat="1" x14ac:dyDescent="0.3">
      <c r="A37" s="117" t="s">
        <v>399</v>
      </c>
      <c r="B37" s="118">
        <f>IFERROR('1C-Analiza_fin_extinsa'!G44,"")</f>
        <v>0.19521630165297046</v>
      </c>
      <c r="C37" s="118">
        <f>IFERROR('1C-Analiza_fin_extinsa'!H44,"")</f>
        <v>0.21165051794557113</v>
      </c>
      <c r="D37" s="118" t="str">
        <f>IFERROR('1C-Analiza_fin_extinsa'!I44,"")</f>
        <v/>
      </c>
    </row>
    <row r="38" spans="1:4" s="156" customFormat="1" x14ac:dyDescent="0.3">
      <c r="A38" s="117" t="s">
        <v>400</v>
      </c>
      <c r="B38" s="118">
        <f>IFERROR('1C-Analiza_fin_extinsa'!G47,"")</f>
        <v>0.18520551309734962</v>
      </c>
      <c r="C38" s="118">
        <f>IFERROR('1C-Analiza_fin_extinsa'!H47,"")</f>
        <v>0.20114820791778673</v>
      </c>
      <c r="D38" s="118" t="str">
        <f>IFERROR('1C-Analiza_fin_extinsa'!I47,"")</f>
        <v/>
      </c>
    </row>
    <row r="39" spans="1:4" s="156" customFormat="1" x14ac:dyDescent="0.3">
      <c r="A39" s="117" t="s">
        <v>401</v>
      </c>
      <c r="B39" s="118">
        <f>IFERROR('1C-Analiza_fin_extinsa'!G50,"")</f>
        <v>0.25204715939969741</v>
      </c>
      <c r="C39" s="118">
        <f>IFERROR('1C-Analiza_fin_extinsa'!H50,"")</f>
        <v>0.26625299444676165</v>
      </c>
      <c r="D39" s="118" t="str">
        <f>IFERROR('1C-Analiza_fin_extinsa'!I50,"")</f>
        <v/>
      </c>
    </row>
    <row r="40" spans="1:4" s="156" customFormat="1" x14ac:dyDescent="0.3">
      <c r="A40" s="117" t="s">
        <v>402</v>
      </c>
      <c r="B40" s="118">
        <f>IFERROR('1C-Analiza_fin_extinsa'!G49,"")</f>
        <v>0.20166358127261866</v>
      </c>
      <c r="C40" s="118">
        <f>IFERROR('1C-Analiza_fin_extinsa'!H49,"")</f>
        <v>0.21667456450862685</v>
      </c>
      <c r="D40" s="118" t="str">
        <f>IFERROR('1C-Analiza_fin_extinsa'!I49,"")</f>
        <v/>
      </c>
    </row>
    <row r="41" spans="1:4" s="156" customFormat="1" x14ac:dyDescent="0.3">
      <c r="A41" s="175"/>
      <c r="B41" s="176"/>
      <c r="C41" s="176"/>
      <c r="D41" s="176"/>
    </row>
    <row r="42" spans="1:4" s="156" customFormat="1" x14ac:dyDescent="0.3">
      <c r="A42" s="116" t="s">
        <v>111</v>
      </c>
      <c r="B42" s="406">
        <f>'1A-Bilant'!B5</f>
        <v>2018</v>
      </c>
      <c r="C42" s="406">
        <f>'1A-Bilant'!C5</f>
        <v>2019</v>
      </c>
      <c r="D42" s="406" t="str">
        <f>'1A-Bilant'!D5</f>
        <v>AN</v>
      </c>
    </row>
    <row r="43" spans="1:4" s="156" customFormat="1" x14ac:dyDescent="0.3">
      <c r="A43" s="117" t="s">
        <v>271</v>
      </c>
      <c r="B43" s="178">
        <f>'1B-ContPP'!B55</f>
        <v>343852</v>
      </c>
      <c r="C43" s="178">
        <f>'1B-ContPP'!C55</f>
        <v>552672</v>
      </c>
      <c r="D43" s="178">
        <f>'1B-ContPP'!D55</f>
        <v>0</v>
      </c>
    </row>
    <row r="44" spans="1:4" s="156" customFormat="1" x14ac:dyDescent="0.3">
      <c r="A44" s="117" t="s">
        <v>272</v>
      </c>
      <c r="B44" s="178">
        <f>'1C-Analiza_fin_extinsa'!B49-'1C-Analiza_fin_extinsa'!B45</f>
        <v>374408</v>
      </c>
      <c r="C44" s="178">
        <f>'1C-Analiza_fin_extinsa'!C49-'1C-Analiza_fin_extinsa'!C45</f>
        <v>595332</v>
      </c>
      <c r="D44" s="178">
        <f>'1C-Analiza_fin_extinsa'!D49-'1C-Analiza_fin_extinsa'!D45</f>
        <v>0</v>
      </c>
    </row>
    <row r="45" spans="1:4" s="156" customFormat="1" x14ac:dyDescent="0.3">
      <c r="A45" s="358" t="s">
        <v>403</v>
      </c>
      <c r="B45" s="359">
        <f>IF(B43&lt;0,"nu se calculeaza",IFERROR('1C-Analiza_fin_extinsa'!B47/'1C-Analiza_fin_extinsa'!B21,""))</f>
        <v>0.43883245848121588</v>
      </c>
      <c r="C45" s="359">
        <f>IF(C43&lt;0,"nu se calculeaza",IFERROR('1C-Analiza_fin_extinsa'!C47/'1C-Analiza_fin_extinsa'!C21,""))</f>
        <v>0.37572989586852934</v>
      </c>
      <c r="D45" s="359" t="str">
        <f>IF(D43&lt;0,"nu se calculeaza",IFERROR('1C-Analiza_fin_extinsa'!D47/'1C-Analiza_fin_extinsa'!D21,""))</f>
        <v/>
      </c>
    </row>
    <row r="46" spans="1:4" s="156" customFormat="1" x14ac:dyDescent="0.3">
      <c r="A46" s="117" t="s">
        <v>406</v>
      </c>
      <c r="B46" s="119"/>
      <c r="C46" s="119"/>
      <c r="D46" s="119"/>
    </row>
    <row r="47" spans="1:4" x14ac:dyDescent="0.3">
      <c r="A47" s="106" t="s">
        <v>404</v>
      </c>
      <c r="B47" s="120">
        <f>IF(B43&lt;0,"nu se calculeaza",IFERROR('1C-Analiza_fin_extinsa'!G47,""))</f>
        <v>0.18520551309734962</v>
      </c>
      <c r="C47" s="120">
        <f>IF(C43&lt;0,"nu se calculeaza",IFERROR('1C-Analiza_fin_extinsa'!H47,""))</f>
        <v>0.20114820791778673</v>
      </c>
      <c r="D47" s="120" t="str">
        <f>IF(D43&lt;0,"nu se calculeaza",IFERROR('1C-Analiza_fin_extinsa'!I47,""))</f>
        <v/>
      </c>
    </row>
    <row r="48" spans="1:4" x14ac:dyDescent="0.3">
      <c r="A48" s="106" t="s">
        <v>405</v>
      </c>
      <c r="B48" s="121">
        <f>IFERROR('1C-Analiza_fin_extinsa'!B25/'1C-Analiza_fin_extinsa'!B10,"")</f>
        <v>2.3694351811792571</v>
      </c>
      <c r="C48" s="121">
        <f>IFERROR('1C-Analiza_fin_extinsa'!C25/'1C-Analiza_fin_extinsa'!C10,"")</f>
        <v>1.8679256442697099</v>
      </c>
      <c r="D48" s="121" t="str">
        <f>IFERROR('1C-Analiza_fin_extinsa'!D25/'1C-Analiza_fin_extinsa'!D10,"")</f>
        <v/>
      </c>
    </row>
    <row r="49" spans="1:4" x14ac:dyDescent="0.3">
      <c r="A49" s="358" t="s">
        <v>435</v>
      </c>
      <c r="B49" s="359">
        <f>IF(B43&lt;0,"nu se calculeaza",IFERROR('1C-Analiza_fin_extinsa'!B47/'1C-Analiza_fin_extinsa'!B20,""))</f>
        <v>0.75207894978587142</v>
      </c>
      <c r="C49" s="359">
        <f>IF(C43&lt;0,"nu se calculeaza",IFERROR('1C-Analiza_fin_extinsa'!C47/'1C-Analiza_fin_extinsa'!C20,""))</f>
        <v>0.98713639140235121</v>
      </c>
      <c r="D49" s="359" t="str">
        <f>IF(D43&lt;0,"nu se calculeaza",IFERROR('1C-Analiza_fin_extinsa'!D47/'1C-Analiza_fin_extinsa'!D20,""))</f>
        <v/>
      </c>
    </row>
    <row r="50" spans="1:4" ht="24" customHeight="1" x14ac:dyDescent="0.3">
      <c r="A50" s="106" t="s">
        <v>407</v>
      </c>
      <c r="B50" s="68"/>
      <c r="C50" s="68"/>
      <c r="D50" s="68"/>
    </row>
    <row r="51" spans="1:4" x14ac:dyDescent="0.3">
      <c r="A51" s="106" t="s">
        <v>404</v>
      </c>
      <c r="B51" s="120">
        <f>B47</f>
        <v>0.18520551309734962</v>
      </c>
      <c r="C51" s="120">
        <f t="shared" ref="C51:D51" si="2">C47</f>
        <v>0.20114820791778673</v>
      </c>
      <c r="D51" s="120" t="str">
        <f t="shared" si="2"/>
        <v/>
      </c>
    </row>
    <row r="52" spans="1:4" x14ac:dyDescent="0.3">
      <c r="A52" s="106" t="s">
        <v>405</v>
      </c>
      <c r="B52" s="121">
        <f>B48</f>
        <v>2.3694351811792571</v>
      </c>
      <c r="C52" s="121">
        <f t="shared" ref="C52:D52" si="3">C48</f>
        <v>1.8679256442697099</v>
      </c>
      <c r="D52" s="121" t="str">
        <f t="shared" si="3"/>
        <v/>
      </c>
    </row>
    <row r="53" spans="1:4" x14ac:dyDescent="0.3">
      <c r="A53" s="106" t="s">
        <v>408</v>
      </c>
      <c r="B53" s="121">
        <f>IFERROR('1C-Analiza_fin_extinsa'!B21/'1C-Analiza_fin_extinsa'!B20,"")</f>
        <v>1.7138179623011274</v>
      </c>
      <c r="C53" s="121">
        <f>IFERROR('1C-Analiza_fin_extinsa'!C21/'1C-Analiza_fin_extinsa'!C20,"")</f>
        <v>2.6272500598348913</v>
      </c>
      <c r="D53" s="121" t="str">
        <f>IFERROR('1C-Analiza_fin_extinsa'!D21/'1C-Analiza_fin_extinsa'!D20,"")</f>
        <v/>
      </c>
    </row>
    <row r="54" spans="1:4" ht="27.6" x14ac:dyDescent="0.3">
      <c r="A54" s="43" t="s">
        <v>467</v>
      </c>
      <c r="B54" s="120">
        <f>IF(B44&lt;0,"nu se calculeaza",IFERROR(('1C-Analiza_fin_extinsa'!B49-'1C-Analiza_fin_extinsa'!B45)/('1C-Analiza_fin_extinsa'!B20+'1C-Analiza_fin_extinsa'!B16),""))</f>
        <v>0.52767336814437427</v>
      </c>
      <c r="C54" s="120">
        <f>IF(C44&lt;0,"nu se calculeaza",IFERROR(('1C-Analiza_fin_extinsa'!C49-'1C-Analiza_fin_extinsa'!C45)/('1C-Analiza_fin_extinsa'!C20+'1C-Analiza_fin_extinsa'!C16),""))</f>
        <v>0.53950166971005498</v>
      </c>
      <c r="D54" s="120" t="str">
        <f>IF(D44&lt;0,"nu se calculeaza",IFERROR(('1C-Analiza_fin_extinsa'!D49-'1C-Analiza_fin_extinsa'!D45)/('1C-Analiza_fin_extinsa'!D20+'1C-Analiza_fin_extinsa'!D16),""))</f>
        <v/>
      </c>
    </row>
    <row r="55" spans="1:4" ht="27.6" x14ac:dyDescent="0.3">
      <c r="A55" s="117" t="s">
        <v>466</v>
      </c>
      <c r="B55" s="68"/>
      <c r="C55" s="68"/>
      <c r="D55" s="68"/>
    </row>
    <row r="56" spans="1:4" s="104" customFormat="1" ht="15" x14ac:dyDescent="0.3">
      <c r="A56" s="106" t="s">
        <v>409</v>
      </c>
      <c r="B56" s="120">
        <f>IF(B44&lt;0,"nu se calculeaza",IFERROR(('1C-Analiza_fin_extinsa'!B49-'1C-Analiza_fin_extinsa'!B45)/'1C-Analiza_fin_extinsa'!B25,""))</f>
        <v>0.20166358127261866</v>
      </c>
      <c r="C56" s="120">
        <f>IF(C44&lt;0,"nu se calculeaza",IFERROR(('1C-Analiza_fin_extinsa'!C49-'1C-Analiza_fin_extinsa'!C45)/'1C-Analiza_fin_extinsa'!C25,""))</f>
        <v>0.21667456450862685</v>
      </c>
      <c r="D56" s="120" t="str">
        <f>IF(D44&lt;0,"nu se calculeaza",IFERROR(('1C-Analiza_fin_extinsa'!D49-'1C-Analiza_fin_extinsa'!D45)/'1C-Analiza_fin_extinsa'!D25,""))</f>
        <v/>
      </c>
    </row>
    <row r="57" spans="1:4" x14ac:dyDescent="0.3">
      <c r="A57" s="106" t="s">
        <v>405</v>
      </c>
      <c r="B57" s="121">
        <f>B48</f>
        <v>2.3694351811792571</v>
      </c>
      <c r="C57" s="121">
        <f t="shared" ref="C57:D57" si="4">C48</f>
        <v>1.8679256442697099</v>
      </c>
      <c r="D57" s="121" t="str">
        <f t="shared" si="4"/>
        <v/>
      </c>
    </row>
    <row r="58" spans="1:4" x14ac:dyDescent="0.3">
      <c r="A58" s="106" t="s">
        <v>410</v>
      </c>
      <c r="B58" s="121">
        <f>IFERROR(('1C-Analiza_fin_extinsa'!B21/('1C-Analiza_fin_extinsa'!B20+'1C-Analiza_fin_extinsa'!B16)),"")</f>
        <v>1.1043147369088642</v>
      </c>
      <c r="C58" s="121">
        <f>IFERROR(('1C-Analiza_fin_extinsa'!C21/('1C-Analiza_fin_extinsa'!C20+'1C-Analiza_fin_extinsa'!C16)),"")</f>
        <v>1.3329850428415428</v>
      </c>
      <c r="D58" s="121" t="str">
        <f>IFERROR(('1C-Analiza_fin_extinsa'!D21/('1C-Analiza_fin_extinsa'!D20+'1C-Analiza_fin_extinsa'!D16)),"")</f>
        <v/>
      </c>
    </row>
    <row r="59" spans="1:4" x14ac:dyDescent="0.3">
      <c r="A59" s="43" t="s">
        <v>411</v>
      </c>
      <c r="B59" s="122">
        <f>IFERROR(B49-B54,"")</f>
        <v>0.22440558164149715</v>
      </c>
      <c r="C59" s="122">
        <f t="shared" ref="C59:D59" si="5">IFERROR(C49-C54,"")</f>
        <v>0.44763472169229623</v>
      </c>
      <c r="D59" s="122" t="str">
        <f t="shared" si="5"/>
        <v/>
      </c>
    </row>
    <row r="60" spans="1:4" s="104" customFormat="1" ht="15" x14ac:dyDescent="0.3">
      <c r="A60" s="123"/>
      <c r="B60" s="83"/>
      <c r="C60" s="83"/>
      <c r="D60" s="83"/>
    </row>
    <row r="61" spans="1:4" x14ac:dyDescent="0.3">
      <c r="A61" s="116" t="s">
        <v>113</v>
      </c>
      <c r="B61" s="406">
        <f>'1A-Bilant'!B5</f>
        <v>2018</v>
      </c>
      <c r="C61" s="406">
        <f>'1A-Bilant'!C5</f>
        <v>2019</v>
      </c>
      <c r="D61" s="406" t="str">
        <f>'1A-Bilant'!D5</f>
        <v>AN</v>
      </c>
    </row>
    <row r="62" spans="1:4" x14ac:dyDescent="0.3">
      <c r="A62" s="106" t="s">
        <v>412</v>
      </c>
      <c r="B62" s="124">
        <f>IFERROR(('1C-Analiza_fin_extinsa'!B21*360)/'1C-Analiza_fin_extinsa'!B25,"")</f>
        <v>151.93494333988474</v>
      </c>
      <c r="C62" s="124">
        <f>IFERROR(('1C-Analiza_fin_extinsa'!C21*360)/'1C-Analiza_fin_extinsa'!C25,"")</f>
        <v>192.72715758487632</v>
      </c>
      <c r="D62" s="124" t="str">
        <f>IFERROR(('1C-Analiza_fin_extinsa'!D21*360)/'1C-Analiza_fin_extinsa'!D25,"")</f>
        <v/>
      </c>
    </row>
    <row r="63" spans="1:4" s="104" customFormat="1" ht="27.6" x14ac:dyDescent="0.3">
      <c r="A63" s="106" t="s">
        <v>413</v>
      </c>
      <c r="B63" s="124">
        <f>IFERROR(('1C-Analiza_fin_extinsa'!B4*360)/'1C-Analiza_fin_extinsa'!B25,"")</f>
        <v>66.97492239834493</v>
      </c>
      <c r="C63" s="124">
        <f>IFERROR(('1C-Analiza_fin_extinsa'!C4*360)/'1C-Analiza_fin_extinsa'!C25,"")</f>
        <v>121.21878623635439</v>
      </c>
      <c r="D63" s="124" t="str">
        <f>IFERROR(('1C-Analiza_fin_extinsa'!D4*360)/'1C-Analiza_fin_extinsa'!D25,"")</f>
        <v/>
      </c>
    </row>
    <row r="64" spans="1:4" x14ac:dyDescent="0.3">
      <c r="A64" s="106" t="s">
        <v>414</v>
      </c>
      <c r="B64" s="124">
        <f>IFERROR(('1C-Analiza_fin_extinsa'!B5*360)/'1C-Analiza_fin_extinsa'!B25,"")</f>
        <v>84.960020941539824</v>
      </c>
      <c r="C64" s="124">
        <f>IFERROR(('1C-Analiza_fin_extinsa'!C5*360)/'1C-Analiza_fin_extinsa'!C25,"")</f>
        <v>71.508371348521933</v>
      </c>
      <c r="D64" s="124" t="str">
        <f>IFERROR(('1C-Analiza_fin_extinsa'!D5*360)/'1C-Analiza_fin_extinsa'!D25,"")</f>
        <v/>
      </c>
    </row>
    <row r="65" spans="1:4" x14ac:dyDescent="0.3">
      <c r="A65" s="106" t="s">
        <v>415</v>
      </c>
      <c r="B65" s="124">
        <f>IFERROR(('1C-Analiza_fin_extinsa'!B6*360)/'1C-Analiza_fin_extinsa'!B25,"")</f>
        <v>3.3849672276751499</v>
      </c>
      <c r="C65" s="124">
        <f>IFERROR(('1C-Analiza_fin_extinsa'!C6*360)/'1C-Analiza_fin_extinsa'!C25,"")</f>
        <v>7.9341647540786715</v>
      </c>
      <c r="D65" s="124" t="str">
        <f>IFERROR(('1C-Analiza_fin_extinsa'!D6*360)/'1C-Analiza_fin_extinsa'!D25,"")</f>
        <v/>
      </c>
    </row>
    <row r="66" spans="1:4" x14ac:dyDescent="0.3">
      <c r="A66" s="106" t="s">
        <v>416</v>
      </c>
      <c r="B66" s="124">
        <f>IFERROR(('1C-Analiza_fin_extinsa'!B7*360)/'1C-Analiza_fin_extinsa'!B25,"")</f>
        <v>9.0306512398759669</v>
      </c>
      <c r="C66" s="124">
        <f>IFERROR(('1C-Analiza_fin_extinsa'!C7*360)/'1C-Analiza_fin_extinsa'!C25,"")</f>
        <v>5.9323784587634378</v>
      </c>
      <c r="D66" s="124" t="str">
        <f>IFERROR(('1C-Analiza_fin_extinsa'!D7*360)/'1C-Analiza_fin_extinsa'!D25,"")</f>
        <v/>
      </c>
    </row>
    <row r="67" spans="1:4" x14ac:dyDescent="0.3">
      <c r="A67" s="106" t="s">
        <v>417</v>
      </c>
      <c r="B67" s="124">
        <f>IFERROR(('1C-Analiza_fin_extinsa'!B13*360)/'1C-Analiza_fin_extinsa'!B25,"")</f>
        <v>5.7682308007607466</v>
      </c>
      <c r="C67" s="124">
        <f>IFERROR(('1C-Analiza_fin_extinsa'!C13*360)/'1C-Analiza_fin_extinsa'!C25,"")</f>
        <v>5.8939883956316566</v>
      </c>
      <c r="D67" s="124" t="str">
        <f>IFERROR(('1C-Analiza_fin_extinsa'!D13*360)/'1C-Analiza_fin_extinsa'!D25,"")</f>
        <v/>
      </c>
    </row>
    <row r="68" spans="1:4" s="125" customFormat="1" ht="15.6" x14ac:dyDescent="0.3">
      <c r="A68" s="116" t="s">
        <v>114</v>
      </c>
      <c r="B68" s="406">
        <f>'1A-Bilant'!B5</f>
        <v>2018</v>
      </c>
      <c r="C68" s="406">
        <f>'1A-Bilant'!C5</f>
        <v>2019</v>
      </c>
      <c r="D68" s="406" t="str">
        <f>'1A-Bilant'!D5</f>
        <v>AN</v>
      </c>
    </row>
    <row r="69" spans="1:4" x14ac:dyDescent="0.3">
      <c r="A69" s="106" t="s">
        <v>418</v>
      </c>
      <c r="B69" s="121">
        <f>IFERROR('1C-Analiza_fin_extinsa'!B25/'1C-Analiza_fin_extinsa'!B21,"")</f>
        <v>2.3694351811792571</v>
      </c>
      <c r="C69" s="121">
        <f>IFERROR('1C-Analiza_fin_extinsa'!C25/'1C-Analiza_fin_extinsa'!C21,"")</f>
        <v>1.8679256442697099</v>
      </c>
      <c r="D69" s="121" t="str">
        <f>IFERROR('1C-Analiza_fin_extinsa'!D25/'1C-Analiza_fin_extinsa'!D21,"")</f>
        <v/>
      </c>
    </row>
    <row r="70" spans="1:4" s="104" customFormat="1" ht="15" x14ac:dyDescent="0.3">
      <c r="A70" s="106" t="s">
        <v>419</v>
      </c>
      <c r="B70" s="121">
        <f>IFERROR('1C-Analiza_fin_extinsa'!B25/'1C-Analiza_fin_extinsa'!B4,"")</f>
        <v>5.3751462056027144</v>
      </c>
      <c r="C70" s="121">
        <f>IFERROR('1C-Analiza_fin_extinsa'!C25/'1C-Analiza_fin_extinsa'!C4,"")</f>
        <v>2.9698366992230567</v>
      </c>
      <c r="D70" s="121" t="str">
        <f>IFERROR('1C-Analiza_fin_extinsa'!D25/'1C-Analiza_fin_extinsa'!D4,"")</f>
        <v/>
      </c>
    </row>
    <row r="71" spans="1:4" s="104" customFormat="1" ht="15" x14ac:dyDescent="0.3">
      <c r="A71" s="106" t="s">
        <v>420</v>
      </c>
      <c r="B71" s="121">
        <f>IFERROR('1C-Analiza_fin_extinsa'!B25/'1C-Analiza_fin_extinsa'!B5,"")</f>
        <v>4.2372870911568228</v>
      </c>
      <c r="C71" s="121">
        <f>IFERROR('1C-Analiza_fin_extinsa'!C25/'1C-Analiza_fin_extinsa'!C5,"")</f>
        <v>5.0343756012203054</v>
      </c>
      <c r="D71" s="121" t="str">
        <f>IFERROR('1C-Analiza_fin_extinsa'!D25/'1C-Analiza_fin_extinsa'!D5,"")</f>
        <v/>
      </c>
    </row>
    <row r="72" spans="1:4" s="104" customFormat="1" ht="15" x14ac:dyDescent="0.3">
      <c r="A72" s="106" t="s">
        <v>421</v>
      </c>
      <c r="B72" s="121">
        <f>IFERROR('1C-Analiza_fin_extinsa'!B25/'1C-Analiza_fin_extinsa'!B6,"")</f>
        <v>106.35258062668271</v>
      </c>
      <c r="C72" s="121">
        <f>IFERROR('1C-Analiza_fin_extinsa'!C25/'1C-Analiza_fin_extinsa'!C6,"")</f>
        <v>45.373396086202625</v>
      </c>
      <c r="D72" s="121" t="str">
        <f>IFERROR('1C-Analiza_fin_extinsa'!D25/'1C-Analiza_fin_extinsa'!D6,"")</f>
        <v/>
      </c>
    </row>
    <row r="73" spans="1:4" s="104" customFormat="1" ht="15" x14ac:dyDescent="0.3">
      <c r="A73" s="106" t="s">
        <v>422</v>
      </c>
      <c r="B73" s="121">
        <f>IFERROR('1C-Analiza_fin_extinsa'!B25/'1C-Analiza_fin_extinsa'!B7,"")</f>
        <v>39.86423464238937</v>
      </c>
      <c r="C73" s="121">
        <f>IFERROR('1C-Analiza_fin_extinsa'!C25/'1C-Analiza_fin_extinsa'!C7,"")</f>
        <v>60.683923404819225</v>
      </c>
      <c r="D73" s="121" t="str">
        <f>IFERROR('1C-Analiza_fin_extinsa'!D25/'1C-Analiza_fin_extinsa'!D7,"")</f>
        <v/>
      </c>
    </row>
    <row r="74" spans="1:4" s="104" customFormat="1" ht="15" x14ac:dyDescent="0.3">
      <c r="A74" s="106" t="s">
        <v>423</v>
      </c>
      <c r="B74" s="121">
        <f>IFERROR('1C-Analiza_fin_extinsa'!B25/'1C-Analiza_fin_extinsa'!B13,"")</f>
        <v>62.410817533951864</v>
      </c>
      <c r="C74" s="121">
        <f>IFERROR('1C-Analiza_fin_extinsa'!C25/'1C-Analiza_fin_extinsa'!C13,"")</f>
        <v>61.07918370976347</v>
      </c>
      <c r="D74" s="121" t="str">
        <f>IFERROR('1C-Analiza_fin_extinsa'!D25/'1C-Analiza_fin_extinsa'!D13,"")</f>
        <v/>
      </c>
    </row>
    <row r="75" spans="1:4" s="104" customFormat="1" ht="15" hidden="1" x14ac:dyDescent="0.3">
      <c r="A75" s="126" t="s">
        <v>117</v>
      </c>
      <c r="B75" s="56"/>
      <c r="C75" s="56"/>
      <c r="D75" s="56"/>
    </row>
    <row r="76" spans="1:4" s="104" customFormat="1" ht="15" hidden="1" x14ac:dyDescent="0.3">
      <c r="A76" s="127" t="s">
        <v>118</v>
      </c>
      <c r="B76" s="128">
        <f>'1C-Analiza_fin_extinsa'!B21/'1C-Analiza_fin_extinsa'!B25</f>
        <v>0.42204150927745765</v>
      </c>
      <c r="C76" s="128">
        <f>'1C-Analiza_fin_extinsa'!C21/'1C-Analiza_fin_extinsa'!C25</f>
        <v>0.53535321551354531</v>
      </c>
      <c r="D76" s="128" t="e">
        <f>'1C-Analiza_fin_extinsa'!D21/'1C-Analiza_fin_extinsa'!D25</f>
        <v>#DIV/0!</v>
      </c>
    </row>
    <row r="77" spans="1:4" s="104" customFormat="1" ht="15" hidden="1" x14ac:dyDescent="0.3">
      <c r="A77" s="127" t="s">
        <v>119</v>
      </c>
      <c r="B77" s="128">
        <f>'1C-Analiza_fin_extinsa'!B4/'1C-Analiza_fin_extinsa'!B25</f>
        <v>0.18604145110651368</v>
      </c>
      <c r="C77" s="128">
        <f>'1C-Analiza_fin_extinsa'!C4/'1C-Analiza_fin_extinsa'!C25</f>
        <v>0.33671885065653995</v>
      </c>
      <c r="D77" s="128" t="e">
        <f>'1C-Analiza_fin_extinsa'!D4/'1C-Analiza_fin_extinsa'!D25</f>
        <v>#DIV/0!</v>
      </c>
    </row>
    <row r="78" spans="1:4" s="104" customFormat="1" ht="15" hidden="1" x14ac:dyDescent="0.3">
      <c r="A78" s="127" t="s">
        <v>120</v>
      </c>
      <c r="B78" s="128">
        <f>'1C-Analiza_fin_extinsa'!B5/'1C-Analiza_fin_extinsa'!B25</f>
        <v>0.23600005817094394</v>
      </c>
      <c r="C78" s="128">
        <f>'1C-Analiza_fin_extinsa'!C5/'1C-Analiza_fin_extinsa'!C25</f>
        <v>0.19863436485700539</v>
      </c>
      <c r="D78" s="128" t="e">
        <f>'1C-Analiza_fin_extinsa'!D5/'1C-Analiza_fin_extinsa'!D25</f>
        <v>#DIV/0!</v>
      </c>
    </row>
    <row r="79" spans="1:4" s="104" customFormat="1" ht="15" hidden="1" x14ac:dyDescent="0.3">
      <c r="A79" s="127" t="s">
        <v>121</v>
      </c>
      <c r="B79" s="128">
        <f>'1C-Analiza_fin_extinsa'!B6/'1C-Analiza_fin_extinsa'!B25</f>
        <v>9.4026867435420824E-3</v>
      </c>
      <c r="C79" s="128">
        <f>'1C-Analiza_fin_extinsa'!C6/'1C-Analiza_fin_extinsa'!C25</f>
        <v>2.203934653910742E-2</v>
      </c>
      <c r="D79" s="128" t="e">
        <f>'1C-Analiza_fin_extinsa'!D6/'1C-Analiza_fin_extinsa'!D25</f>
        <v>#DIV/0!</v>
      </c>
    </row>
    <row r="80" spans="1:4" s="104" customFormat="1" ht="15" hidden="1" x14ac:dyDescent="0.3">
      <c r="A80" s="127" t="s">
        <v>122</v>
      </c>
      <c r="B80" s="128">
        <f>'1C-Analiza_fin_extinsa'!B7/'1C-Analiza_fin_extinsa'!B25</f>
        <v>2.5085142332988798E-2</v>
      </c>
      <c r="C80" s="128">
        <f>'1C-Analiza_fin_extinsa'!C7/'1C-Analiza_fin_extinsa'!C25</f>
        <v>1.6478829052120662E-2</v>
      </c>
      <c r="D80" s="128" t="e">
        <f>'1C-Analiza_fin_extinsa'!D7/'1C-Analiza_fin_extinsa'!D25</f>
        <v>#DIV/0!</v>
      </c>
    </row>
    <row r="81" spans="1:6" s="104" customFormat="1" ht="15" hidden="1" x14ac:dyDescent="0.3">
      <c r="A81" s="127" t="s">
        <v>123</v>
      </c>
      <c r="B81" s="128">
        <f>'1C-Analiza_fin_extinsa'!B13/'1C-Analiza_fin_extinsa'!B25</f>
        <v>1.602286333544652E-2</v>
      </c>
      <c r="C81" s="128">
        <f>'1C-Analiza_fin_extinsa'!C13/'1C-Analiza_fin_extinsa'!C25</f>
        <v>1.6372189987865712E-2</v>
      </c>
      <c r="D81" s="128" t="e">
        <f>'1C-Analiza_fin_extinsa'!D13/'1C-Analiza_fin_extinsa'!D25</f>
        <v>#DIV/0!</v>
      </c>
    </row>
    <row r="82" spans="1:6" s="104" customFormat="1" ht="15" hidden="1" x14ac:dyDescent="0.3">
      <c r="A82" s="129" t="s">
        <v>124</v>
      </c>
      <c r="B82" s="130">
        <f>'1C-Analiza_fin_extinsa'!B9/'1C-Analiza_fin_extinsa'!B25</f>
        <v>0.20078239919594829</v>
      </c>
      <c r="C82" s="130">
        <f>'1C-Analiza_fin_extinsa'!C9/'1C-Analiza_fin_extinsa'!C25</f>
        <v>0.15917681921512192</v>
      </c>
      <c r="D82" s="130" t="e">
        <f>'1C-Analiza_fin_extinsa'!D9/'1C-Analiza_fin_extinsa'!D25</f>
        <v>#DIV/0!</v>
      </c>
    </row>
    <row r="83" spans="1:6" x14ac:dyDescent="0.3">
      <c r="A83" s="123"/>
      <c r="B83" s="83"/>
      <c r="C83" s="83"/>
      <c r="D83" s="83"/>
    </row>
    <row r="84" spans="1:6" x14ac:dyDescent="0.3">
      <c r="A84" s="43" t="s">
        <v>116</v>
      </c>
      <c r="B84" s="406">
        <f>'1A-Bilant'!B5</f>
        <v>2018</v>
      </c>
      <c r="C84" s="406">
        <f>'1A-Bilant'!C5</f>
        <v>2019</v>
      </c>
      <c r="D84" s="406" t="str">
        <f>'1A-Bilant'!D5</f>
        <v>AN</v>
      </c>
    </row>
    <row r="85" spans="1:6" x14ac:dyDescent="0.3">
      <c r="A85" s="356" t="s">
        <v>424</v>
      </c>
      <c r="B85" s="357">
        <f>IFERROR('1C-Analiza_fin_extinsa'!B5/'1C-Analiza_fin_extinsa'!B11,"")</f>
        <v>5.9197605923043666</v>
      </c>
      <c r="C85" s="357">
        <f>IFERROR('1C-Analiza_fin_extinsa'!C5/'1C-Analiza_fin_extinsa'!C11,"")</f>
        <v>1.4853011615375404</v>
      </c>
      <c r="D85" s="357" t="str">
        <f>IFERROR('1C-Analiza_fin_extinsa'!D5/'1C-Analiza_fin_extinsa'!D11,"")</f>
        <v/>
      </c>
      <c r="F85" s="355"/>
    </row>
    <row r="86" spans="1:6" x14ac:dyDescent="0.3">
      <c r="A86" s="106" t="s">
        <v>425</v>
      </c>
      <c r="B86" s="121">
        <f>IFERROR(('1C-Analiza_fin_extinsa'!B5-'1C-Analiza_fin_extinsa'!B6)/'1C-Analiza_fin_extinsa'!B11,"")</f>
        <v>5.6839061824470383</v>
      </c>
      <c r="C86" s="121">
        <f>IFERROR(('1C-Analiza_fin_extinsa'!C5-'1C-Analiza_fin_extinsa'!C6)/'1C-Analiza_fin_extinsa'!C11,"")</f>
        <v>1.3205005388576219</v>
      </c>
      <c r="D86" s="121" t="str">
        <f>IFERROR(('1C-Analiza_fin_extinsa'!D5-'1C-Analiza_fin_extinsa'!D6)/'1C-Analiza_fin_extinsa'!D11,"")</f>
        <v/>
      </c>
    </row>
    <row r="87" spans="1:6" s="156" customFormat="1" x14ac:dyDescent="0.3">
      <c r="A87" s="117" t="s">
        <v>426</v>
      </c>
      <c r="B87" s="131">
        <f>IFERROR('1C-Analiza_fin_extinsa'!B9/'1C-Analiza_fin_extinsa'!B11,"")</f>
        <v>5.0363705144833553</v>
      </c>
      <c r="C87" s="131">
        <f>IFERROR('1C-Analiza_fin_extinsa'!C9/'1C-Analiza_fin_extinsa'!C11,"")</f>
        <v>1.1902548415540872</v>
      </c>
      <c r="D87" s="131" t="str">
        <f>IFERROR('1C-Analiza_fin_extinsa'!D9/'1C-Analiza_fin_extinsa'!D11,"")</f>
        <v/>
      </c>
    </row>
    <row r="88" spans="1:6" s="156" customFormat="1" x14ac:dyDescent="0.3">
      <c r="A88" s="132"/>
      <c r="B88" s="133"/>
      <c r="C88" s="133"/>
      <c r="D88" s="133"/>
    </row>
    <row r="89" spans="1:6" s="156" customFormat="1" x14ac:dyDescent="0.3">
      <c r="A89" s="177" t="s">
        <v>137</v>
      </c>
      <c r="B89" s="406">
        <f>'1A-Bilant'!B5</f>
        <v>2018</v>
      </c>
      <c r="C89" s="406">
        <f>'1A-Bilant'!C5</f>
        <v>2019</v>
      </c>
      <c r="D89" s="406" t="str">
        <f>'1A-Bilant'!D5</f>
        <v>AN</v>
      </c>
    </row>
    <row r="90" spans="1:6" s="156" customFormat="1" x14ac:dyDescent="0.3">
      <c r="A90" s="117" t="s">
        <v>427</v>
      </c>
      <c r="B90" s="131">
        <f>IFERROR('1C-Analiza_fin_extinsa'!B10/'1C-Analiza_fin_extinsa'!B11,"")</f>
        <v>10.586373216601816</v>
      </c>
      <c r="C90" s="131">
        <f>IFERROR('1C-Analiza_fin_extinsa'!C10/'1C-Analiza_fin_extinsa'!C11,"")</f>
        <v>4.0031378931211288</v>
      </c>
      <c r="D90" s="131" t="str">
        <f>IFERROR('1C-Analiza_fin_extinsa'!D10/'1C-Analiza_fin_extinsa'!D11,"")</f>
        <v/>
      </c>
    </row>
    <row r="91" spans="1:6" s="156" customFormat="1" x14ac:dyDescent="0.3">
      <c r="A91" s="356" t="s">
        <v>428</v>
      </c>
      <c r="B91" s="357">
        <f>IFERROR('1C-Analiza_fin_extinsa'!B10/('1C-Analiza_fin_extinsa'!B11+'1C-Analiza_fin_extinsa'!B16),"")</f>
        <v>2.400917394648225</v>
      </c>
      <c r="C91" s="357">
        <f>IFERROR('1C-Analiza_fin_extinsa'!C10/('1C-Analiza_fin_extinsa'!C11+'1C-Analiza_fin_extinsa'!C16),"")</f>
        <v>1.6145336999412769</v>
      </c>
      <c r="D91" s="357" t="str">
        <f>IFERROR('1C-Analiza_fin_extinsa'!D10/('1C-Analiza_fin_extinsa'!D11+'1C-Analiza_fin_extinsa'!D16),"")</f>
        <v/>
      </c>
    </row>
    <row r="92" spans="1:6" s="156" customFormat="1" ht="27.6" x14ac:dyDescent="0.3">
      <c r="A92" s="117" t="s">
        <v>429</v>
      </c>
      <c r="B92" s="131">
        <f>IFERROR('1C-Analiza_fin_extinsa'!B20/('1C-Analiza_fin_extinsa'!B20+'1C-Analiza_fin_extinsa'!B16),"")</f>
        <v>0.64435941342691438</v>
      </c>
      <c r="C92" s="131">
        <f>IFERROR('1C-Analiza_fin_extinsa'!C20/('1C-Analiza_fin_extinsa'!C20+'1C-Analiza_fin_extinsa'!C16),"")</f>
        <v>0.50736892662791067</v>
      </c>
      <c r="D92" s="131" t="str">
        <f>IFERROR('1C-Analiza_fin_extinsa'!D20/('1C-Analiza_fin_extinsa'!D20+'1C-Analiza_fin_extinsa'!D16),"")</f>
        <v/>
      </c>
    </row>
    <row r="93" spans="1:6" s="156" customFormat="1" x14ac:dyDescent="0.3">
      <c r="A93" s="117" t="s">
        <v>430</v>
      </c>
      <c r="B93" s="118">
        <f>IFERROR('1C-Analiza_fin_extinsa'!B20/'1C-Analiza_fin_extinsa'!B21,"")</f>
        <v>0.58349254238023585</v>
      </c>
      <c r="C93" s="118">
        <f>IFERROR('1C-Analiza_fin_extinsa'!C20/'1C-Analiza_fin_extinsa'!C21,"")</f>
        <v>0.38062612131516887</v>
      </c>
      <c r="D93" s="118" t="str">
        <f>IFERROR('1C-Analiza_fin_extinsa'!D20/'1C-Analiza_fin_extinsa'!D21,"")</f>
        <v/>
      </c>
    </row>
    <row r="94" spans="1:6" s="156" customFormat="1" x14ac:dyDescent="0.3">
      <c r="A94" s="117" t="s">
        <v>431</v>
      </c>
      <c r="B94" s="118">
        <f>IFERROR('1C-Analiza_fin_extinsa'!B16/'1C-Analiza_fin_extinsa'!B20,"")</f>
        <v>0.55192890669769601</v>
      </c>
      <c r="C94" s="118">
        <f>IFERROR('1C-Analiza_fin_extinsa'!C16/'1C-Analiza_fin_extinsa'!C20,"")</f>
        <v>0.97095239285982204</v>
      </c>
      <c r="D94" s="118" t="str">
        <f>IFERROR('1C-Analiza_fin_extinsa'!D16/'1C-Analiza_fin_extinsa'!D20,"")</f>
        <v/>
      </c>
    </row>
    <row r="95" spans="1:6" s="156" customFormat="1" x14ac:dyDescent="0.3">
      <c r="A95" s="117" t="s">
        <v>432</v>
      </c>
      <c r="B95" s="118">
        <f>IFERROR('1C-Analiza_fin_extinsa'!B16/'1C-Analiza_fin_extinsa'!B21,"")</f>
        <v>0.32204640098218262</v>
      </c>
      <c r="C95" s="118">
        <f>IFERROR('1C-Analiza_fin_extinsa'!C16/'1C-Analiza_fin_extinsa'!C21,"")</f>
        <v>0.36956984327591613</v>
      </c>
      <c r="D95" s="118" t="str">
        <f>IFERROR('1C-Analiza_fin_extinsa'!D16/'1C-Analiza_fin_extinsa'!D21,"")</f>
        <v/>
      </c>
    </row>
    <row r="96" spans="1:6" s="156" customFormat="1" ht="15" customHeight="1" x14ac:dyDescent="0.3">
      <c r="A96" s="117" t="s">
        <v>433</v>
      </c>
      <c r="B96" s="118">
        <f>IFERROR('1C-Analiza_fin_extinsa'!B11/'1C-Analiza_fin_extinsa'!B21,"")</f>
        <v>9.4461056637581503E-2</v>
      </c>
      <c r="C96" s="118">
        <f>IFERROR('1C-Analiza_fin_extinsa'!C11/'1C-Analiza_fin_extinsa'!C21,"")</f>
        <v>0.24980403540891505</v>
      </c>
      <c r="D96" s="118" t="str">
        <f>IFERROR('1C-Analiza_fin_extinsa'!D11/'1C-Analiza_fin_extinsa'!D21,"")</f>
        <v/>
      </c>
    </row>
    <row r="97" spans="1:4" s="156" customFormat="1" x14ac:dyDescent="0.3">
      <c r="A97" s="358" t="s">
        <v>434</v>
      </c>
      <c r="B97" s="359">
        <f>IFERROR(('1C-Analiza_fin_extinsa'!B11+'1C-Analiza_fin_extinsa'!B16)/'1C-Analiza_fin_extinsa'!B21,"")</f>
        <v>0.41650745761976415</v>
      </c>
      <c r="C97" s="359">
        <f>IFERROR(('1C-Analiza_fin_extinsa'!C11+'1C-Analiza_fin_extinsa'!C16)/'1C-Analiza_fin_extinsa'!C21,"")</f>
        <v>0.61937387868483118</v>
      </c>
      <c r="D97" s="359" t="str">
        <f>IFERROR(('1C-Analiza_fin_extinsa'!D11+'1C-Analiza_fin_extinsa'!D16)/'1C-Analiza_fin_extinsa'!D21,"")</f>
        <v/>
      </c>
    </row>
    <row r="98" spans="1:4" x14ac:dyDescent="0.3">
      <c r="A98" s="127"/>
      <c r="B98" s="56"/>
      <c r="C98" s="56"/>
      <c r="D98" s="56"/>
    </row>
    <row r="99" spans="1:4" x14ac:dyDescent="0.3">
      <c r="A99" s="127"/>
      <c r="B99" s="56"/>
      <c r="C99" s="56"/>
      <c r="D99" s="56"/>
    </row>
    <row r="100" spans="1:4" x14ac:dyDescent="0.3">
      <c r="A100" s="127"/>
      <c r="B100" s="56"/>
      <c r="C100" s="56"/>
      <c r="D100" s="56"/>
    </row>
    <row r="101" spans="1:4" x14ac:dyDescent="0.3">
      <c r="A101" s="127"/>
      <c r="B101" s="56"/>
      <c r="C101" s="56"/>
      <c r="D101" s="56"/>
    </row>
    <row r="102" spans="1:4" x14ac:dyDescent="0.3">
      <c r="A102" s="127"/>
      <c r="B102" s="56"/>
      <c r="C102" s="56"/>
      <c r="D102" s="56"/>
    </row>
    <row r="103" spans="1:4" x14ac:dyDescent="0.3">
      <c r="A103" s="127"/>
      <c r="B103" s="56"/>
      <c r="C103" s="56"/>
      <c r="D103" s="56"/>
    </row>
    <row r="104" spans="1:4" x14ac:dyDescent="0.3">
      <c r="A104" s="127"/>
      <c r="B104" s="56"/>
      <c r="C104" s="56"/>
      <c r="D104" s="56"/>
    </row>
    <row r="105" spans="1:4" x14ac:dyDescent="0.3">
      <c r="A105" s="127"/>
      <c r="B105" s="56"/>
      <c r="C105" s="56"/>
      <c r="D105" s="56"/>
    </row>
    <row r="106" spans="1:4" x14ac:dyDescent="0.3">
      <c r="A106" s="127"/>
      <c r="B106" s="56"/>
      <c r="C106" s="56"/>
      <c r="D106" s="56"/>
    </row>
    <row r="107" spans="1:4" x14ac:dyDescent="0.3">
      <c r="A107" s="127"/>
      <c r="B107" s="56"/>
      <c r="C107" s="56"/>
      <c r="D107" s="56"/>
    </row>
    <row r="108" spans="1:4" x14ac:dyDescent="0.3">
      <c r="A108" s="127"/>
      <c r="B108" s="56"/>
      <c r="C108" s="56"/>
      <c r="D108" s="56"/>
    </row>
    <row r="109" spans="1:4" x14ac:dyDescent="0.3">
      <c r="A109" s="127"/>
      <c r="B109" s="56"/>
      <c r="C109" s="56"/>
      <c r="D109" s="56"/>
    </row>
    <row r="110" spans="1:4" x14ac:dyDescent="0.3">
      <c r="A110" s="127"/>
      <c r="B110" s="56"/>
      <c r="C110" s="56"/>
      <c r="D110" s="56"/>
    </row>
    <row r="111" spans="1:4" x14ac:dyDescent="0.3">
      <c r="A111" s="127"/>
      <c r="B111" s="56"/>
      <c r="C111" s="56"/>
      <c r="D111" s="56"/>
    </row>
    <row r="112" spans="1:4" x14ac:dyDescent="0.3">
      <c r="A112" s="127"/>
      <c r="B112" s="56"/>
      <c r="C112" s="56"/>
      <c r="D112" s="56"/>
    </row>
    <row r="113" spans="1:4" x14ac:dyDescent="0.3">
      <c r="A113" s="127"/>
      <c r="B113" s="56"/>
      <c r="C113" s="56"/>
      <c r="D113" s="56"/>
    </row>
    <row r="114" spans="1:4" x14ac:dyDescent="0.3">
      <c r="A114" s="127"/>
      <c r="B114" s="56"/>
      <c r="C114" s="56"/>
      <c r="D114" s="56"/>
    </row>
    <row r="115" spans="1:4" x14ac:dyDescent="0.3">
      <c r="A115" s="127"/>
      <c r="B115" s="56"/>
      <c r="C115" s="56"/>
      <c r="D115" s="56"/>
    </row>
    <row r="116" spans="1:4" x14ac:dyDescent="0.3">
      <c r="A116" s="127"/>
      <c r="B116" s="56"/>
      <c r="C116" s="56"/>
      <c r="D116" s="56"/>
    </row>
    <row r="117" spans="1:4" x14ac:dyDescent="0.3">
      <c r="A117" s="127"/>
      <c r="B117" s="56"/>
      <c r="C117" s="56"/>
      <c r="D117" s="56"/>
    </row>
    <row r="118" spans="1:4" x14ac:dyDescent="0.3">
      <c r="A118" s="127"/>
      <c r="B118" s="56"/>
      <c r="C118" s="56"/>
      <c r="D118" s="56"/>
    </row>
    <row r="119" spans="1:4" x14ac:dyDescent="0.3">
      <c r="A119" s="127"/>
      <c r="B119" s="56"/>
      <c r="C119" s="56"/>
      <c r="D119" s="56"/>
    </row>
    <row r="120" spans="1:4" x14ac:dyDescent="0.3">
      <c r="A120" s="127"/>
      <c r="B120" s="56"/>
      <c r="C120" s="56"/>
      <c r="D120" s="56"/>
    </row>
    <row r="121" spans="1:4" x14ac:dyDescent="0.3">
      <c r="A121" s="127"/>
      <c r="B121" s="56"/>
      <c r="C121" s="56"/>
      <c r="D121" s="56"/>
    </row>
    <row r="122" spans="1:4" x14ac:dyDescent="0.3">
      <c r="A122" s="127"/>
      <c r="B122" s="56"/>
      <c r="C122" s="56"/>
      <c r="D122" s="56"/>
    </row>
    <row r="123" spans="1:4" x14ac:dyDescent="0.3">
      <c r="A123" s="127"/>
      <c r="B123" s="56"/>
      <c r="C123" s="56"/>
      <c r="D123" s="56"/>
    </row>
    <row r="124" spans="1:4" x14ac:dyDescent="0.3">
      <c r="A124" s="127"/>
      <c r="B124" s="56"/>
      <c r="C124" s="56"/>
      <c r="D124" s="56"/>
    </row>
    <row r="125" spans="1:4" x14ac:dyDescent="0.3">
      <c r="A125" s="127"/>
      <c r="B125" s="56"/>
      <c r="C125" s="56"/>
      <c r="D125" s="56"/>
    </row>
    <row r="126" spans="1:4" x14ac:dyDescent="0.3">
      <c r="A126" s="127"/>
      <c r="B126" s="56"/>
      <c r="C126" s="56"/>
      <c r="D126" s="56"/>
    </row>
    <row r="127" spans="1:4" x14ac:dyDescent="0.3">
      <c r="A127" s="127"/>
      <c r="B127" s="56"/>
      <c r="C127" s="56"/>
      <c r="D127" s="56"/>
    </row>
    <row r="128" spans="1:4" x14ac:dyDescent="0.3">
      <c r="A128" s="127"/>
      <c r="B128" s="56"/>
      <c r="C128" s="56"/>
      <c r="D128" s="56"/>
    </row>
    <row r="129" spans="1:4" x14ac:dyDescent="0.3">
      <c r="A129" s="127"/>
      <c r="B129" s="56"/>
      <c r="C129" s="56"/>
      <c r="D129" s="56"/>
    </row>
    <row r="130" spans="1:4" x14ac:dyDescent="0.3">
      <c r="A130" s="127"/>
      <c r="B130" s="56"/>
      <c r="C130" s="56"/>
      <c r="D130" s="56"/>
    </row>
    <row r="131" spans="1:4" x14ac:dyDescent="0.3">
      <c r="A131" s="127"/>
      <c r="B131" s="56"/>
      <c r="C131" s="56"/>
      <c r="D131" s="56"/>
    </row>
    <row r="132" spans="1:4" x14ac:dyDescent="0.3">
      <c r="A132" s="127"/>
      <c r="B132" s="56"/>
      <c r="C132" s="56"/>
      <c r="D132" s="56"/>
    </row>
    <row r="133" spans="1:4" x14ac:dyDescent="0.3">
      <c r="A133" s="127"/>
      <c r="B133" s="56"/>
      <c r="C133" s="56"/>
      <c r="D133" s="56"/>
    </row>
    <row r="134" spans="1:4" x14ac:dyDescent="0.3">
      <c r="A134" s="127"/>
      <c r="B134" s="56"/>
      <c r="C134" s="56"/>
      <c r="D134" s="56"/>
    </row>
    <row r="135" spans="1:4" x14ac:dyDescent="0.3">
      <c r="A135" s="127"/>
      <c r="B135" s="56"/>
      <c r="C135" s="56"/>
      <c r="D135" s="56"/>
    </row>
    <row r="136" spans="1:4" x14ac:dyDescent="0.3">
      <c r="A136" s="127"/>
      <c r="B136" s="56"/>
      <c r="C136" s="56"/>
      <c r="D136" s="56"/>
    </row>
    <row r="137" spans="1:4" x14ac:dyDescent="0.3">
      <c r="A137" s="127"/>
      <c r="B137" s="56"/>
      <c r="C137" s="56"/>
      <c r="D137" s="56"/>
    </row>
    <row r="138" spans="1:4" x14ac:dyDescent="0.3">
      <c r="A138" s="127"/>
      <c r="B138" s="56"/>
      <c r="C138" s="56"/>
      <c r="D138" s="56"/>
    </row>
    <row r="139" spans="1:4" x14ac:dyDescent="0.3">
      <c r="A139" s="127"/>
      <c r="B139" s="56"/>
      <c r="C139" s="56"/>
      <c r="D139" s="56"/>
    </row>
    <row r="140" spans="1:4" x14ac:dyDescent="0.3">
      <c r="A140" s="127"/>
      <c r="B140" s="56"/>
      <c r="C140" s="56"/>
      <c r="D140" s="56"/>
    </row>
    <row r="141" spans="1:4" x14ac:dyDescent="0.3">
      <c r="A141" s="127"/>
      <c r="B141" s="56"/>
      <c r="C141" s="56"/>
      <c r="D141" s="56"/>
    </row>
    <row r="142" spans="1:4" x14ac:dyDescent="0.3">
      <c r="A142" s="127"/>
      <c r="B142" s="56"/>
      <c r="C142" s="56"/>
      <c r="D142" s="56"/>
    </row>
    <row r="143" spans="1:4" x14ac:dyDescent="0.3">
      <c r="A143" s="127"/>
      <c r="B143" s="56"/>
      <c r="C143" s="56"/>
      <c r="D143" s="56"/>
    </row>
    <row r="144" spans="1:4" x14ac:dyDescent="0.3">
      <c r="A144" s="127"/>
      <c r="B144" s="56"/>
      <c r="C144" s="56"/>
      <c r="D144" s="56"/>
    </row>
    <row r="145" spans="1:4" x14ac:dyDescent="0.3">
      <c r="A145" s="127"/>
      <c r="B145" s="56"/>
      <c r="C145" s="56"/>
      <c r="D145" s="56"/>
    </row>
    <row r="146" spans="1:4" x14ac:dyDescent="0.3">
      <c r="A146" s="127"/>
      <c r="B146" s="56"/>
      <c r="C146" s="56"/>
      <c r="D146" s="56"/>
    </row>
    <row r="147" spans="1:4" x14ac:dyDescent="0.3">
      <c r="A147" s="127"/>
      <c r="B147" s="56"/>
      <c r="C147" s="56"/>
      <c r="D147" s="56"/>
    </row>
    <row r="148" spans="1:4" x14ac:dyDescent="0.3">
      <c r="A148" s="127"/>
      <c r="B148" s="56"/>
      <c r="C148" s="56"/>
      <c r="D148" s="56"/>
    </row>
    <row r="149" spans="1:4" x14ac:dyDescent="0.3">
      <c r="A149" s="127"/>
      <c r="B149" s="56"/>
      <c r="C149" s="56"/>
      <c r="D149" s="56"/>
    </row>
    <row r="150" spans="1:4" x14ac:dyDescent="0.3">
      <c r="A150" s="127"/>
      <c r="B150" s="56"/>
      <c r="C150" s="56"/>
      <c r="D150" s="56"/>
    </row>
    <row r="151" spans="1:4" x14ac:dyDescent="0.3">
      <c r="A151" s="127"/>
      <c r="B151" s="56"/>
      <c r="C151" s="56"/>
      <c r="D151" s="56"/>
    </row>
    <row r="152" spans="1:4" x14ac:dyDescent="0.3">
      <c r="A152" s="127"/>
      <c r="B152" s="56"/>
      <c r="C152" s="56"/>
      <c r="D152" s="56"/>
    </row>
    <row r="153" spans="1:4" x14ac:dyDescent="0.3">
      <c r="A153" s="127"/>
      <c r="B153" s="56"/>
      <c r="C153" s="56"/>
      <c r="D153" s="56"/>
    </row>
    <row r="154" spans="1:4" x14ac:dyDescent="0.3">
      <c r="A154" s="127"/>
      <c r="B154" s="56"/>
      <c r="C154" s="56"/>
      <c r="D154" s="56"/>
    </row>
    <row r="155" spans="1:4" x14ac:dyDescent="0.3">
      <c r="A155" s="127"/>
      <c r="B155" s="56"/>
      <c r="C155" s="56"/>
      <c r="D155" s="56"/>
    </row>
    <row r="156" spans="1:4" x14ac:dyDescent="0.3">
      <c r="A156" s="127"/>
      <c r="B156" s="56"/>
      <c r="C156" s="56"/>
      <c r="D156" s="56"/>
    </row>
    <row r="157" spans="1:4" x14ac:dyDescent="0.3">
      <c r="A157" s="127"/>
      <c r="B157" s="56"/>
      <c r="C157" s="56"/>
      <c r="D157" s="56"/>
    </row>
    <row r="158" spans="1:4" x14ac:dyDescent="0.3">
      <c r="A158" s="127"/>
      <c r="B158" s="56"/>
      <c r="C158" s="56"/>
      <c r="D158" s="56"/>
    </row>
    <row r="159" spans="1:4" x14ac:dyDescent="0.3">
      <c r="A159" s="127"/>
      <c r="B159" s="56"/>
      <c r="C159" s="56"/>
      <c r="D159" s="56"/>
    </row>
    <row r="160" spans="1:4" x14ac:dyDescent="0.3">
      <c r="A160" s="127"/>
      <c r="B160" s="56"/>
      <c r="C160" s="56"/>
      <c r="D160" s="56"/>
    </row>
    <row r="161" spans="1:4" x14ac:dyDescent="0.3">
      <c r="A161" s="127"/>
      <c r="B161" s="56"/>
      <c r="C161" s="56"/>
      <c r="D161" s="56"/>
    </row>
    <row r="162" spans="1:4" x14ac:dyDescent="0.3">
      <c r="A162" s="127"/>
      <c r="B162" s="56"/>
      <c r="C162" s="56"/>
      <c r="D162" s="56"/>
    </row>
    <row r="163" spans="1:4" x14ac:dyDescent="0.3">
      <c r="A163" s="127"/>
      <c r="B163" s="56"/>
      <c r="C163" s="56"/>
      <c r="D163" s="56"/>
    </row>
    <row r="164" spans="1:4" x14ac:dyDescent="0.3">
      <c r="A164" s="127"/>
      <c r="B164" s="56"/>
      <c r="C164" s="56"/>
      <c r="D164" s="56"/>
    </row>
    <row r="165" spans="1:4" x14ac:dyDescent="0.3">
      <c r="A165" s="127"/>
      <c r="B165" s="56"/>
      <c r="C165" s="56"/>
      <c r="D165" s="56"/>
    </row>
    <row r="166" spans="1:4" x14ac:dyDescent="0.3">
      <c r="A166" s="127"/>
      <c r="B166" s="56"/>
      <c r="C166" s="56"/>
      <c r="D166" s="56"/>
    </row>
    <row r="167" spans="1:4" x14ac:dyDescent="0.3">
      <c r="A167" s="127"/>
      <c r="B167" s="56"/>
      <c r="C167" s="56"/>
      <c r="D167" s="56"/>
    </row>
    <row r="168" spans="1:4" x14ac:dyDescent="0.3">
      <c r="A168" s="127"/>
      <c r="B168" s="56"/>
      <c r="C168" s="56"/>
      <c r="D168" s="56"/>
    </row>
    <row r="169" spans="1:4" x14ac:dyDescent="0.3">
      <c r="A169" s="127"/>
      <c r="B169" s="56"/>
      <c r="C169" s="56"/>
      <c r="D169" s="56"/>
    </row>
    <row r="170" spans="1:4" x14ac:dyDescent="0.3">
      <c r="A170" s="127"/>
      <c r="B170" s="56"/>
      <c r="C170" s="56"/>
      <c r="D170" s="56"/>
    </row>
    <row r="171" spans="1:4" x14ac:dyDescent="0.3">
      <c r="A171" s="127"/>
      <c r="B171" s="56"/>
      <c r="C171" s="56"/>
      <c r="D171" s="56"/>
    </row>
    <row r="172" spans="1:4" x14ac:dyDescent="0.3">
      <c r="A172" s="127"/>
      <c r="B172" s="56"/>
      <c r="C172" s="56"/>
      <c r="D172" s="56"/>
    </row>
    <row r="173" spans="1:4" x14ac:dyDescent="0.3">
      <c r="A173" s="127"/>
      <c r="B173" s="56"/>
      <c r="C173" s="56"/>
      <c r="D173" s="56"/>
    </row>
    <row r="174" spans="1:4" x14ac:dyDescent="0.3">
      <c r="A174" s="127"/>
      <c r="B174" s="56"/>
      <c r="C174" s="56"/>
      <c r="D174" s="56"/>
    </row>
    <row r="175" spans="1:4" x14ac:dyDescent="0.3">
      <c r="A175" s="127"/>
      <c r="B175" s="56"/>
      <c r="C175" s="56"/>
      <c r="D175" s="56"/>
    </row>
    <row r="176" spans="1:4" x14ac:dyDescent="0.3">
      <c r="A176" s="127"/>
      <c r="B176" s="56"/>
      <c r="C176" s="56"/>
      <c r="D176" s="56"/>
    </row>
    <row r="177" spans="1:4" x14ac:dyDescent="0.3">
      <c r="A177" s="127"/>
      <c r="B177" s="56"/>
      <c r="C177" s="56"/>
      <c r="D177" s="56"/>
    </row>
    <row r="178" spans="1:4" x14ac:dyDescent="0.3">
      <c r="A178" s="127"/>
      <c r="B178" s="56"/>
      <c r="C178" s="56"/>
      <c r="D178" s="56"/>
    </row>
    <row r="179" spans="1:4" x14ac:dyDescent="0.3">
      <c r="A179" s="127"/>
      <c r="B179" s="56"/>
      <c r="C179" s="56"/>
      <c r="D179" s="56"/>
    </row>
    <row r="180" spans="1:4" x14ac:dyDescent="0.3">
      <c r="A180" s="127"/>
      <c r="B180" s="56"/>
      <c r="C180" s="56"/>
      <c r="D180" s="56"/>
    </row>
    <row r="181" spans="1:4" x14ac:dyDescent="0.3">
      <c r="A181" s="127"/>
      <c r="B181" s="56"/>
      <c r="C181" s="56"/>
      <c r="D181" s="56"/>
    </row>
    <row r="182" spans="1:4" x14ac:dyDescent="0.3">
      <c r="A182" s="127"/>
      <c r="B182" s="56"/>
      <c r="C182" s="56"/>
      <c r="D182" s="56"/>
    </row>
    <row r="183" spans="1:4" x14ac:dyDescent="0.3">
      <c r="A183" s="127"/>
      <c r="B183" s="56"/>
      <c r="C183" s="56"/>
      <c r="D183" s="56"/>
    </row>
    <row r="184" spans="1:4" x14ac:dyDescent="0.3">
      <c r="A184" s="127"/>
      <c r="B184" s="56"/>
      <c r="C184" s="56"/>
      <c r="D184" s="56"/>
    </row>
    <row r="185" spans="1:4" x14ac:dyDescent="0.3">
      <c r="A185" s="127"/>
      <c r="B185" s="56"/>
      <c r="C185" s="56"/>
      <c r="D185" s="56"/>
    </row>
    <row r="186" spans="1:4" x14ac:dyDescent="0.3">
      <c r="A186" s="127"/>
      <c r="B186" s="56"/>
      <c r="C186" s="56"/>
      <c r="D186" s="56"/>
    </row>
    <row r="187" spans="1:4" x14ac:dyDescent="0.3">
      <c r="A187" s="127"/>
      <c r="B187" s="56"/>
      <c r="C187" s="56"/>
      <c r="D187" s="56"/>
    </row>
    <row r="188" spans="1:4" x14ac:dyDescent="0.3">
      <c r="A188" s="127"/>
      <c r="B188" s="56"/>
      <c r="C188" s="56"/>
      <c r="D188" s="56"/>
    </row>
    <row r="189" spans="1:4" x14ac:dyDescent="0.3">
      <c r="A189" s="127"/>
      <c r="B189" s="56"/>
      <c r="C189" s="56"/>
      <c r="D189" s="56"/>
    </row>
    <row r="190" spans="1:4" x14ac:dyDescent="0.3">
      <c r="A190" s="127"/>
      <c r="B190" s="56"/>
      <c r="C190" s="56"/>
      <c r="D190" s="56"/>
    </row>
    <row r="191" spans="1:4" x14ac:dyDescent="0.3">
      <c r="A191" s="127"/>
      <c r="B191" s="56"/>
      <c r="C191" s="56"/>
      <c r="D191" s="56"/>
    </row>
    <row r="192" spans="1:4" x14ac:dyDescent="0.3">
      <c r="A192" s="127"/>
      <c r="B192" s="56"/>
      <c r="C192" s="56"/>
      <c r="D192" s="56"/>
    </row>
    <row r="193" spans="1:4" x14ac:dyDescent="0.3">
      <c r="A193" s="127"/>
      <c r="B193" s="56"/>
      <c r="C193" s="56"/>
      <c r="D193" s="56"/>
    </row>
    <row r="194" spans="1:4" x14ac:dyDescent="0.3">
      <c r="A194" s="127"/>
      <c r="B194" s="56"/>
      <c r="C194" s="56"/>
      <c r="D194" s="56"/>
    </row>
    <row r="195" spans="1:4" x14ac:dyDescent="0.3">
      <c r="A195" s="127"/>
      <c r="B195" s="56"/>
      <c r="C195" s="56"/>
      <c r="D195" s="56"/>
    </row>
    <row r="196" spans="1:4" x14ac:dyDescent="0.3">
      <c r="A196" s="127"/>
      <c r="B196" s="56"/>
      <c r="C196" s="56"/>
      <c r="D196" s="56"/>
    </row>
    <row r="197" spans="1:4" x14ac:dyDescent="0.3">
      <c r="A197" s="127"/>
      <c r="B197" s="56"/>
      <c r="C197" s="56"/>
      <c r="D197" s="56"/>
    </row>
    <row r="198" spans="1:4" x14ac:dyDescent="0.3">
      <c r="A198" s="127"/>
      <c r="B198" s="56"/>
      <c r="C198" s="56"/>
      <c r="D198" s="56"/>
    </row>
    <row r="199" spans="1:4" x14ac:dyDescent="0.3">
      <c r="A199" s="127"/>
      <c r="B199" s="56"/>
      <c r="C199" s="56"/>
      <c r="D199" s="56"/>
    </row>
    <row r="200" spans="1:4" x14ac:dyDescent="0.3">
      <c r="A200" s="127"/>
      <c r="B200" s="56"/>
      <c r="C200" s="56"/>
      <c r="D200" s="56"/>
    </row>
    <row r="201" spans="1:4" x14ac:dyDescent="0.3">
      <c r="A201" s="127"/>
      <c r="B201" s="56"/>
      <c r="C201" s="56"/>
      <c r="D201" s="56"/>
    </row>
    <row r="202" spans="1:4" x14ac:dyDescent="0.3">
      <c r="A202" s="127"/>
      <c r="B202" s="56"/>
      <c r="C202" s="56"/>
      <c r="D202" s="56"/>
    </row>
    <row r="203" spans="1:4" x14ac:dyDescent="0.3">
      <c r="A203" s="127"/>
      <c r="B203" s="56"/>
      <c r="C203" s="56"/>
      <c r="D203" s="56"/>
    </row>
    <row r="204" spans="1:4" x14ac:dyDescent="0.3">
      <c r="A204" s="127"/>
      <c r="B204" s="56"/>
      <c r="C204" s="56"/>
      <c r="D204" s="56"/>
    </row>
    <row r="205" spans="1:4" x14ac:dyDescent="0.3">
      <c r="A205" s="127"/>
      <c r="B205" s="56"/>
      <c r="C205" s="56"/>
      <c r="D205" s="56"/>
    </row>
    <row r="206" spans="1:4" x14ac:dyDescent="0.3">
      <c r="A206" s="127"/>
      <c r="B206" s="56"/>
      <c r="C206" s="56"/>
      <c r="D206" s="56"/>
    </row>
    <row r="207" spans="1:4" x14ac:dyDescent="0.3">
      <c r="A207" s="127"/>
      <c r="B207" s="56"/>
      <c r="C207" s="56"/>
      <c r="D207" s="56"/>
    </row>
    <row r="208" spans="1:4" x14ac:dyDescent="0.3">
      <c r="A208" s="127"/>
      <c r="B208" s="56"/>
      <c r="C208" s="56"/>
      <c r="D208" s="56"/>
    </row>
    <row r="209" spans="1:4" x14ac:dyDescent="0.3">
      <c r="A209" s="127"/>
      <c r="B209" s="56"/>
      <c r="C209" s="56"/>
      <c r="D209" s="56"/>
    </row>
    <row r="210" spans="1:4" x14ac:dyDescent="0.3">
      <c r="A210" s="127"/>
      <c r="B210" s="56"/>
      <c r="C210" s="56"/>
      <c r="D210" s="56"/>
    </row>
    <row r="211" spans="1:4" x14ac:dyDescent="0.3">
      <c r="A211" s="127"/>
      <c r="B211" s="56"/>
      <c r="C211" s="56"/>
      <c r="D211" s="56"/>
    </row>
    <row r="212" spans="1:4" x14ac:dyDescent="0.3">
      <c r="A212" s="127"/>
      <c r="B212" s="56"/>
      <c r="C212" s="56"/>
      <c r="D212" s="56"/>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topLeftCell="A15" workbookViewId="0">
      <selection activeCell="I31" sqref="I31"/>
    </sheetView>
  </sheetViews>
  <sheetFormatPr defaultColWidth="9.109375" defaultRowHeight="13.8" x14ac:dyDescent="0.3"/>
  <cols>
    <col min="1" max="1" width="3.5546875" style="84" customWidth="1"/>
    <col min="2" max="4" width="9.109375" style="84"/>
    <col min="5" max="5" width="15.5546875" style="84" customWidth="1"/>
    <col min="6" max="6" width="49.6640625" style="84" customWidth="1"/>
    <col min="7" max="16384" width="9.109375" style="84"/>
  </cols>
  <sheetData>
    <row r="1" spans="1:6" ht="14.4" x14ac:dyDescent="0.3">
      <c r="A1" s="393" t="s">
        <v>510</v>
      </c>
      <c r="B1" s="393"/>
      <c r="C1" s="393"/>
      <c r="D1" s="393"/>
      <c r="E1" s="134"/>
      <c r="F1" s="134"/>
    </row>
    <row r="2" spans="1:6" x14ac:dyDescent="0.3">
      <c r="A2" s="1"/>
      <c r="B2" s="1"/>
      <c r="C2" s="1"/>
      <c r="D2" s="1"/>
      <c r="E2" s="1"/>
      <c r="F2" s="1"/>
    </row>
    <row r="3" spans="1:6" x14ac:dyDescent="0.3">
      <c r="A3" s="440" t="s">
        <v>337</v>
      </c>
      <c r="B3" s="440"/>
      <c r="C3" s="440"/>
      <c r="D3" s="440"/>
      <c r="E3" s="440"/>
      <c r="F3" s="440"/>
    </row>
    <row r="4" spans="1:6" ht="39" customHeight="1" x14ac:dyDescent="0.3">
      <c r="A4" s="440" t="s">
        <v>554</v>
      </c>
      <c r="B4" s="440"/>
      <c r="C4" s="440"/>
      <c r="D4" s="440"/>
      <c r="E4" s="440"/>
      <c r="F4" s="440"/>
    </row>
    <row r="5" spans="1:6" x14ac:dyDescent="0.3">
      <c r="A5" s="394"/>
      <c r="B5" s="394"/>
      <c r="C5" s="394"/>
      <c r="D5" s="394"/>
      <c r="E5" s="394"/>
      <c r="F5" s="394"/>
    </row>
    <row r="6" spans="1:6" x14ac:dyDescent="0.3">
      <c r="A6" s="443" t="s">
        <v>339</v>
      </c>
      <c r="B6" s="443"/>
      <c r="C6" s="443"/>
      <c r="D6" s="443"/>
      <c r="E6" s="443"/>
      <c r="F6" s="443"/>
    </row>
    <row r="8" spans="1:6" ht="54" customHeight="1" x14ac:dyDescent="0.3">
      <c r="A8" s="2" t="s">
        <v>323</v>
      </c>
      <c r="B8" s="441" t="s">
        <v>567</v>
      </c>
      <c r="C8" s="441"/>
      <c r="D8" s="441"/>
      <c r="E8" s="441"/>
      <c r="F8" s="442"/>
    </row>
    <row r="9" spans="1:6" x14ac:dyDescent="0.3">
      <c r="A9" s="135"/>
      <c r="B9" s="444" t="s">
        <v>336</v>
      </c>
      <c r="C9" s="444"/>
      <c r="D9" s="444"/>
      <c r="E9" s="444"/>
      <c r="F9" s="445"/>
    </row>
    <row r="10" spans="1:6" x14ac:dyDescent="0.3">
      <c r="A10" s="135"/>
      <c r="B10" s="447" t="s">
        <v>328</v>
      </c>
      <c r="C10" s="447"/>
      <c r="D10" s="447"/>
      <c r="E10" s="447"/>
      <c r="F10" s="386">
        <f>'1A-Bilant'!C82</f>
        <v>6962</v>
      </c>
    </row>
    <row r="11" spans="1:6" x14ac:dyDescent="0.3">
      <c r="A11" s="135"/>
      <c r="B11" s="447" t="s">
        <v>329</v>
      </c>
      <c r="C11" s="447"/>
      <c r="D11" s="447"/>
      <c r="E11" s="447"/>
      <c r="F11" s="386">
        <f>'1A-Bilant'!C85</f>
        <v>552672</v>
      </c>
    </row>
    <row r="12" spans="1:6" x14ac:dyDescent="0.3">
      <c r="A12" s="135"/>
      <c r="B12" s="449" t="s">
        <v>330</v>
      </c>
      <c r="C12" s="449"/>
      <c r="D12" s="449"/>
      <c r="E12" s="449"/>
      <c r="F12" s="387">
        <f>F10+F11</f>
        <v>559634</v>
      </c>
    </row>
    <row r="13" spans="1:6" ht="27" customHeight="1" x14ac:dyDescent="0.3">
      <c r="A13" s="135"/>
      <c r="B13" s="449" t="s">
        <v>331</v>
      </c>
      <c r="C13" s="449"/>
      <c r="D13" s="449"/>
      <c r="E13" s="449"/>
      <c r="F13" s="452"/>
    </row>
    <row r="14" spans="1:6" ht="25.5" customHeight="1" x14ac:dyDescent="0.3">
      <c r="A14" s="135"/>
      <c r="B14" s="450" t="s">
        <v>568</v>
      </c>
      <c r="C14" s="450"/>
      <c r="D14" s="450"/>
      <c r="E14" s="450"/>
      <c r="F14" s="451"/>
    </row>
    <row r="15" spans="1:6" x14ac:dyDescent="0.3">
      <c r="A15" s="135"/>
      <c r="B15" s="447" t="s">
        <v>332</v>
      </c>
      <c r="C15" s="447"/>
      <c r="D15" s="447"/>
      <c r="E15" s="447"/>
      <c r="F15" s="386">
        <f>'1A-Bilant'!C69</f>
        <v>200</v>
      </c>
    </row>
    <row r="16" spans="1:6" x14ac:dyDescent="0.3">
      <c r="A16" s="135"/>
      <c r="B16" s="447" t="s">
        <v>333</v>
      </c>
      <c r="C16" s="447"/>
      <c r="D16" s="447"/>
      <c r="E16" s="447"/>
      <c r="F16" s="386">
        <f>'1A-Bilant'!C74</f>
        <v>0</v>
      </c>
    </row>
    <row r="17" spans="1:6" x14ac:dyDescent="0.3">
      <c r="A17" s="135"/>
      <c r="B17" s="448" t="s">
        <v>334</v>
      </c>
      <c r="C17" s="448"/>
      <c r="D17" s="448"/>
      <c r="E17" s="448"/>
      <c r="F17" s="386">
        <f>'1A-Bilant'!C75</f>
        <v>0</v>
      </c>
    </row>
    <row r="18" spans="1:6" x14ac:dyDescent="0.3">
      <c r="A18" s="135"/>
      <c r="B18" s="448" t="s">
        <v>335</v>
      </c>
      <c r="C18" s="448"/>
      <c r="D18" s="448"/>
      <c r="E18" s="448"/>
      <c r="F18" s="386">
        <f>'1A-Bilant'!C78</f>
        <v>40</v>
      </c>
    </row>
    <row r="19" spans="1:6" x14ac:dyDescent="0.3">
      <c r="A19" s="135"/>
      <c r="B19" s="446" t="s">
        <v>576</v>
      </c>
      <c r="C19" s="446"/>
      <c r="D19" s="446"/>
      <c r="E19" s="446"/>
      <c r="F19" s="387">
        <f>F12+SUM(F16:F18)</f>
        <v>559674</v>
      </c>
    </row>
    <row r="20" spans="1:6" ht="29.25" customHeight="1" x14ac:dyDescent="0.3">
      <c r="A20" s="135"/>
      <c r="B20" s="455" t="s">
        <v>575</v>
      </c>
      <c r="C20" s="455"/>
      <c r="D20" s="455"/>
      <c r="E20" s="455"/>
      <c r="F20" s="456"/>
    </row>
    <row r="21" spans="1:6" ht="18" customHeight="1" x14ac:dyDescent="0.3">
      <c r="A21" s="135"/>
      <c r="B21" s="377" t="s">
        <v>338</v>
      </c>
      <c r="C21" s="453" t="str">
        <f>CONCATENATE("Solicitantul ",IF(F12&gt;=0,"nu ",IF(F19&gt;=0,"nu ", IF(ABS(F19)&gt;F15/2,"","nu "))),"se încadrează în categoria întreprinderilor în dificultate")</f>
        <v>Solicitantul nu se încadrează în categoria întreprinderilor în dificultate</v>
      </c>
      <c r="D21" s="453"/>
      <c r="E21" s="453"/>
      <c r="F21" s="454"/>
    </row>
    <row r="22" spans="1:6" x14ac:dyDescent="0.3">
      <c r="A22" s="135"/>
      <c r="B22" s="136"/>
      <c r="C22" s="136"/>
      <c r="D22" s="136"/>
      <c r="E22" s="136"/>
      <c r="F22" s="137"/>
    </row>
    <row r="23" spans="1:6" ht="39" customHeight="1" x14ac:dyDescent="0.3">
      <c r="A23" s="3" t="s">
        <v>324</v>
      </c>
      <c r="B23" s="441" t="s">
        <v>327</v>
      </c>
      <c r="C23" s="441"/>
      <c r="D23" s="441"/>
      <c r="E23" s="441"/>
      <c r="F23" s="441"/>
    </row>
    <row r="24" spans="1:6" ht="26.25" customHeight="1" x14ac:dyDescent="0.3">
      <c r="A24" s="3" t="s">
        <v>325</v>
      </c>
      <c r="B24" s="441" t="s">
        <v>326</v>
      </c>
      <c r="C24" s="441"/>
      <c r="D24" s="441"/>
      <c r="E24" s="441"/>
      <c r="F24" s="441"/>
    </row>
    <row r="27" spans="1:6" ht="25.5" customHeight="1" x14ac:dyDescent="0.3">
      <c r="A27" s="440" t="s">
        <v>556</v>
      </c>
      <c r="B27" s="440"/>
      <c r="C27" s="440"/>
      <c r="D27" s="440"/>
      <c r="E27" s="440"/>
      <c r="F27" s="440"/>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1" right="0.70866141732283472" top="0.74803149606299213" bottom="0.74803149606299213" header="0.31496062992125984" footer="0.31496062992125984"/>
  <pageSetup paperSize="9" orientation="portrait" blackAndWhite="1"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topLeftCell="A15" workbookViewId="0">
      <selection activeCell="F49" sqref="F49"/>
    </sheetView>
  </sheetViews>
  <sheetFormatPr defaultColWidth="9.109375" defaultRowHeight="13.8" x14ac:dyDescent="0.3"/>
  <cols>
    <col min="1" max="1" width="6.6640625" style="317" customWidth="1"/>
    <col min="2" max="2" width="65" style="61" customWidth="1"/>
    <col min="3" max="3" width="15" style="318" customWidth="1"/>
    <col min="4" max="4" width="12.33203125" style="319" customWidth="1"/>
    <col min="5" max="5" width="11.77734375" style="320" customWidth="1"/>
    <col min="6" max="7" width="12.33203125" style="320" customWidth="1"/>
    <col min="8" max="13" width="11.44140625" style="45" customWidth="1"/>
    <col min="14" max="14" width="11.5546875" style="45" customWidth="1"/>
    <col min="15" max="15" width="11.5546875" style="71" customWidth="1"/>
    <col min="16" max="16384" width="9.109375" style="71"/>
  </cols>
  <sheetData>
    <row r="1" spans="1:14" s="275" customFormat="1" x14ac:dyDescent="0.3">
      <c r="A1" s="461" t="s">
        <v>462</v>
      </c>
      <c r="B1" s="461"/>
      <c r="C1" s="461"/>
      <c r="D1" s="461"/>
      <c r="E1" s="461"/>
      <c r="F1" s="461"/>
      <c r="G1" s="461"/>
      <c r="H1" s="274"/>
      <c r="I1" s="274"/>
      <c r="J1" s="274"/>
      <c r="K1" s="274"/>
      <c r="L1" s="274"/>
      <c r="M1" s="274"/>
      <c r="N1" s="274"/>
    </row>
    <row r="2" spans="1:14" s="275" customFormat="1" ht="40.5" customHeight="1" x14ac:dyDescent="0.3">
      <c r="A2" s="435" t="s">
        <v>443</v>
      </c>
      <c r="B2" s="462"/>
      <c r="C2" s="462"/>
      <c r="D2" s="462"/>
      <c r="E2" s="462"/>
      <c r="F2" s="462"/>
      <c r="G2" s="462"/>
      <c r="H2" s="274"/>
      <c r="I2" s="274"/>
      <c r="J2" s="274"/>
      <c r="K2" s="274"/>
      <c r="L2" s="274"/>
      <c r="M2" s="274"/>
      <c r="N2" s="274"/>
    </row>
    <row r="3" spans="1:14" s="275" customFormat="1" x14ac:dyDescent="0.3">
      <c r="A3" s="276"/>
      <c r="B3" s="439"/>
      <c r="C3" s="439"/>
      <c r="D3" s="277"/>
      <c r="E3" s="278"/>
      <c r="F3" s="278"/>
      <c r="G3" s="278"/>
      <c r="H3" s="274"/>
      <c r="I3" s="274"/>
      <c r="J3" s="274"/>
      <c r="K3" s="274"/>
      <c r="L3" s="274"/>
      <c r="M3" s="274"/>
      <c r="N3" s="274"/>
    </row>
    <row r="4" spans="1:14" s="275" customFormat="1" ht="13.8" customHeight="1" x14ac:dyDescent="0.3">
      <c r="A4" s="463" t="s">
        <v>472</v>
      </c>
      <c r="B4" s="467" t="s">
        <v>375</v>
      </c>
      <c r="C4" s="467" t="s">
        <v>441</v>
      </c>
      <c r="D4" s="467" t="s">
        <v>442</v>
      </c>
      <c r="E4" s="399" t="s">
        <v>170</v>
      </c>
      <c r="F4" s="274"/>
      <c r="G4" s="274"/>
      <c r="H4" s="274"/>
      <c r="I4" s="274"/>
      <c r="J4" s="274"/>
      <c r="K4" s="274"/>
    </row>
    <row r="5" spans="1:14" s="282" customFormat="1" ht="15" customHeight="1" x14ac:dyDescent="0.3">
      <c r="A5" s="464"/>
      <c r="B5" s="468"/>
      <c r="C5" s="468"/>
      <c r="D5" s="468"/>
      <c r="E5" s="279" t="s">
        <v>159</v>
      </c>
      <c r="F5" s="280"/>
      <c r="G5" s="280"/>
      <c r="H5" s="280"/>
      <c r="I5" s="281"/>
      <c r="J5" s="280"/>
      <c r="K5" s="280"/>
    </row>
    <row r="6" spans="1:14" s="289" customFormat="1" ht="14.4" x14ac:dyDescent="0.3">
      <c r="A6" s="285" t="str">
        <f>'2A-Buget_cerere'!A5</f>
        <v>1.1</v>
      </c>
      <c r="B6" s="286" t="str">
        <f>'2A-Buget_cerere'!B5</f>
        <v>Cheltuieli cu realizarea/achizitia constructiilor</v>
      </c>
      <c r="C6" s="287">
        <f>'2A-Buget_cerere'!I5</f>
        <v>1231870.1499999999</v>
      </c>
      <c r="D6" s="64" t="str">
        <f>IF(E6&lt;&gt;C6,"Eroare!","")</f>
        <v/>
      </c>
      <c r="E6" s="49">
        <v>1231870.1499999999</v>
      </c>
      <c r="F6" s="288"/>
      <c r="G6" s="288"/>
      <c r="H6" s="288"/>
      <c r="I6" s="288"/>
      <c r="J6" s="288"/>
      <c r="K6" s="288"/>
    </row>
    <row r="7" spans="1:14" s="289" customFormat="1" ht="27.6" x14ac:dyDescent="0.3">
      <c r="A7" s="285" t="str">
        <f>'2A-Buget_cerere'!A6</f>
        <v>1.2</v>
      </c>
      <c r="B7" s="286" t="str">
        <f>'2A-Buget_cerere'!B6</f>
        <v>Echipamente, inclusiv IT&amp;C, tehnologii software, utilaje, instalatii, tehnologii, dotari independente</v>
      </c>
      <c r="C7" s="287">
        <f>'2A-Buget_cerere'!I6</f>
        <v>0</v>
      </c>
      <c r="D7" s="64" t="str">
        <f t="shared" ref="D7:D19" si="0">IF(E7&lt;&gt;C7,"Eroare!","")</f>
        <v/>
      </c>
      <c r="E7" s="49">
        <v>0</v>
      </c>
      <c r="F7" s="288"/>
      <c r="G7" s="288"/>
      <c r="H7" s="288"/>
      <c r="I7" s="288"/>
      <c r="J7" s="288"/>
      <c r="K7" s="288"/>
    </row>
    <row r="8" spans="1:14" s="284" customFormat="1" ht="14.4" x14ac:dyDescent="0.3">
      <c r="A8" s="285" t="str">
        <f>'2A-Buget_cerere'!A7</f>
        <v>1.3</v>
      </c>
      <c r="B8" s="286" t="str">
        <f>'2A-Buget_cerere'!B7</f>
        <v>Mobilier de birou si mobilier specific</v>
      </c>
      <c r="C8" s="287">
        <f>'2A-Buget_cerere'!I7</f>
        <v>0</v>
      </c>
      <c r="D8" s="64" t="str">
        <f t="shared" si="0"/>
        <v/>
      </c>
      <c r="E8" s="49">
        <v>0</v>
      </c>
      <c r="F8" s="283"/>
      <c r="G8" s="288"/>
      <c r="H8" s="283"/>
      <c r="I8" s="283"/>
      <c r="J8" s="283"/>
      <c r="K8" s="283"/>
    </row>
    <row r="9" spans="1:14" s="289" customFormat="1" ht="14.4" x14ac:dyDescent="0.3">
      <c r="A9" s="285" t="str">
        <f>'2A-Buget_cerere'!A8</f>
        <v>1.4</v>
      </c>
      <c r="B9" s="286" t="str">
        <f>'2A-Buget_cerere'!B8</f>
        <v>Terenuri in limita a 10% din valoarea eligibila a proiectului</v>
      </c>
      <c r="C9" s="287">
        <f>'2A-Buget_cerere'!I8</f>
        <v>172770.15</v>
      </c>
      <c r="D9" s="64" t="str">
        <f t="shared" si="0"/>
        <v/>
      </c>
      <c r="E9" s="49">
        <v>172770.15</v>
      </c>
      <c r="F9" s="288"/>
      <c r="G9" s="288"/>
      <c r="H9" s="288"/>
      <c r="I9" s="288"/>
      <c r="J9" s="288"/>
      <c r="K9" s="288"/>
    </row>
    <row r="10" spans="1:14" s="289" customFormat="1" ht="27.6" x14ac:dyDescent="0.3">
      <c r="A10" s="285" t="str">
        <f>'2A-Buget_cerere'!A9</f>
        <v>1.5</v>
      </c>
      <c r="B10" s="286" t="str">
        <f>'2A-Buget_cerere'!B9</f>
        <v>Cheltuieli de sistemizare si amenajare teritoriale a terenurilor, cheltuieli de mediu, cheltuieli cu racordarea la utilitati, cheltuieli privind accesibilitatea</v>
      </c>
      <c r="C10" s="287">
        <f>'2A-Buget_cerere'!I9</f>
        <v>0</v>
      </c>
      <c r="D10" s="64" t="str">
        <f t="shared" si="0"/>
        <v/>
      </c>
      <c r="E10" s="49">
        <v>0</v>
      </c>
      <c r="F10" s="288"/>
      <c r="G10" s="288"/>
      <c r="H10" s="288"/>
      <c r="I10" s="288"/>
      <c r="J10" s="288"/>
      <c r="K10" s="288"/>
    </row>
    <row r="11" spans="1:14" s="289" customFormat="1" ht="27.6" x14ac:dyDescent="0.3">
      <c r="A11" s="285" t="str">
        <f>'2A-Buget_cerere'!A10</f>
        <v>1.6</v>
      </c>
      <c r="B11" s="286" t="str">
        <f>'2A-Buget_cerere'!B10</f>
        <v>Cheltuieli cu consultanta si proiectarea, managementul de proiect, asistenta tehnica, dirigentia de santier</v>
      </c>
      <c r="C11" s="287">
        <f>'2A-Buget_cerere'!I10</f>
        <v>0</v>
      </c>
      <c r="D11" s="64" t="str">
        <f t="shared" si="0"/>
        <v/>
      </c>
      <c r="E11" s="49">
        <v>0</v>
      </c>
      <c r="F11" s="288"/>
      <c r="G11" s="288"/>
      <c r="H11" s="288"/>
      <c r="I11" s="288"/>
      <c r="J11" s="288"/>
      <c r="K11" s="288"/>
    </row>
    <row r="12" spans="1:14" s="289" customFormat="1" ht="27.6" x14ac:dyDescent="0.3">
      <c r="A12" s="285" t="str">
        <f>'2A-Buget_cerere'!A11</f>
        <v>1.7</v>
      </c>
      <c r="B12" s="286" t="str">
        <f>'2A-Buget_cerere'!B11</f>
        <v>Cheltuieli de promovare, participare la targuri, evenimente, conferinte, cheltuieli privind studiile</v>
      </c>
      <c r="C12" s="287">
        <f>'2A-Buget_cerere'!I11</f>
        <v>0</v>
      </c>
      <c r="D12" s="64" t="str">
        <f t="shared" si="0"/>
        <v/>
      </c>
      <c r="E12" s="49">
        <v>0</v>
      </c>
      <c r="F12" s="288"/>
      <c r="G12" s="288"/>
      <c r="H12" s="288"/>
      <c r="I12" s="288"/>
      <c r="J12" s="288"/>
      <c r="K12" s="288"/>
    </row>
    <row r="13" spans="1:14" s="289" customFormat="1" ht="14.4" x14ac:dyDescent="0.3">
      <c r="A13" s="285" t="str">
        <f>'2A-Buget_cerere'!A12</f>
        <v>1.8</v>
      </c>
      <c r="B13" s="286" t="str">
        <f>'2A-Buget_cerere'!B12</f>
        <v>Cheltuieli privind drepturile de proprietate intelectuala</v>
      </c>
      <c r="C13" s="287">
        <f>'2A-Buget_cerere'!I12</f>
        <v>0</v>
      </c>
      <c r="D13" s="64" t="str">
        <f t="shared" si="0"/>
        <v/>
      </c>
      <c r="E13" s="49">
        <v>0</v>
      </c>
      <c r="F13" s="288"/>
      <c r="G13" s="288"/>
      <c r="H13" s="288"/>
      <c r="I13" s="288"/>
      <c r="J13" s="288"/>
      <c r="K13" s="288"/>
    </row>
    <row r="14" spans="1:14" s="289" customFormat="1" ht="27.6" x14ac:dyDescent="0.3">
      <c r="A14" s="285" t="str">
        <f>'2A-Buget_cerere'!A13</f>
        <v>1.9</v>
      </c>
      <c r="B14" s="286" t="str">
        <f>'2A-Buget_cerere'!B13</f>
        <v>Active necorporale referitoare la brevete de inventie, marci de produse, software necesar activitatii</v>
      </c>
      <c r="C14" s="287">
        <f>'2A-Buget_cerere'!I13</f>
        <v>0</v>
      </c>
      <c r="D14" s="64" t="str">
        <f t="shared" si="0"/>
        <v/>
      </c>
      <c r="E14" s="49">
        <v>0</v>
      </c>
      <c r="F14" s="288"/>
      <c r="G14" s="288"/>
      <c r="H14" s="288"/>
      <c r="I14" s="288"/>
      <c r="J14" s="288"/>
      <c r="K14" s="288"/>
    </row>
    <row r="15" spans="1:14" s="289" customFormat="1" ht="27.6" x14ac:dyDescent="0.3">
      <c r="A15" s="285" t="str">
        <f>'2A-Buget_cerere'!A14</f>
        <v>2.1</v>
      </c>
      <c r="B15" s="286" t="str">
        <f>'2A-Buget_cerere'!B14</f>
        <v>Cheltuieli pentru realizare de depozite de echipamente medicale, medicamente, materiale sanitare, destinate interventiei pentru situatii de urgenta</v>
      </c>
      <c r="C15" s="287">
        <f>'2A-Buget_cerere'!I14</f>
        <v>0</v>
      </c>
      <c r="D15" s="64" t="str">
        <f t="shared" si="0"/>
        <v/>
      </c>
      <c r="E15" s="49"/>
      <c r="F15" s="288"/>
      <c r="G15" s="288"/>
      <c r="H15" s="288"/>
      <c r="I15" s="288"/>
      <c r="J15" s="288"/>
      <c r="K15" s="288"/>
    </row>
    <row r="16" spans="1:14" s="289" customFormat="1" ht="27.6" x14ac:dyDescent="0.3">
      <c r="A16" s="190" t="s">
        <v>377</v>
      </c>
      <c r="B16" s="138" t="s">
        <v>378</v>
      </c>
      <c r="C16" s="287">
        <f>'2A-Buget_cerere'!I15</f>
        <v>0</v>
      </c>
      <c r="D16" s="64" t="str">
        <f t="shared" si="0"/>
        <v/>
      </c>
      <c r="E16" s="49"/>
      <c r="F16" s="288"/>
      <c r="G16" s="288"/>
      <c r="H16" s="288"/>
      <c r="I16" s="288"/>
      <c r="J16" s="288"/>
      <c r="K16" s="288"/>
    </row>
    <row r="17" spans="1:14" s="289" customFormat="1" ht="27.6" x14ac:dyDescent="0.3">
      <c r="A17" s="190" t="s">
        <v>379</v>
      </c>
      <c r="B17" s="138" t="s">
        <v>380</v>
      </c>
      <c r="C17" s="287">
        <f>'2A-Buget_cerere'!I16</f>
        <v>0</v>
      </c>
      <c r="D17" s="64" t="str">
        <f t="shared" si="0"/>
        <v/>
      </c>
      <c r="E17" s="49">
        <v>0</v>
      </c>
      <c r="F17" s="288"/>
      <c r="G17" s="288"/>
      <c r="H17" s="288"/>
      <c r="I17" s="288"/>
      <c r="J17" s="288"/>
      <c r="K17" s="288"/>
    </row>
    <row r="18" spans="1:14" s="289" customFormat="1" ht="41.4" x14ac:dyDescent="0.3">
      <c r="A18" s="285" t="str">
        <f>'2A-Buget_cerere'!A17</f>
        <v>3.3</v>
      </c>
      <c r="B18" s="286" t="str">
        <f>'2A-Buget_cerere'!B17</f>
        <v>Cheltuieli privind dotarea mijloacelor de transport existente cu echipamente si tehnologii care conduc la imbunatatirea confortului/calitatii serviciilor de transport persoane si marfuri prestate</v>
      </c>
      <c r="C18" s="287">
        <f>'2A-Buget_cerere'!I17</f>
        <v>0</v>
      </c>
      <c r="D18" s="64" t="str">
        <f t="shared" si="0"/>
        <v/>
      </c>
      <c r="E18" s="49">
        <v>0</v>
      </c>
      <c r="F18" s="288"/>
      <c r="G18" s="288"/>
      <c r="H18" s="288"/>
      <c r="I18" s="288"/>
      <c r="J18" s="288"/>
      <c r="K18" s="288"/>
    </row>
    <row r="19" spans="1:14" s="293" customFormat="1" ht="14.4" x14ac:dyDescent="0.3">
      <c r="A19" s="291"/>
      <c r="B19" s="292" t="str">
        <f>'2A-Buget_cerere'!B18</f>
        <v>TOTAL GENERAL</v>
      </c>
      <c r="C19" s="287">
        <f>'2A-Buget_cerere'!I18</f>
        <v>1404640.2999999998</v>
      </c>
      <c r="D19" s="64" t="str">
        <f t="shared" si="0"/>
        <v/>
      </c>
      <c r="E19" s="290">
        <f>SUM(E6:E18)</f>
        <v>1404640.2999999998</v>
      </c>
      <c r="F19" s="283"/>
      <c r="G19" s="288"/>
      <c r="H19" s="283"/>
      <c r="I19" s="283"/>
      <c r="J19" s="283"/>
      <c r="K19" s="283"/>
    </row>
    <row r="20" spans="1:14" s="298" customFormat="1" x14ac:dyDescent="0.3">
      <c r="A20" s="294"/>
      <c r="B20" s="295"/>
      <c r="C20" s="296"/>
      <c r="D20" s="297"/>
      <c r="E20" s="278"/>
      <c r="F20" s="278"/>
      <c r="G20" s="278"/>
      <c r="H20" s="288"/>
      <c r="I20" s="288"/>
      <c r="J20" s="288"/>
      <c r="K20" s="288"/>
      <c r="L20" s="288"/>
      <c r="M20" s="288"/>
      <c r="N20" s="288"/>
    </row>
    <row r="21" spans="1:14" s="298" customFormat="1" x14ac:dyDescent="0.3">
      <c r="A21" s="294"/>
      <c r="B21" s="299"/>
      <c r="C21" s="296"/>
      <c r="D21" s="297"/>
      <c r="E21" s="278"/>
      <c r="F21" s="278"/>
      <c r="G21" s="278"/>
      <c r="H21" s="288"/>
      <c r="I21" s="288"/>
      <c r="J21" s="288"/>
      <c r="K21" s="288"/>
      <c r="L21" s="288"/>
      <c r="M21" s="288"/>
      <c r="N21" s="288"/>
    </row>
    <row r="22" spans="1:14" s="301" customFormat="1" x14ac:dyDescent="0.3">
      <c r="A22" s="469" t="s">
        <v>473</v>
      </c>
      <c r="B22" s="469"/>
      <c r="C22" s="465" t="s">
        <v>441</v>
      </c>
      <c r="D22" s="466" t="s">
        <v>442</v>
      </c>
      <c r="E22" s="400" t="s">
        <v>170</v>
      </c>
      <c r="F22" s="274"/>
      <c r="G22" s="288"/>
      <c r="H22" s="274"/>
      <c r="I22" s="274"/>
      <c r="J22" s="274"/>
      <c r="K22" s="274"/>
    </row>
    <row r="23" spans="1:14" s="302" customFormat="1" x14ac:dyDescent="0.3">
      <c r="A23" s="469"/>
      <c r="B23" s="469"/>
      <c r="C23" s="465"/>
      <c r="D23" s="466"/>
      <c r="E23" s="279" t="s">
        <v>159</v>
      </c>
      <c r="F23" s="280"/>
      <c r="G23" s="288"/>
      <c r="H23" s="280"/>
      <c r="I23" s="281"/>
      <c r="J23" s="280"/>
      <c r="K23" s="280"/>
    </row>
    <row r="24" spans="1:14" s="306" customFormat="1" x14ac:dyDescent="0.3">
      <c r="A24" s="457" t="s">
        <v>559</v>
      </c>
      <c r="B24" s="457"/>
      <c r="C24" s="303">
        <f>'2A-Buget_cerere'!C23</f>
        <v>1404640.2999999998</v>
      </c>
      <c r="D24" s="64" t="str">
        <f>IF(E24&lt;&gt;C24,"Eroare!","")</f>
        <v/>
      </c>
      <c r="E24" s="58">
        <f>E19</f>
        <v>1404640.2999999998</v>
      </c>
      <c r="F24" s="304"/>
      <c r="G24" s="288"/>
      <c r="H24" s="304"/>
      <c r="I24" s="305"/>
      <c r="J24" s="304"/>
      <c r="K24" s="304"/>
    </row>
    <row r="25" spans="1:14" s="306" customFormat="1" x14ac:dyDescent="0.3">
      <c r="A25" s="459" t="s">
        <v>566</v>
      </c>
      <c r="B25" s="460"/>
      <c r="C25" s="381">
        <f>'2A-Buget_cerere'!G18</f>
        <v>224270.3</v>
      </c>
      <c r="D25" s="64" t="str">
        <f t="shared" ref="D25:D26" si="1">IF(E25&lt;&gt;C25,"Eroare!","")</f>
        <v/>
      </c>
      <c r="E25" s="391">
        <v>224270.3</v>
      </c>
      <c r="F25" s="304"/>
      <c r="G25" s="288"/>
      <c r="H25" s="304"/>
      <c r="I25" s="305"/>
      <c r="J25" s="304"/>
      <c r="K25" s="304"/>
    </row>
    <row r="26" spans="1:14" s="306" customFormat="1" x14ac:dyDescent="0.3">
      <c r="A26" s="457" t="s">
        <v>444</v>
      </c>
      <c r="B26" s="457"/>
      <c r="C26" s="303">
        <f>'2A-Buget_cerere'!C26</f>
        <v>720025.7</v>
      </c>
      <c r="D26" s="64" t="str">
        <f t="shared" si="1"/>
        <v/>
      </c>
      <c r="E26" s="58">
        <v>720025.7</v>
      </c>
      <c r="F26" s="304"/>
      <c r="G26" s="288"/>
      <c r="H26" s="304"/>
      <c r="I26" s="304"/>
      <c r="J26" s="304"/>
      <c r="K26" s="304"/>
    </row>
    <row r="27" spans="1:14" s="302" customFormat="1" x14ac:dyDescent="0.3">
      <c r="A27" s="458" t="s">
        <v>474</v>
      </c>
      <c r="B27" s="458"/>
      <c r="C27" s="303"/>
      <c r="D27" s="64"/>
      <c r="E27" s="49">
        <v>720025.7</v>
      </c>
      <c r="F27" s="280"/>
      <c r="G27" s="288"/>
      <c r="H27" s="280"/>
      <c r="I27" s="281"/>
      <c r="J27" s="280"/>
      <c r="K27" s="280"/>
    </row>
    <row r="28" spans="1:14" s="302" customFormat="1" x14ac:dyDescent="0.3">
      <c r="A28" s="458" t="s">
        <v>475</v>
      </c>
      <c r="B28" s="458"/>
      <c r="C28" s="303"/>
      <c r="D28" s="64"/>
      <c r="E28" s="49">
        <v>0</v>
      </c>
      <c r="F28" s="280"/>
      <c r="G28" s="288"/>
      <c r="H28" s="280"/>
      <c r="I28" s="281"/>
      <c r="J28" s="280"/>
      <c r="K28" s="280"/>
    </row>
    <row r="29" spans="1:14" s="306" customFormat="1" x14ac:dyDescent="0.3">
      <c r="A29" s="457" t="str">
        <f>'2A-Buget_cerere'!B29</f>
        <v>ASISTENŢĂ FINANCIARĂ NERAMBURSABILĂ SOLICITATĂ</v>
      </c>
      <c r="B29" s="457"/>
      <c r="C29" s="303">
        <f>'2A-Buget_cerere'!C29</f>
        <v>684614.59999999986</v>
      </c>
      <c r="D29" s="64" t="str">
        <f>IF(E29&lt;&gt;C29,"Eroare!","")</f>
        <v/>
      </c>
      <c r="E29" s="49">
        <v>684614.6</v>
      </c>
      <c r="F29" s="304"/>
      <c r="G29" s="288"/>
      <c r="H29" s="304"/>
      <c r="I29" s="305"/>
      <c r="J29" s="304"/>
      <c r="K29" s="304"/>
    </row>
    <row r="30" spans="1:14" s="309" customFormat="1" ht="14.4" x14ac:dyDescent="0.3">
      <c r="A30" s="307"/>
      <c r="B30" s="308"/>
      <c r="C30" s="296"/>
      <c r="D30" s="297"/>
      <c r="E30" s="278"/>
      <c r="F30" s="278"/>
      <c r="G30" s="278"/>
      <c r="H30" s="304"/>
      <c r="I30" s="288"/>
      <c r="J30" s="304"/>
      <c r="K30" s="304"/>
      <c r="L30" s="305"/>
      <c r="M30" s="304"/>
      <c r="N30" s="304"/>
    </row>
    <row r="31" spans="1:14" s="309" customFormat="1" ht="14.4" x14ac:dyDescent="0.3">
      <c r="A31" s="307"/>
      <c r="B31" s="310"/>
      <c r="C31" s="296"/>
      <c r="D31" s="297"/>
      <c r="E31" s="278"/>
      <c r="F31" s="278"/>
      <c r="G31" s="278"/>
      <c r="H31" s="304"/>
      <c r="I31" s="304"/>
      <c r="J31" s="304"/>
      <c r="K31" s="304"/>
      <c r="L31" s="305"/>
      <c r="M31" s="304"/>
      <c r="N31" s="304"/>
    </row>
    <row r="32" spans="1:14" s="282" customFormat="1" ht="14.4" x14ac:dyDescent="0.3">
      <c r="A32" s="470" t="s">
        <v>439</v>
      </c>
      <c r="B32" s="470"/>
      <c r="C32" s="470"/>
      <c r="D32" s="297"/>
      <c r="E32" s="278"/>
      <c r="F32" s="278"/>
      <c r="G32" s="278"/>
      <c r="H32" s="280"/>
      <c r="I32" s="280"/>
      <c r="J32" s="280"/>
      <c r="K32" s="280"/>
      <c r="L32" s="281"/>
      <c r="M32" s="280"/>
      <c r="N32" s="280"/>
    </row>
    <row r="33" spans="1:14" s="313" customFormat="1" ht="15" customHeight="1" x14ac:dyDescent="0.3">
      <c r="A33" s="475" t="s">
        <v>135</v>
      </c>
      <c r="B33" s="476"/>
      <c r="C33" s="312" t="s">
        <v>448</v>
      </c>
      <c r="D33" s="300" t="s">
        <v>159</v>
      </c>
      <c r="E33" s="300" t="s">
        <v>160</v>
      </c>
      <c r="F33" s="300" t="s">
        <v>161</v>
      </c>
      <c r="G33" s="300" t="s">
        <v>162</v>
      </c>
      <c r="N33" s="281"/>
    </row>
    <row r="34" spans="1:14" s="313" customFormat="1" ht="15" customHeight="1" x14ac:dyDescent="0.3">
      <c r="A34" s="473" t="s">
        <v>126</v>
      </c>
      <c r="B34" s="474"/>
      <c r="C34" s="64">
        <f>SUM(D34:G34)</f>
        <v>0</v>
      </c>
      <c r="D34" s="58">
        <f>E28</f>
        <v>0</v>
      </c>
      <c r="E34" s="58"/>
      <c r="F34" s="58"/>
      <c r="G34" s="58"/>
      <c r="N34" s="281"/>
    </row>
    <row r="35" spans="1:14" s="313" customFormat="1" ht="15" customHeight="1" x14ac:dyDescent="0.3">
      <c r="A35" s="473" t="s">
        <v>127</v>
      </c>
      <c r="B35" s="474"/>
      <c r="C35" s="64">
        <f t="shared" ref="C35:C36" si="2">SUM(D35:G35)</f>
        <v>0</v>
      </c>
      <c r="D35" s="49">
        <v>0</v>
      </c>
      <c r="E35" s="49">
        <v>0</v>
      </c>
      <c r="F35" s="49">
        <v>0</v>
      </c>
      <c r="G35" s="49">
        <v>0</v>
      </c>
      <c r="N35" s="281"/>
    </row>
    <row r="36" spans="1:14" s="313" customFormat="1" ht="15" customHeight="1" x14ac:dyDescent="0.3">
      <c r="A36" s="473" t="s">
        <v>128</v>
      </c>
      <c r="B36" s="474"/>
      <c r="C36" s="64">
        <f t="shared" si="2"/>
        <v>0</v>
      </c>
      <c r="D36" s="49">
        <v>0</v>
      </c>
      <c r="E36" s="49">
        <v>0</v>
      </c>
      <c r="F36" s="49">
        <v>0</v>
      </c>
      <c r="G36" s="49">
        <v>0</v>
      </c>
      <c r="N36" s="281"/>
    </row>
    <row r="37" spans="1:14" s="314" customFormat="1" ht="15" customHeight="1" x14ac:dyDescent="0.3">
      <c r="A37" s="471" t="s">
        <v>129</v>
      </c>
      <c r="B37" s="472"/>
      <c r="C37" s="64">
        <f>SUM(D37:G37)</f>
        <v>0</v>
      </c>
      <c r="D37" s="58">
        <f>D36+D35</f>
        <v>0</v>
      </c>
      <c r="E37" s="58">
        <f>E36+E35</f>
        <v>0</v>
      </c>
      <c r="F37" s="58">
        <f>F36+F35</f>
        <v>0</v>
      </c>
      <c r="G37" s="58">
        <f>G36+G35</f>
        <v>0</v>
      </c>
      <c r="N37" s="305"/>
    </row>
    <row r="38" spans="1:14" s="282" customFormat="1" ht="14.4" x14ac:dyDescent="0.3">
      <c r="A38" s="311"/>
      <c r="B38" s="315"/>
      <c r="C38" s="296"/>
      <c r="D38" s="297"/>
      <c r="G38" s="354"/>
      <c r="H38" s="280"/>
      <c r="I38" s="280"/>
      <c r="J38" s="280"/>
      <c r="K38" s="280"/>
      <c r="L38" s="281"/>
      <c r="M38" s="280"/>
      <c r="N38" s="280"/>
    </row>
    <row r="39" spans="1:14" s="282" customFormat="1" ht="14.4" x14ac:dyDescent="0.3">
      <c r="A39" s="311"/>
      <c r="B39" s="315"/>
      <c r="C39" s="296"/>
      <c r="D39" s="297"/>
      <c r="E39" s="278"/>
      <c r="F39" s="278"/>
      <c r="G39" s="278"/>
      <c r="H39" s="280"/>
      <c r="I39" s="280"/>
      <c r="J39" s="280"/>
      <c r="K39" s="280"/>
      <c r="L39" s="281"/>
      <c r="M39" s="280"/>
      <c r="N39" s="280"/>
    </row>
    <row r="40" spans="1:14" s="282" customFormat="1" ht="14.4" x14ac:dyDescent="0.3">
      <c r="A40" s="470" t="s">
        <v>440</v>
      </c>
      <c r="B40" s="470"/>
      <c r="C40" s="477"/>
      <c r="D40" s="279" t="s">
        <v>159</v>
      </c>
      <c r="E40" s="398" t="s">
        <v>160</v>
      </c>
      <c r="F40" s="279" t="s">
        <v>161</v>
      </c>
      <c r="G40" s="279" t="s">
        <v>162</v>
      </c>
      <c r="H40" s="280"/>
      <c r="I40" s="280"/>
      <c r="J40" s="280"/>
      <c r="K40" s="280"/>
      <c r="L40" s="281"/>
      <c r="M40" s="280"/>
      <c r="N40" s="280"/>
    </row>
    <row r="41" spans="1:14" s="282" customFormat="1" ht="14.4" x14ac:dyDescent="0.3">
      <c r="A41" s="478" t="s">
        <v>102</v>
      </c>
      <c r="B41" s="478"/>
      <c r="C41" s="478"/>
      <c r="D41" s="49">
        <v>0</v>
      </c>
      <c r="E41" s="49">
        <v>0</v>
      </c>
      <c r="F41" s="49">
        <v>0</v>
      </c>
      <c r="G41" s="49">
        <v>0</v>
      </c>
      <c r="H41" s="280"/>
      <c r="I41" s="280"/>
      <c r="J41" s="280"/>
      <c r="K41" s="280"/>
      <c r="L41" s="281"/>
      <c r="M41" s="280"/>
      <c r="N41" s="280"/>
    </row>
    <row r="42" spans="1:14" s="282" customFormat="1" ht="14.4" x14ac:dyDescent="0.3">
      <c r="A42" s="478" t="s">
        <v>268</v>
      </c>
      <c r="B42" s="478"/>
      <c r="C42" s="478"/>
      <c r="D42" s="58">
        <f>D34-D35</f>
        <v>0</v>
      </c>
      <c r="E42" s="270">
        <f>D42+E34-E35</f>
        <v>0</v>
      </c>
      <c r="F42" s="58">
        <f>E42+F34-F35</f>
        <v>0</v>
      </c>
      <c r="G42" s="58">
        <f>F42+G34-G35</f>
        <v>0</v>
      </c>
      <c r="H42" s="316"/>
      <c r="I42" s="280"/>
      <c r="J42" s="280"/>
      <c r="K42" s="280"/>
      <c r="L42" s="281"/>
      <c r="M42" s="280"/>
      <c r="N42" s="280"/>
    </row>
    <row r="43" spans="1:14" s="282" customFormat="1" ht="14.4" x14ac:dyDescent="0.3">
      <c r="A43" s="478" t="s">
        <v>321</v>
      </c>
      <c r="B43" s="478"/>
      <c r="C43" s="478"/>
      <c r="D43" s="49">
        <v>0</v>
      </c>
      <c r="E43" s="49">
        <v>0</v>
      </c>
      <c r="F43" s="49">
        <v>0</v>
      </c>
      <c r="G43" s="49">
        <v>0</v>
      </c>
      <c r="H43" s="280"/>
      <c r="I43" s="280"/>
      <c r="J43" s="280"/>
      <c r="K43" s="280"/>
      <c r="L43" s="281"/>
      <c r="M43" s="280"/>
      <c r="N43" s="280"/>
    </row>
    <row r="44" spans="1:14" s="282" customFormat="1" ht="14.4" x14ac:dyDescent="0.3">
      <c r="A44" s="478" t="s">
        <v>269</v>
      </c>
      <c r="B44" s="478"/>
      <c r="C44" s="478"/>
      <c r="D44" s="49">
        <v>0</v>
      </c>
      <c r="E44" s="49">
        <v>0</v>
      </c>
      <c r="F44" s="49">
        <v>0</v>
      </c>
      <c r="G44" s="49">
        <v>0</v>
      </c>
      <c r="H44" s="280"/>
      <c r="I44" s="280"/>
      <c r="J44" s="280"/>
      <c r="K44" s="280"/>
      <c r="L44" s="281"/>
      <c r="M44" s="280"/>
      <c r="N44" s="280"/>
    </row>
    <row r="45" spans="1:14" s="282" customFormat="1" ht="14.4" x14ac:dyDescent="0.3">
      <c r="A45" s="478" t="s">
        <v>270</v>
      </c>
      <c r="B45" s="478"/>
      <c r="C45" s="478"/>
      <c r="D45" s="290" t="str">
        <f>IFERROR(SUM(D42:D44)/(SUM(D42:D44)+D41),"")</f>
        <v/>
      </c>
      <c r="E45" s="263" t="str">
        <f t="shared" ref="E45:G45" si="3">IFERROR(SUM(E42:E44)/(SUM(E42:E44)+E41),"")</f>
        <v/>
      </c>
      <c r="F45" s="290" t="str">
        <f t="shared" si="3"/>
        <v/>
      </c>
      <c r="G45" s="290" t="str">
        <f t="shared" si="3"/>
        <v/>
      </c>
      <c r="H45" s="280"/>
      <c r="I45" s="280"/>
      <c r="J45" s="280"/>
      <c r="K45" s="280"/>
      <c r="L45" s="281"/>
      <c r="M45" s="280"/>
      <c r="N45" s="280"/>
    </row>
    <row r="46" spans="1:14" s="282" customFormat="1" ht="14.4" x14ac:dyDescent="0.3">
      <c r="A46" s="311"/>
      <c r="B46" s="315"/>
      <c r="C46" s="296"/>
      <c r="D46" s="297"/>
      <c r="E46" s="278"/>
      <c r="F46" s="278"/>
      <c r="G46" s="278"/>
      <c r="H46" s="280"/>
      <c r="I46" s="280"/>
      <c r="J46" s="280"/>
      <c r="K46" s="280"/>
      <c r="L46" s="281"/>
      <c r="M46" s="280"/>
      <c r="N46" s="280"/>
    </row>
    <row r="47" spans="1:14" s="282" customFormat="1" ht="14.4" x14ac:dyDescent="0.3">
      <c r="A47" s="311"/>
      <c r="B47" s="315"/>
      <c r="C47" s="296"/>
      <c r="D47" s="297"/>
      <c r="E47" s="278"/>
      <c r="F47" s="278"/>
      <c r="G47" s="278"/>
      <c r="H47" s="280"/>
      <c r="I47" s="280"/>
      <c r="J47" s="280"/>
      <c r="K47" s="280"/>
      <c r="L47" s="281"/>
      <c r="M47" s="280"/>
      <c r="N47" s="280"/>
    </row>
    <row r="48" spans="1:14" s="282" customFormat="1" ht="14.4" x14ac:dyDescent="0.3">
      <c r="A48" s="311"/>
      <c r="B48" s="315"/>
      <c r="C48" s="296"/>
      <c r="D48" s="297"/>
      <c r="E48" s="278"/>
      <c r="F48" s="278"/>
      <c r="G48" s="278"/>
      <c r="H48" s="280"/>
      <c r="I48" s="280"/>
      <c r="J48" s="280"/>
      <c r="K48" s="280"/>
      <c r="L48" s="281"/>
      <c r="M48" s="280"/>
      <c r="N48" s="280"/>
    </row>
    <row r="49" spans="1:14" s="282" customFormat="1" ht="14.4" x14ac:dyDescent="0.3">
      <c r="A49" s="311"/>
      <c r="B49" s="315"/>
      <c r="C49" s="296"/>
      <c r="D49" s="297"/>
      <c r="E49" s="278"/>
      <c r="F49" s="278"/>
      <c r="G49" s="278"/>
      <c r="H49" s="280"/>
      <c r="I49" s="280"/>
      <c r="J49" s="280"/>
      <c r="K49" s="280"/>
      <c r="L49" s="281"/>
      <c r="M49" s="280"/>
      <c r="N49" s="280"/>
    </row>
    <row r="50" spans="1:14" s="282" customFormat="1" ht="14.4" x14ac:dyDescent="0.3">
      <c r="A50" s="311"/>
      <c r="B50" s="315"/>
      <c r="C50" s="296"/>
      <c r="D50" s="297"/>
      <c r="E50" s="278"/>
      <c r="F50" s="278"/>
      <c r="G50" s="278"/>
      <c r="H50" s="280"/>
      <c r="I50" s="280"/>
      <c r="J50" s="280"/>
      <c r="K50" s="280"/>
      <c r="L50" s="281"/>
      <c r="M50" s="280"/>
      <c r="N50" s="280"/>
    </row>
    <row r="51" spans="1:14" s="282" customFormat="1" ht="14.4" x14ac:dyDescent="0.3">
      <c r="A51" s="311"/>
      <c r="B51" s="315"/>
      <c r="C51" s="296"/>
      <c r="D51" s="297"/>
      <c r="E51" s="278"/>
      <c r="F51" s="278"/>
      <c r="G51" s="278"/>
      <c r="H51" s="280"/>
      <c r="I51" s="280"/>
      <c r="J51" s="280"/>
      <c r="K51" s="280"/>
      <c r="L51" s="281"/>
      <c r="M51" s="280"/>
      <c r="N51" s="280"/>
    </row>
    <row r="52" spans="1:14" s="282" customFormat="1" ht="14.4" x14ac:dyDescent="0.3">
      <c r="A52" s="311"/>
      <c r="B52" s="315"/>
      <c r="C52" s="296"/>
      <c r="D52" s="297"/>
      <c r="E52" s="278"/>
      <c r="F52" s="278"/>
      <c r="G52" s="278"/>
      <c r="H52" s="280"/>
      <c r="I52" s="280"/>
      <c r="J52" s="280"/>
      <c r="K52" s="280"/>
      <c r="L52" s="281"/>
      <c r="M52" s="280"/>
      <c r="N52" s="280"/>
    </row>
    <row r="53" spans="1:14" s="282" customFormat="1" ht="14.4" x14ac:dyDescent="0.3">
      <c r="A53" s="311"/>
      <c r="B53" s="315"/>
      <c r="C53" s="296"/>
      <c r="D53" s="297"/>
      <c r="E53" s="278"/>
      <c r="F53" s="278"/>
      <c r="G53" s="278"/>
      <c r="H53" s="280"/>
      <c r="I53" s="280"/>
      <c r="J53" s="280"/>
      <c r="K53" s="280"/>
      <c r="L53" s="281"/>
      <c r="M53" s="280"/>
      <c r="N53" s="280"/>
    </row>
    <row r="54" spans="1:14" s="282" customFormat="1" ht="14.4" x14ac:dyDescent="0.3">
      <c r="A54" s="311"/>
      <c r="B54" s="315"/>
      <c r="C54" s="296"/>
      <c r="D54" s="297"/>
      <c r="E54" s="278"/>
      <c r="F54" s="278"/>
      <c r="G54" s="278"/>
      <c r="H54" s="280"/>
      <c r="I54" s="280"/>
      <c r="J54" s="280"/>
      <c r="K54" s="280"/>
      <c r="L54" s="281"/>
      <c r="M54" s="280"/>
      <c r="N54" s="280"/>
    </row>
    <row r="55" spans="1:14" s="282" customFormat="1" ht="14.4" x14ac:dyDescent="0.3">
      <c r="A55" s="311"/>
      <c r="B55" s="315"/>
      <c r="C55" s="296"/>
      <c r="D55" s="297"/>
      <c r="E55" s="278"/>
      <c r="F55" s="278"/>
      <c r="G55" s="278"/>
      <c r="H55" s="280"/>
      <c r="I55" s="280"/>
      <c r="J55" s="280"/>
      <c r="K55" s="280"/>
      <c r="L55" s="281"/>
      <c r="M55" s="280"/>
      <c r="N55" s="280"/>
    </row>
    <row r="56" spans="1:14" s="282" customFormat="1" ht="14.4" x14ac:dyDescent="0.3">
      <c r="A56" s="311"/>
      <c r="B56" s="315"/>
      <c r="C56" s="296"/>
      <c r="D56" s="297"/>
      <c r="E56" s="278"/>
      <c r="F56" s="278"/>
      <c r="G56" s="278"/>
      <c r="H56" s="280"/>
      <c r="I56" s="280"/>
      <c r="J56" s="280"/>
      <c r="K56" s="280"/>
      <c r="L56" s="281"/>
      <c r="M56" s="280"/>
      <c r="N56" s="280"/>
    </row>
    <row r="57" spans="1:14" s="282" customFormat="1" ht="14.4" x14ac:dyDescent="0.3">
      <c r="A57" s="311"/>
      <c r="B57" s="315"/>
      <c r="C57" s="296"/>
      <c r="D57" s="297"/>
      <c r="E57" s="278"/>
      <c r="F57" s="278"/>
      <c r="G57" s="278"/>
      <c r="H57" s="280"/>
      <c r="I57" s="280"/>
      <c r="J57" s="280"/>
      <c r="K57" s="280"/>
      <c r="L57" s="281"/>
      <c r="M57" s="280"/>
      <c r="N57" s="280"/>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dxfId="7" priority="16" operator="containsText" text="nu">
      <formula>NOT(ISERROR(SEARCH("nu",C31)))</formula>
    </cfRule>
  </conditionalFormatting>
  <conditionalFormatting sqref="C31:G31">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84" footer="0.31496062992125984"/>
  <pageSetup paperSize="9" fitToHeight="0" orientation="landscape" blackAndWhite="1" horizontalDpi="300" verticalDpi="300" r:id="rId1"/>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J31"/>
  <sheetViews>
    <sheetView topLeftCell="A15" workbookViewId="0">
      <selection activeCell="C5" sqref="C5"/>
    </sheetView>
  </sheetViews>
  <sheetFormatPr defaultColWidth="9.109375" defaultRowHeight="14.4" x14ac:dyDescent="0.3"/>
  <cols>
    <col min="1" max="1" width="6.6640625" style="189" customWidth="1"/>
    <col min="2" max="2" width="56.109375" style="184" customWidth="1"/>
    <col min="3" max="3" width="12.6640625" style="218" customWidth="1"/>
    <col min="4" max="4" width="12.5546875" style="218" customWidth="1"/>
    <col min="5" max="5" width="12.5546875" style="219" customWidth="1"/>
    <col min="6" max="7" width="12.6640625" style="218" customWidth="1"/>
    <col min="8" max="9" width="12.6640625" style="219" customWidth="1"/>
    <col min="10" max="10" width="10.109375" style="171" bestFit="1" customWidth="1"/>
    <col min="11" max="16384" width="9.109375" style="171"/>
  </cols>
  <sheetData>
    <row r="1" spans="1:9" x14ac:dyDescent="0.3">
      <c r="A1" s="481" t="s">
        <v>452</v>
      </c>
      <c r="B1" s="481"/>
      <c r="C1" s="481"/>
      <c r="D1" s="481"/>
      <c r="E1" s="481"/>
      <c r="F1" s="481"/>
      <c r="G1" s="481"/>
      <c r="H1" s="481"/>
      <c r="I1" s="481"/>
    </row>
    <row r="2" spans="1:9" x14ac:dyDescent="0.3">
      <c r="A2" s="185"/>
      <c r="B2" s="181"/>
      <c r="C2" s="208"/>
      <c r="D2" s="208"/>
      <c r="E2" s="208"/>
      <c r="F2" s="208"/>
      <c r="G2" s="208"/>
      <c r="H2" s="208"/>
      <c r="I2" s="208"/>
    </row>
    <row r="3" spans="1:9" x14ac:dyDescent="0.3">
      <c r="A3" s="487" t="s">
        <v>139</v>
      </c>
      <c r="B3" s="485" t="s">
        <v>140</v>
      </c>
      <c r="C3" s="482" t="s">
        <v>141</v>
      </c>
      <c r="D3" s="482"/>
      <c r="E3" s="483" t="s">
        <v>436</v>
      </c>
      <c r="F3" s="482" t="s">
        <v>142</v>
      </c>
      <c r="G3" s="482"/>
      <c r="H3" s="483" t="s">
        <v>437</v>
      </c>
      <c r="I3" s="483" t="s">
        <v>130</v>
      </c>
    </row>
    <row r="4" spans="1:9" ht="69" x14ac:dyDescent="0.3">
      <c r="A4" s="488"/>
      <c r="B4" s="486"/>
      <c r="C4" s="385" t="s">
        <v>572</v>
      </c>
      <c r="D4" s="385" t="s">
        <v>573</v>
      </c>
      <c r="E4" s="484"/>
      <c r="F4" s="385" t="s">
        <v>574</v>
      </c>
      <c r="G4" s="385" t="s">
        <v>577</v>
      </c>
      <c r="H4" s="484"/>
      <c r="I4" s="484"/>
    </row>
    <row r="5" spans="1:9" x14ac:dyDescent="0.3">
      <c r="A5" s="186" t="s">
        <v>143</v>
      </c>
      <c r="B5" s="179" t="s">
        <v>578</v>
      </c>
      <c r="C5" s="430">
        <f>1103406-68221</f>
        <v>1035185</v>
      </c>
      <c r="D5" s="209">
        <v>0</v>
      </c>
      <c r="E5" s="210">
        <f>C5+D5</f>
        <v>1035185</v>
      </c>
      <c r="F5" s="209">
        <v>0</v>
      </c>
      <c r="G5" s="209">
        <f>E5*19%</f>
        <v>196685.15</v>
      </c>
      <c r="H5" s="210">
        <f>F5+G5</f>
        <v>196685.15</v>
      </c>
      <c r="I5" s="210">
        <f>E5+H5</f>
        <v>1231870.1499999999</v>
      </c>
    </row>
    <row r="6" spans="1:9" ht="27.6" x14ac:dyDescent="0.3">
      <c r="A6" s="186" t="s">
        <v>144</v>
      </c>
      <c r="B6" s="179" t="s">
        <v>579</v>
      </c>
      <c r="C6" s="209">
        <v>0</v>
      </c>
      <c r="D6" s="209">
        <v>0</v>
      </c>
      <c r="E6" s="210">
        <f t="shared" ref="E6:E17" si="0">C6+D6</f>
        <v>0</v>
      </c>
      <c r="F6" s="209">
        <v>0</v>
      </c>
      <c r="G6" s="209">
        <v>0</v>
      </c>
      <c r="H6" s="210">
        <f>F6+G6</f>
        <v>0</v>
      </c>
      <c r="I6" s="210">
        <f>E6+H6</f>
        <v>0</v>
      </c>
    </row>
    <row r="7" spans="1:9" x14ac:dyDescent="0.3">
      <c r="A7" s="186" t="s">
        <v>580</v>
      </c>
      <c r="B7" s="180" t="s">
        <v>581</v>
      </c>
      <c r="C7" s="209">
        <v>0</v>
      </c>
      <c r="D7" s="209">
        <v>0</v>
      </c>
      <c r="E7" s="210">
        <f t="shared" si="0"/>
        <v>0</v>
      </c>
      <c r="F7" s="209">
        <v>0</v>
      </c>
      <c r="G7" s="209">
        <v>0</v>
      </c>
      <c r="H7" s="210">
        <f>F7+G7</f>
        <v>0</v>
      </c>
      <c r="I7" s="210">
        <f>E7+H7</f>
        <v>0</v>
      </c>
    </row>
    <row r="8" spans="1:9" x14ac:dyDescent="0.3">
      <c r="A8" s="186" t="s">
        <v>582</v>
      </c>
      <c r="B8" s="180" t="s">
        <v>583</v>
      </c>
      <c r="C8" s="430">
        <v>145185</v>
      </c>
      <c r="D8" s="209">
        <v>0</v>
      </c>
      <c r="E8" s="210">
        <f t="shared" si="0"/>
        <v>145185</v>
      </c>
      <c r="F8" s="209">
        <v>0</v>
      </c>
      <c r="G8" s="432">
        <f>E8*19%</f>
        <v>27585.15</v>
      </c>
      <c r="H8" s="431">
        <f>F8+G8</f>
        <v>27585.15</v>
      </c>
      <c r="I8" s="210">
        <f t="shared" ref="I8:I12" si="1">E8+H8</f>
        <v>172770.15</v>
      </c>
    </row>
    <row r="9" spans="1:9" ht="41.4" x14ac:dyDescent="0.3">
      <c r="A9" s="186" t="s">
        <v>584</v>
      </c>
      <c r="B9" s="179" t="s">
        <v>585</v>
      </c>
      <c r="C9" s="209">
        <v>0</v>
      </c>
      <c r="D9" s="209">
        <v>0</v>
      </c>
      <c r="E9" s="210">
        <f t="shared" si="0"/>
        <v>0</v>
      </c>
      <c r="F9" s="209">
        <v>0</v>
      </c>
      <c r="G9" s="209">
        <v>0</v>
      </c>
      <c r="H9" s="210">
        <f t="shared" ref="H9:H12" si="2">F9+G9</f>
        <v>0</v>
      </c>
      <c r="I9" s="210">
        <f t="shared" si="1"/>
        <v>0</v>
      </c>
    </row>
    <row r="10" spans="1:9" ht="27.6" x14ac:dyDescent="0.3">
      <c r="A10" s="186" t="s">
        <v>586</v>
      </c>
      <c r="B10" s="179" t="s">
        <v>587</v>
      </c>
      <c r="C10" s="209">
        <v>0</v>
      </c>
      <c r="D10" s="209">
        <v>0</v>
      </c>
      <c r="E10" s="210">
        <f t="shared" si="0"/>
        <v>0</v>
      </c>
      <c r="F10" s="209">
        <v>0</v>
      </c>
      <c r="G10" s="209">
        <v>0</v>
      </c>
      <c r="H10" s="210">
        <f t="shared" si="2"/>
        <v>0</v>
      </c>
      <c r="I10" s="210">
        <f t="shared" si="1"/>
        <v>0</v>
      </c>
    </row>
    <row r="11" spans="1:9" ht="27.6" x14ac:dyDescent="0.3">
      <c r="A11" s="186" t="s">
        <v>588</v>
      </c>
      <c r="B11" s="179" t="s">
        <v>589</v>
      </c>
      <c r="C11" s="209">
        <v>0</v>
      </c>
      <c r="D11" s="209">
        <v>0</v>
      </c>
      <c r="E11" s="210">
        <f t="shared" si="0"/>
        <v>0</v>
      </c>
      <c r="F11" s="209">
        <v>0</v>
      </c>
      <c r="G11" s="209">
        <v>0</v>
      </c>
      <c r="H11" s="210">
        <f t="shared" si="2"/>
        <v>0</v>
      </c>
      <c r="I11" s="210">
        <f t="shared" si="1"/>
        <v>0</v>
      </c>
    </row>
    <row r="12" spans="1:9" x14ac:dyDescent="0.3">
      <c r="A12" s="186" t="s">
        <v>590</v>
      </c>
      <c r="B12" s="179" t="s">
        <v>591</v>
      </c>
      <c r="C12" s="209">
        <v>0</v>
      </c>
      <c r="D12" s="209">
        <v>0</v>
      </c>
      <c r="E12" s="210">
        <f t="shared" si="0"/>
        <v>0</v>
      </c>
      <c r="F12" s="209">
        <v>0</v>
      </c>
      <c r="G12" s="209">
        <v>0</v>
      </c>
      <c r="H12" s="210">
        <f t="shared" si="2"/>
        <v>0</v>
      </c>
      <c r="I12" s="210">
        <f t="shared" si="1"/>
        <v>0</v>
      </c>
    </row>
    <row r="13" spans="1:9" ht="27.6" x14ac:dyDescent="0.3">
      <c r="A13" s="186" t="s">
        <v>592</v>
      </c>
      <c r="B13" s="179" t="s">
        <v>593</v>
      </c>
      <c r="C13" s="209">
        <v>0</v>
      </c>
      <c r="D13" s="209">
        <v>0</v>
      </c>
      <c r="E13" s="210">
        <f t="shared" si="0"/>
        <v>0</v>
      </c>
      <c r="F13" s="209">
        <v>0</v>
      </c>
      <c r="G13" s="209">
        <v>0</v>
      </c>
      <c r="H13" s="210">
        <f t="shared" ref="H13:H17" si="3">F13+G13</f>
        <v>0</v>
      </c>
      <c r="I13" s="210">
        <f t="shared" ref="I13:I17" si="4">E13+H13</f>
        <v>0</v>
      </c>
    </row>
    <row r="14" spans="1:9" ht="41.4" x14ac:dyDescent="0.3">
      <c r="A14" s="186" t="s">
        <v>145</v>
      </c>
      <c r="B14" s="179" t="s">
        <v>594</v>
      </c>
      <c r="C14" s="209">
        <v>0</v>
      </c>
      <c r="D14" s="209">
        <f>D15+D16</f>
        <v>0</v>
      </c>
      <c r="E14" s="210">
        <f t="shared" si="0"/>
        <v>0</v>
      </c>
      <c r="F14" s="209">
        <f>F15+F16</f>
        <v>0</v>
      </c>
      <c r="G14" s="209">
        <v>0</v>
      </c>
      <c r="H14" s="210">
        <f t="shared" si="3"/>
        <v>0</v>
      </c>
      <c r="I14" s="210">
        <f t="shared" si="4"/>
        <v>0</v>
      </c>
    </row>
    <row r="15" spans="1:9" ht="41.4" x14ac:dyDescent="0.3">
      <c r="A15" s="186" t="s">
        <v>146</v>
      </c>
      <c r="B15" s="179" t="s">
        <v>595</v>
      </c>
      <c r="C15" s="209"/>
      <c r="D15" s="209">
        <v>0</v>
      </c>
      <c r="E15" s="210">
        <f t="shared" si="0"/>
        <v>0</v>
      </c>
      <c r="F15" s="209">
        <v>0</v>
      </c>
      <c r="G15" s="209"/>
      <c r="H15" s="210">
        <f t="shared" si="3"/>
        <v>0</v>
      </c>
      <c r="I15" s="210">
        <f t="shared" si="4"/>
        <v>0</v>
      </c>
    </row>
    <row r="16" spans="1:9" ht="69" x14ac:dyDescent="0.3">
      <c r="A16" s="186" t="s">
        <v>147</v>
      </c>
      <c r="B16" s="179" t="s">
        <v>596</v>
      </c>
      <c r="C16" s="209">
        <v>0</v>
      </c>
      <c r="D16" s="209">
        <v>0</v>
      </c>
      <c r="E16" s="210">
        <f t="shared" si="0"/>
        <v>0</v>
      </c>
      <c r="F16" s="209">
        <v>0</v>
      </c>
      <c r="G16" s="209">
        <v>0</v>
      </c>
      <c r="H16" s="210">
        <f t="shared" si="3"/>
        <v>0</v>
      </c>
      <c r="I16" s="210">
        <f t="shared" si="4"/>
        <v>0</v>
      </c>
    </row>
    <row r="17" spans="1:10" ht="55.2" x14ac:dyDescent="0.3">
      <c r="A17" s="186" t="s">
        <v>148</v>
      </c>
      <c r="B17" s="179" t="s">
        <v>597</v>
      </c>
      <c r="C17" s="209">
        <v>0</v>
      </c>
      <c r="D17" s="209">
        <v>0</v>
      </c>
      <c r="E17" s="210">
        <f t="shared" si="0"/>
        <v>0</v>
      </c>
      <c r="F17" s="209">
        <v>0</v>
      </c>
      <c r="G17" s="209">
        <v>0</v>
      </c>
      <c r="H17" s="210">
        <f t="shared" si="3"/>
        <v>0</v>
      </c>
      <c r="I17" s="210">
        <f t="shared" si="4"/>
        <v>0</v>
      </c>
    </row>
    <row r="18" spans="1:10" s="139" customFormat="1" x14ac:dyDescent="0.3">
      <c r="A18" s="186"/>
      <c r="B18" s="191" t="s">
        <v>150</v>
      </c>
      <c r="C18" s="211">
        <f>SUM(C5:C17)</f>
        <v>1180370</v>
      </c>
      <c r="D18" s="211">
        <f t="shared" ref="D18:I18" si="5">SUM(D5:D17)</f>
        <v>0</v>
      </c>
      <c r="E18" s="211">
        <f t="shared" si="5"/>
        <v>1180370</v>
      </c>
      <c r="F18" s="211">
        <f t="shared" si="5"/>
        <v>0</v>
      </c>
      <c r="G18" s="211">
        <f t="shared" si="5"/>
        <v>224270.3</v>
      </c>
      <c r="H18" s="211">
        <f t="shared" si="5"/>
        <v>224270.3</v>
      </c>
      <c r="I18" s="211">
        <f t="shared" si="5"/>
        <v>1404640.2999999998</v>
      </c>
    </row>
    <row r="19" spans="1:10" s="140" customFormat="1" ht="13.8" x14ac:dyDescent="0.3">
      <c r="A19" s="187"/>
      <c r="B19" s="192" t="s">
        <v>345</v>
      </c>
      <c r="C19" s="212">
        <v>0</v>
      </c>
      <c r="D19" s="212">
        <v>0</v>
      </c>
      <c r="E19" s="213">
        <f>C19+D19</f>
        <v>0</v>
      </c>
      <c r="F19" s="212">
        <v>0</v>
      </c>
      <c r="G19" s="212">
        <v>0</v>
      </c>
      <c r="H19" s="213">
        <f>F19+G19</f>
        <v>0</v>
      </c>
      <c r="I19" s="214">
        <f>E19+H19</f>
        <v>0</v>
      </c>
    </row>
    <row r="20" spans="1:10" s="141" customFormat="1" ht="13.8" x14ac:dyDescent="0.3">
      <c r="A20" s="45"/>
      <c r="B20" s="182"/>
      <c r="C20" s="215"/>
      <c r="D20" s="215"/>
      <c r="E20" s="215"/>
      <c r="F20" s="215"/>
      <c r="G20" s="215"/>
      <c r="H20" s="215"/>
      <c r="I20" s="215"/>
    </row>
    <row r="21" spans="1:10" x14ac:dyDescent="0.3">
      <c r="A21" s="188"/>
      <c r="B21" s="183"/>
      <c r="C21" s="215"/>
      <c r="D21" s="215"/>
      <c r="E21" s="215"/>
      <c r="F21" s="215"/>
      <c r="G21" s="215"/>
      <c r="H21" s="215"/>
      <c r="I21" s="215"/>
    </row>
    <row r="22" spans="1:10" x14ac:dyDescent="0.3">
      <c r="A22" s="143" t="s">
        <v>438</v>
      </c>
      <c r="B22" s="142" t="s">
        <v>151</v>
      </c>
      <c r="C22" s="273" t="s">
        <v>376</v>
      </c>
      <c r="D22" s="215"/>
      <c r="E22" s="215"/>
      <c r="F22" s="215"/>
      <c r="G22" s="215"/>
      <c r="H22" s="215"/>
      <c r="I22" s="215"/>
    </row>
    <row r="23" spans="1:10" x14ac:dyDescent="0.3">
      <c r="A23" s="138" t="s">
        <v>152</v>
      </c>
      <c r="B23" s="143" t="s">
        <v>153</v>
      </c>
      <c r="C23" s="378">
        <f>I18</f>
        <v>1404640.2999999998</v>
      </c>
      <c r="D23" s="215"/>
      <c r="E23" s="215"/>
      <c r="F23" s="215"/>
      <c r="G23" s="215"/>
      <c r="H23" s="215"/>
      <c r="I23" s="215"/>
    </row>
    <row r="24" spans="1:10" x14ac:dyDescent="0.3">
      <c r="A24" s="138" t="s">
        <v>468</v>
      </c>
      <c r="B24" s="138" t="s">
        <v>515</v>
      </c>
      <c r="C24" s="379">
        <f>H18</f>
        <v>224270.3</v>
      </c>
      <c r="D24" s="215"/>
      <c r="E24" s="215"/>
      <c r="F24" s="215"/>
      <c r="G24" s="215"/>
      <c r="H24" s="215"/>
      <c r="I24" s="215"/>
    </row>
    <row r="25" spans="1:10" x14ac:dyDescent="0.3">
      <c r="A25" s="138" t="s">
        <v>469</v>
      </c>
      <c r="B25" s="138" t="s">
        <v>154</v>
      </c>
      <c r="C25" s="379">
        <f>C23-C24</f>
        <v>1180369.9999999998</v>
      </c>
      <c r="D25" s="216"/>
      <c r="E25" s="216"/>
      <c r="F25" s="215"/>
      <c r="G25" s="215"/>
      <c r="H25" s="216"/>
      <c r="I25" s="216"/>
    </row>
    <row r="26" spans="1:10" x14ac:dyDescent="0.3">
      <c r="A26" s="138" t="s">
        <v>155</v>
      </c>
      <c r="B26" s="143" t="s">
        <v>156</v>
      </c>
      <c r="C26" s="378">
        <f>SUM(C27:C28)</f>
        <v>720025.7</v>
      </c>
      <c r="D26" s="216"/>
      <c r="E26" s="216"/>
      <c r="F26" s="215"/>
      <c r="G26" s="215"/>
      <c r="H26" s="216"/>
      <c r="I26" s="216"/>
    </row>
    <row r="27" spans="1:10" x14ac:dyDescent="0.3">
      <c r="A27" s="138" t="s">
        <v>470</v>
      </c>
      <c r="B27" s="138" t="s">
        <v>157</v>
      </c>
      <c r="C27" s="217">
        <v>495755.4</v>
      </c>
      <c r="D27" s="479" t="str">
        <f>IF(C27&lt;C25*0.1,"!!! Contribuția la cheltuielile eligibile nu este de minimum 10%","")</f>
        <v/>
      </c>
      <c r="E27" s="480"/>
      <c r="F27" s="480"/>
      <c r="G27" s="480"/>
      <c r="H27" s="480"/>
      <c r="I27" s="480"/>
    </row>
    <row r="28" spans="1:10" x14ac:dyDescent="0.3">
      <c r="A28" s="138" t="s">
        <v>471</v>
      </c>
      <c r="B28" s="138" t="s">
        <v>514</v>
      </c>
      <c r="C28" s="379">
        <f>H18</f>
        <v>224270.3</v>
      </c>
      <c r="D28" s="216"/>
      <c r="E28" s="216"/>
      <c r="F28" s="216"/>
      <c r="G28" s="216"/>
      <c r="H28" s="216"/>
      <c r="I28" s="216"/>
    </row>
    <row r="29" spans="1:10" x14ac:dyDescent="0.3">
      <c r="A29" s="138" t="s">
        <v>149</v>
      </c>
      <c r="B29" s="143" t="s">
        <v>158</v>
      </c>
      <c r="C29" s="378">
        <f>C23-C26</f>
        <v>684614.59999999986</v>
      </c>
      <c r="D29" s="216"/>
      <c r="E29" s="216"/>
      <c r="F29" s="433"/>
      <c r="G29" s="433"/>
      <c r="H29" s="433"/>
      <c r="I29" s="433"/>
      <c r="J29" s="434"/>
    </row>
    <row r="30" spans="1:10" x14ac:dyDescent="0.3">
      <c r="A30" s="188"/>
      <c r="B30" s="182"/>
      <c r="C30" s="215"/>
      <c r="D30" s="215"/>
      <c r="E30" s="215"/>
      <c r="F30" s="215"/>
      <c r="G30" s="215"/>
      <c r="H30" s="215"/>
      <c r="I30" s="215"/>
    </row>
    <row r="31" spans="1:10" x14ac:dyDescent="0.3">
      <c r="A31" s="188"/>
      <c r="B31" s="182"/>
      <c r="C31" s="215"/>
      <c r="D31" s="215"/>
      <c r="E31" s="215"/>
      <c r="F31" s="215"/>
      <c r="G31" s="215"/>
      <c r="H31" s="215"/>
      <c r="I31" s="215"/>
    </row>
  </sheetData>
  <mergeCells count="9">
    <mergeCell ref="D27:I27"/>
    <mergeCell ref="A1:I1"/>
    <mergeCell ref="C3:D3"/>
    <mergeCell ref="F3:G3"/>
    <mergeCell ref="E3:E4"/>
    <mergeCell ref="H3:H4"/>
    <mergeCell ref="I3:I4"/>
    <mergeCell ref="B3:B4"/>
    <mergeCell ref="A3:A4"/>
  </mergeCells>
  <pageMargins left="0.48007246376811596" right="0.43478260869565216" top="0.55118110236220474" bottom="0.79710144927536231" header="0.31496062992125984" footer="0.31496062992125984"/>
  <pageSetup paperSize="9" fitToHeight="0" orientation="landscape" blackAndWhite="1"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K211"/>
  <sheetViews>
    <sheetView workbookViewId="0">
      <selection activeCell="J121" sqref="J121"/>
    </sheetView>
  </sheetViews>
  <sheetFormatPr defaultColWidth="9.109375" defaultRowHeight="13.8" x14ac:dyDescent="0.3"/>
  <cols>
    <col min="1" max="1" width="4.44140625" style="15" customWidth="1"/>
    <col min="2" max="2" width="33" style="224" customWidth="1"/>
    <col min="3" max="3" width="10.44140625" style="207" customWidth="1"/>
    <col min="4" max="11" width="10.44140625" style="196" customWidth="1"/>
    <col min="12" max="16384" width="9.109375" style="151"/>
  </cols>
  <sheetData>
    <row r="1" spans="1:11" x14ac:dyDescent="0.3">
      <c r="A1" s="461" t="s">
        <v>454</v>
      </c>
      <c r="B1" s="461"/>
      <c r="C1" s="461"/>
      <c r="D1" s="461"/>
      <c r="E1" s="461"/>
      <c r="F1" s="461"/>
      <c r="G1" s="461"/>
    </row>
    <row r="2" spans="1:11" x14ac:dyDescent="0.3">
      <c r="A2" s="18"/>
      <c r="B2" s="220"/>
      <c r="C2" s="197"/>
      <c r="D2" s="197"/>
      <c r="E2" s="197"/>
      <c r="F2" s="197"/>
      <c r="G2" s="197"/>
    </row>
    <row r="3" spans="1:11" ht="189" customHeight="1" x14ac:dyDescent="0.3">
      <c r="A3" s="151"/>
      <c r="B3" s="510" t="s">
        <v>485</v>
      </c>
      <c r="C3" s="510"/>
      <c r="D3" s="510"/>
      <c r="E3" s="510"/>
      <c r="F3" s="510"/>
      <c r="G3" s="510"/>
      <c r="H3" s="510"/>
      <c r="I3" s="510"/>
      <c r="J3" s="510"/>
      <c r="K3" s="510"/>
    </row>
    <row r="4" spans="1:11" s="144" customFormat="1" ht="14.4" x14ac:dyDescent="0.3">
      <c r="A4" s="513" t="s">
        <v>476</v>
      </c>
      <c r="B4" s="513"/>
      <c r="C4" s="513"/>
      <c r="D4" s="513"/>
      <c r="E4" s="513"/>
      <c r="F4" s="513"/>
      <c r="G4" s="513"/>
    </row>
    <row r="5" spans="1:11" s="144" customFormat="1" ht="14.4" customHeight="1" x14ac:dyDescent="0.3">
      <c r="A5" s="500" t="s">
        <v>463</v>
      </c>
      <c r="B5" s="501"/>
      <c r="C5" s="511" t="s">
        <v>448</v>
      </c>
      <c r="D5" s="496" t="s">
        <v>172</v>
      </c>
      <c r="E5" s="497"/>
      <c r="F5" s="497"/>
      <c r="G5" s="498"/>
    </row>
    <row r="6" spans="1:11" s="145" customFormat="1" ht="30.6" customHeight="1" x14ac:dyDescent="0.3">
      <c r="A6" s="500"/>
      <c r="B6" s="501"/>
      <c r="C6" s="512"/>
      <c r="D6" s="401" t="s">
        <v>598</v>
      </c>
      <c r="E6" s="195" t="s">
        <v>340</v>
      </c>
      <c r="F6" s="396" t="s">
        <v>341</v>
      </c>
      <c r="G6" s="396" t="s">
        <v>342</v>
      </c>
    </row>
    <row r="7" spans="1:11" s="145" customFormat="1" ht="14.4" x14ac:dyDescent="0.3">
      <c r="A7" s="489" t="s">
        <v>477</v>
      </c>
      <c r="B7" s="490"/>
      <c r="C7" s="490"/>
      <c r="D7" s="490"/>
      <c r="E7" s="490"/>
      <c r="F7" s="490"/>
      <c r="G7" s="491"/>
    </row>
    <row r="8" spans="1:11" s="145" customFormat="1" ht="14.4" customHeight="1" x14ac:dyDescent="0.3">
      <c r="A8" s="492" t="s">
        <v>478</v>
      </c>
      <c r="B8" s="493"/>
      <c r="C8" s="493"/>
      <c r="D8" s="493"/>
      <c r="E8" s="493"/>
      <c r="F8" s="493"/>
      <c r="G8" s="494"/>
    </row>
    <row r="9" spans="1:11" s="144" customFormat="1" ht="14.4" x14ac:dyDescent="0.3">
      <c r="A9" s="4">
        <v>1</v>
      </c>
      <c r="B9" s="221" t="s">
        <v>163</v>
      </c>
      <c r="C9" s="198">
        <f>SUM(D9:G9)</f>
        <v>0</v>
      </c>
      <c r="D9" s="201">
        <f>D10*D11</f>
        <v>0</v>
      </c>
      <c r="E9" s="201">
        <f t="shared" ref="E9:G9" si="0">E10*E11</f>
        <v>0</v>
      </c>
      <c r="F9" s="201">
        <f t="shared" si="0"/>
        <v>0</v>
      </c>
      <c r="G9" s="201">
        <f t="shared" si="0"/>
        <v>0</v>
      </c>
    </row>
    <row r="10" spans="1:11" s="146" customFormat="1" ht="14.4" x14ac:dyDescent="0.3">
      <c r="A10" s="5"/>
      <c r="B10" s="221" t="s">
        <v>274</v>
      </c>
      <c r="C10" s="198"/>
      <c r="D10" s="199">
        <v>1</v>
      </c>
      <c r="E10" s="199">
        <v>0</v>
      </c>
      <c r="F10" s="199">
        <v>0</v>
      </c>
      <c r="G10" s="199">
        <v>0</v>
      </c>
    </row>
    <row r="11" spans="1:11" s="146" customFormat="1" ht="14.4" x14ac:dyDescent="0.3">
      <c r="A11" s="5"/>
      <c r="B11" s="221" t="s">
        <v>275</v>
      </c>
      <c r="C11" s="198"/>
      <c r="D11" s="199">
        <v>0</v>
      </c>
      <c r="E11" s="199">
        <v>0</v>
      </c>
      <c r="F11" s="199">
        <v>0</v>
      </c>
      <c r="G11" s="199">
        <v>0</v>
      </c>
    </row>
    <row r="12" spans="1:11" s="144" customFormat="1" ht="14.4" x14ac:dyDescent="0.3">
      <c r="A12" s="4">
        <v>2</v>
      </c>
      <c r="B12" s="221" t="s">
        <v>164</v>
      </c>
      <c r="C12" s="198">
        <f>SUM(D12:G12)</f>
        <v>0</v>
      </c>
      <c r="D12" s="201">
        <f>D13*D14</f>
        <v>0</v>
      </c>
      <c r="E12" s="201">
        <f t="shared" ref="E12" si="1">E13*E14</f>
        <v>0</v>
      </c>
      <c r="F12" s="201">
        <f t="shared" ref="F12" si="2">F13*F14</f>
        <v>0</v>
      </c>
      <c r="G12" s="201">
        <f t="shared" ref="G12" si="3">G13*G14</f>
        <v>0</v>
      </c>
    </row>
    <row r="13" spans="1:11" s="146" customFormat="1" ht="14.4" x14ac:dyDescent="0.3">
      <c r="A13" s="5"/>
      <c r="B13" s="221" t="s">
        <v>276</v>
      </c>
      <c r="C13" s="198"/>
      <c r="D13" s="199"/>
      <c r="E13" s="199"/>
      <c r="F13" s="199"/>
      <c r="G13" s="199"/>
      <c r="K13" s="360"/>
    </row>
    <row r="14" spans="1:11" s="146" customFormat="1" ht="14.4" x14ac:dyDescent="0.3">
      <c r="A14" s="5"/>
      <c r="B14" s="221" t="s">
        <v>277</v>
      </c>
      <c r="C14" s="198"/>
      <c r="D14" s="199">
        <f>'1B-ContPP'!D13*1.03*1.19</f>
        <v>0</v>
      </c>
      <c r="E14" s="199">
        <f>D14*1.03</f>
        <v>0</v>
      </c>
      <c r="F14" s="199">
        <f>E14</f>
        <v>0</v>
      </c>
      <c r="G14" s="199">
        <f>F14</f>
        <v>0</v>
      </c>
    </row>
    <row r="15" spans="1:11" s="144" customFormat="1" ht="14.4" x14ac:dyDescent="0.3">
      <c r="A15" s="4">
        <v>3</v>
      </c>
      <c r="B15" s="221" t="s">
        <v>165</v>
      </c>
      <c r="C15" s="198">
        <f>SUM(D15:G15)</f>
        <v>13541518.083382607</v>
      </c>
      <c r="D15" s="201">
        <f>D16*D17</f>
        <v>3335019.8868</v>
      </c>
      <c r="E15" s="201">
        <f t="shared" ref="E15" si="4">E16*E17</f>
        <v>3368370.0856679999</v>
      </c>
      <c r="F15" s="201">
        <f>F16*F17</f>
        <v>3402053.78652468</v>
      </c>
      <c r="G15" s="201">
        <f t="shared" ref="G15" si="5">G16*G17</f>
        <v>3436074.3243899266</v>
      </c>
    </row>
    <row r="16" spans="1:11" s="146" customFormat="1" ht="14.4" x14ac:dyDescent="0.3">
      <c r="A16" s="5"/>
      <c r="B16" s="221" t="s">
        <v>278</v>
      </c>
      <c r="C16" s="198"/>
      <c r="D16" s="199">
        <v>1</v>
      </c>
      <c r="E16" s="199">
        <v>1</v>
      </c>
      <c r="F16" s="199">
        <v>1</v>
      </c>
      <c r="G16" s="199">
        <v>1</v>
      </c>
    </row>
    <row r="17" spans="1:7" s="146" customFormat="1" ht="14.4" x14ac:dyDescent="0.3">
      <c r="A17" s="5"/>
      <c r="B17" s="221" t="s">
        <v>279</v>
      </c>
      <c r="C17" s="198"/>
      <c r="D17" s="199">
        <f>'1B-ContPP'!C6*1.19*1.02</f>
        <v>3335019.8868</v>
      </c>
      <c r="E17" s="199">
        <f>D17*1.01</f>
        <v>3368370.0856679999</v>
      </c>
      <c r="F17" s="199">
        <f>E17*1.01</f>
        <v>3402053.78652468</v>
      </c>
      <c r="G17" s="199">
        <f>F17*1.01</f>
        <v>3436074.3243899266</v>
      </c>
    </row>
    <row r="18" spans="1:7" s="147" customFormat="1" ht="24" x14ac:dyDescent="0.3">
      <c r="A18" s="193"/>
      <c r="B18" s="267" t="s">
        <v>314</v>
      </c>
      <c r="C18" s="198">
        <f>SUM(D18:G18)</f>
        <v>13541518.083382607</v>
      </c>
      <c r="D18" s="198">
        <f>D9+D12+D15</f>
        <v>3335019.8868</v>
      </c>
      <c r="E18" s="198">
        <f t="shared" ref="E18:G18" si="6">E9+E12+E15</f>
        <v>3368370.0856679999</v>
      </c>
      <c r="F18" s="198">
        <f t="shared" si="6"/>
        <v>3402053.78652468</v>
      </c>
      <c r="G18" s="198">
        <f t="shared" si="6"/>
        <v>3436074.3243899266</v>
      </c>
    </row>
    <row r="19" spans="1:7" s="147" customFormat="1" ht="14.4" x14ac:dyDescent="0.3">
      <c r="A19" s="489" t="s">
        <v>480</v>
      </c>
      <c r="B19" s="490"/>
      <c r="C19" s="490"/>
      <c r="D19" s="490"/>
      <c r="E19" s="490"/>
      <c r="F19" s="490"/>
      <c r="G19" s="491"/>
    </row>
    <row r="20" spans="1:7" s="147" customFormat="1" ht="14.4" customHeight="1" x14ac:dyDescent="0.3">
      <c r="A20" s="492" t="s">
        <v>479</v>
      </c>
      <c r="B20" s="493"/>
      <c r="C20" s="493"/>
      <c r="D20" s="493"/>
      <c r="E20" s="493"/>
      <c r="F20" s="493"/>
      <c r="G20" s="494"/>
    </row>
    <row r="21" spans="1:7" s="144" customFormat="1" ht="24" x14ac:dyDescent="0.3">
      <c r="A21" s="4">
        <v>5</v>
      </c>
      <c r="B21" s="6" t="s">
        <v>168</v>
      </c>
      <c r="C21" s="198">
        <f>SUM(D21:G21)</f>
        <v>4095733.7422003467</v>
      </c>
      <c r="D21" s="201">
        <f>SUM(D22*D23)+SUM(D24*D25)</f>
        <v>1008701.7864</v>
      </c>
      <c r="E21" s="201">
        <f t="shared" ref="E21:G21" si="7">SUM(E22*E23)+SUM(E24*E25)</f>
        <v>1018788.804264</v>
      </c>
      <c r="F21" s="201">
        <f t="shared" si="7"/>
        <v>1028976.6923066401</v>
      </c>
      <c r="G21" s="201">
        <f t="shared" si="7"/>
        <v>1039266.4592297066</v>
      </c>
    </row>
    <row r="22" spans="1:7" s="147" customFormat="1" ht="14.4" x14ac:dyDescent="0.3">
      <c r="A22" s="4"/>
      <c r="B22" s="221" t="s">
        <v>280</v>
      </c>
      <c r="C22" s="198"/>
      <c r="D22" s="199">
        <v>1</v>
      </c>
      <c r="E22" s="199">
        <v>1</v>
      </c>
      <c r="F22" s="199">
        <v>1</v>
      </c>
      <c r="G22" s="199">
        <v>1</v>
      </c>
    </row>
    <row r="23" spans="1:7" s="147" customFormat="1" ht="14.4" x14ac:dyDescent="0.3">
      <c r="A23" s="4"/>
      <c r="B23" s="221" t="s">
        <v>281</v>
      </c>
      <c r="C23" s="198"/>
      <c r="D23" s="199">
        <f>'1B-ContPP'!C14*1.19*1.02</f>
        <v>1008701.7864</v>
      </c>
      <c r="E23" s="199">
        <f>D23*1.01</f>
        <v>1018788.804264</v>
      </c>
      <c r="F23" s="199">
        <f>E23*1.01</f>
        <v>1028976.6923066401</v>
      </c>
      <c r="G23" s="199">
        <f>F23*1.01</f>
        <v>1039266.4592297066</v>
      </c>
    </row>
    <row r="24" spans="1:7" s="147" customFormat="1" ht="14.4" x14ac:dyDescent="0.3">
      <c r="A24" s="4"/>
      <c r="B24" s="221" t="s">
        <v>282</v>
      </c>
      <c r="C24" s="198"/>
      <c r="D24" s="199">
        <v>1</v>
      </c>
      <c r="E24" s="199">
        <v>1</v>
      </c>
      <c r="F24" s="199">
        <v>1</v>
      </c>
      <c r="G24" s="199">
        <v>1</v>
      </c>
    </row>
    <row r="25" spans="1:7" s="147" customFormat="1" ht="14.4" x14ac:dyDescent="0.3">
      <c r="A25" s="4"/>
      <c r="B25" s="221" t="s">
        <v>283</v>
      </c>
      <c r="C25" s="198"/>
      <c r="D25" s="199">
        <f>'1B-ContPP'!D14*1.05*1.19</f>
        <v>0</v>
      </c>
      <c r="E25" s="199">
        <f>D25*1.05</f>
        <v>0</v>
      </c>
      <c r="F25" s="199">
        <f>E25*1.05</f>
        <v>0</v>
      </c>
      <c r="G25" s="199">
        <f t="shared" ref="G25" si="8">F25*1.05</f>
        <v>0</v>
      </c>
    </row>
    <row r="26" spans="1:7" s="144" customFormat="1" ht="14.4" x14ac:dyDescent="0.3">
      <c r="A26" s="4">
        <v>6</v>
      </c>
      <c r="B26" s="6" t="s">
        <v>169</v>
      </c>
      <c r="C26" s="198">
        <f>SUM(D26:G26)</f>
        <v>0</v>
      </c>
      <c r="D26" s="201">
        <f>D27*D28</f>
        <v>0</v>
      </c>
      <c r="E26" s="201">
        <f t="shared" ref="E26:G26" si="9">E27*E28</f>
        <v>0</v>
      </c>
      <c r="F26" s="201">
        <f t="shared" si="9"/>
        <v>0</v>
      </c>
      <c r="G26" s="201">
        <f t="shared" si="9"/>
        <v>0</v>
      </c>
    </row>
    <row r="27" spans="1:7" s="147" customFormat="1" ht="14.4" x14ac:dyDescent="0.3">
      <c r="A27" s="4"/>
      <c r="B27" s="221" t="s">
        <v>278</v>
      </c>
      <c r="C27" s="198"/>
      <c r="D27" s="199">
        <v>1</v>
      </c>
      <c r="E27" s="199">
        <v>0</v>
      </c>
      <c r="F27" s="199">
        <v>0</v>
      </c>
      <c r="G27" s="199">
        <v>0</v>
      </c>
    </row>
    <row r="28" spans="1:7" s="147" customFormat="1" ht="14.4" x14ac:dyDescent="0.3">
      <c r="A28" s="4"/>
      <c r="B28" s="221" t="s">
        <v>284</v>
      </c>
      <c r="C28" s="198"/>
      <c r="D28" s="199">
        <f>'1B-ContPP'!C17*1.19*1.02</f>
        <v>0</v>
      </c>
      <c r="E28" s="199">
        <v>0</v>
      </c>
      <c r="F28" s="199">
        <v>0</v>
      </c>
      <c r="G28" s="199">
        <v>0</v>
      </c>
    </row>
    <row r="29" spans="1:7" s="147" customFormat="1" ht="24" x14ac:dyDescent="0.3">
      <c r="A29" s="4">
        <v>7</v>
      </c>
      <c r="B29" s="221" t="s">
        <v>285</v>
      </c>
      <c r="C29" s="198">
        <f>SUM(D29:G29)</f>
        <v>331072.97724301496</v>
      </c>
      <c r="D29" s="199">
        <f>'1B-ContPP'!C15*1.19*1.02</f>
        <v>81537.014999999999</v>
      </c>
      <c r="E29" s="199">
        <f>D29*1.01</f>
        <v>82352.385150000002</v>
      </c>
      <c r="F29" s="199">
        <f>E29*1.01</f>
        <v>83175.909001499997</v>
      </c>
      <c r="G29" s="199">
        <f>F29*1.01</f>
        <v>84007.668091514992</v>
      </c>
    </row>
    <row r="30" spans="1:7" s="149" customFormat="1" ht="14.4" x14ac:dyDescent="0.3">
      <c r="A30" s="4">
        <v>8</v>
      </c>
      <c r="B30" s="221" t="s">
        <v>286</v>
      </c>
      <c r="C30" s="198">
        <f>SUM(D30:G30)</f>
        <v>172436.8441177746</v>
      </c>
      <c r="D30" s="201">
        <f>D31*D32</f>
        <v>42467.934600000001</v>
      </c>
      <c r="E30" s="201">
        <f t="shared" ref="E30:G30" si="10">E31*E32</f>
        <v>42892.613945999998</v>
      </c>
      <c r="F30" s="201">
        <f t="shared" si="10"/>
        <v>43321.540085460001</v>
      </c>
      <c r="G30" s="201">
        <f t="shared" si="10"/>
        <v>43754.7554863146</v>
      </c>
    </row>
    <row r="31" spans="1:7" s="147" customFormat="1" ht="24" x14ac:dyDescent="0.3">
      <c r="A31" s="4"/>
      <c r="B31" s="221" t="s">
        <v>287</v>
      </c>
      <c r="C31" s="198"/>
      <c r="D31" s="199">
        <v>1</v>
      </c>
      <c r="E31" s="199">
        <v>1</v>
      </c>
      <c r="F31" s="199">
        <v>1</v>
      </c>
      <c r="G31" s="199">
        <v>1</v>
      </c>
    </row>
    <row r="32" spans="1:7" s="147" customFormat="1" ht="14.4" x14ac:dyDescent="0.3">
      <c r="A32" s="4"/>
      <c r="B32" s="221" t="s">
        <v>288</v>
      </c>
      <c r="C32" s="198"/>
      <c r="D32" s="199">
        <f>'1B-ContPP'!C16*1.19*1.01</f>
        <v>42467.934600000001</v>
      </c>
      <c r="E32" s="199">
        <f>D32*1.01</f>
        <v>42892.613945999998</v>
      </c>
      <c r="F32" s="199">
        <f>E32*1.01</f>
        <v>43321.540085460001</v>
      </c>
      <c r="G32" s="199">
        <f>F32*1.01</f>
        <v>43754.7554863146</v>
      </c>
    </row>
    <row r="33" spans="1:7" s="149" customFormat="1" ht="14.4" x14ac:dyDescent="0.3">
      <c r="A33" s="4">
        <v>9</v>
      </c>
      <c r="B33" s="221" t="s">
        <v>289</v>
      </c>
      <c r="C33" s="198">
        <f>SUM(D33:G33)</f>
        <v>0</v>
      </c>
      <c r="D33" s="201">
        <f>D34*D35</f>
        <v>0</v>
      </c>
      <c r="E33" s="201">
        <f>E34*E35</f>
        <v>0</v>
      </c>
      <c r="F33" s="201">
        <f t="shared" ref="F33:G33" si="11">F34*F35</f>
        <v>0</v>
      </c>
      <c r="G33" s="201">
        <f t="shared" si="11"/>
        <v>0</v>
      </c>
    </row>
    <row r="34" spans="1:7" s="147" customFormat="1" ht="24" x14ac:dyDescent="0.3">
      <c r="A34" s="4"/>
      <c r="B34" s="221" t="s">
        <v>287</v>
      </c>
      <c r="C34" s="198"/>
      <c r="D34" s="199">
        <v>0</v>
      </c>
      <c r="E34" s="199">
        <v>0</v>
      </c>
      <c r="F34" s="199">
        <v>0</v>
      </c>
      <c r="G34" s="199">
        <v>0</v>
      </c>
    </row>
    <row r="35" spans="1:7" s="147" customFormat="1" ht="14.4" x14ac:dyDescent="0.3">
      <c r="A35" s="4"/>
      <c r="B35" s="221" t="s">
        <v>288</v>
      </c>
      <c r="C35" s="198"/>
      <c r="D35" s="199">
        <v>0</v>
      </c>
      <c r="E35" s="199">
        <v>0</v>
      </c>
      <c r="F35" s="199">
        <v>0</v>
      </c>
      <c r="G35" s="199">
        <v>0</v>
      </c>
    </row>
    <row r="36" spans="1:7" s="149" customFormat="1" ht="14.4" x14ac:dyDescent="0.3">
      <c r="A36" s="4">
        <v>10</v>
      </c>
      <c r="B36" s="221" t="s">
        <v>290</v>
      </c>
      <c r="C36" s="198">
        <f>SUM(D36:G36)</f>
        <v>0</v>
      </c>
      <c r="D36" s="201">
        <f>D37*D38</f>
        <v>0</v>
      </c>
      <c r="E36" s="201">
        <f t="shared" ref="E36:G36" si="12">E37*E38</f>
        <v>0</v>
      </c>
      <c r="F36" s="201">
        <f t="shared" si="12"/>
        <v>0</v>
      </c>
      <c r="G36" s="201">
        <f t="shared" si="12"/>
        <v>0</v>
      </c>
    </row>
    <row r="37" spans="1:7" s="147" customFormat="1" ht="24" x14ac:dyDescent="0.3">
      <c r="A37" s="4"/>
      <c r="B37" s="221" t="s">
        <v>287</v>
      </c>
      <c r="C37" s="198"/>
      <c r="D37" s="199">
        <v>0</v>
      </c>
      <c r="E37" s="199">
        <v>0</v>
      </c>
      <c r="F37" s="199">
        <v>0</v>
      </c>
      <c r="G37" s="199">
        <v>0</v>
      </c>
    </row>
    <row r="38" spans="1:7" s="147" customFormat="1" ht="14.4" x14ac:dyDescent="0.3">
      <c r="A38" s="4"/>
      <c r="B38" s="221" t="s">
        <v>288</v>
      </c>
      <c r="C38" s="198"/>
      <c r="D38" s="199">
        <v>0</v>
      </c>
      <c r="E38" s="199">
        <v>0</v>
      </c>
      <c r="F38" s="199">
        <v>0</v>
      </c>
      <c r="G38" s="199">
        <v>0</v>
      </c>
    </row>
    <row r="39" spans="1:7" s="145" customFormat="1" ht="14.4" x14ac:dyDescent="0.3">
      <c r="A39" s="4"/>
      <c r="B39" s="194" t="s">
        <v>167</v>
      </c>
      <c r="C39" s="198">
        <f>SUM(D39:G39)</f>
        <v>4599243.5635611368</v>
      </c>
      <c r="D39" s="204">
        <f>D21+D26+D29+D30+D33+D36</f>
        <v>1132706.736</v>
      </c>
      <c r="E39" s="204">
        <f t="shared" ref="E39:G39" si="13">E21+E26+E29+E30+E33+E36</f>
        <v>1144033.8033600003</v>
      </c>
      <c r="F39" s="204">
        <f t="shared" si="13"/>
        <v>1155474.1413936</v>
      </c>
      <c r="G39" s="204">
        <f t="shared" si="13"/>
        <v>1167028.8828075363</v>
      </c>
    </row>
    <row r="40" spans="1:7" s="145" customFormat="1" ht="14.4" x14ac:dyDescent="0.3">
      <c r="A40" s="4">
        <v>11</v>
      </c>
      <c r="B40" s="221" t="s">
        <v>291</v>
      </c>
      <c r="C40" s="198">
        <f>SUM(D40:G40)</f>
        <v>1830660</v>
      </c>
      <c r="D40" s="204">
        <f>(D41*D42)*D43</f>
        <v>457665</v>
      </c>
      <c r="E40" s="204">
        <f t="shared" ref="E40:G40" si="14">(E41*E42)*E43</f>
        <v>457665</v>
      </c>
      <c r="F40" s="204">
        <f t="shared" si="14"/>
        <v>457665</v>
      </c>
      <c r="G40" s="204">
        <f t="shared" si="14"/>
        <v>457665</v>
      </c>
    </row>
    <row r="41" spans="1:7" s="145" customFormat="1" ht="14.4" x14ac:dyDescent="0.3">
      <c r="A41" s="4"/>
      <c r="B41" s="221" t="s">
        <v>292</v>
      </c>
      <c r="C41" s="198"/>
      <c r="D41" s="199">
        <v>1</v>
      </c>
      <c r="E41" s="199">
        <v>1</v>
      </c>
      <c r="F41" s="199">
        <v>1</v>
      </c>
      <c r="G41" s="199">
        <v>1</v>
      </c>
    </row>
    <row r="42" spans="1:7" s="145" customFormat="1" ht="14.4" x14ac:dyDescent="0.3">
      <c r="A42" s="4"/>
      <c r="B42" s="221" t="s">
        <v>293</v>
      </c>
      <c r="C42" s="198"/>
      <c r="D42" s="199">
        <f>'1B-ContPP'!C19</f>
        <v>457665</v>
      </c>
      <c r="E42" s="199">
        <f>D42*1</f>
        <v>457665</v>
      </c>
      <c r="F42" s="199">
        <f>E42*1</f>
        <v>457665</v>
      </c>
      <c r="G42" s="199">
        <f>F42*1</f>
        <v>457665</v>
      </c>
    </row>
    <row r="43" spans="1:7" s="145" customFormat="1" ht="14.4" x14ac:dyDescent="0.3">
      <c r="A43" s="4"/>
      <c r="B43" s="221" t="s">
        <v>294</v>
      </c>
      <c r="C43" s="198"/>
      <c r="D43" s="199">
        <v>1</v>
      </c>
      <c r="E43" s="199">
        <v>1</v>
      </c>
      <c r="F43" s="199">
        <v>1</v>
      </c>
      <c r="G43" s="199">
        <v>1</v>
      </c>
    </row>
    <row r="44" spans="1:7" s="145" customFormat="1" ht="14.4" x14ac:dyDescent="0.3">
      <c r="A44" s="7">
        <v>12</v>
      </c>
      <c r="B44" s="6" t="s">
        <v>320</v>
      </c>
      <c r="C44" s="198">
        <f>SUM(D44:G44)</f>
        <v>0</v>
      </c>
      <c r="D44" s="199">
        <v>0</v>
      </c>
      <c r="E44" s="199">
        <v>0</v>
      </c>
      <c r="F44" s="199">
        <v>0</v>
      </c>
      <c r="G44" s="199">
        <v>0</v>
      </c>
    </row>
    <row r="45" spans="1:7" s="147" customFormat="1" ht="14.4" x14ac:dyDescent="0.3">
      <c r="A45" s="4"/>
      <c r="B45" s="194" t="s">
        <v>125</v>
      </c>
      <c r="C45" s="198">
        <f>SUM(D45:G45)</f>
        <v>1830660</v>
      </c>
      <c r="D45" s="200">
        <f>D40+D44</f>
        <v>457665</v>
      </c>
      <c r="E45" s="200">
        <f t="shared" ref="E45:G45" si="15">E40+E44</f>
        <v>457665</v>
      </c>
      <c r="F45" s="200">
        <f t="shared" si="15"/>
        <v>457665</v>
      </c>
      <c r="G45" s="200">
        <f t="shared" si="15"/>
        <v>457665</v>
      </c>
    </row>
    <row r="46" spans="1:7" s="147" customFormat="1" ht="36" x14ac:dyDescent="0.3">
      <c r="A46" s="4">
        <v>13</v>
      </c>
      <c r="B46" s="6" t="s">
        <v>264</v>
      </c>
      <c r="C46" s="198">
        <f>SUM(D46:G46)</f>
        <v>0</v>
      </c>
      <c r="D46" s="199">
        <f>'1B-ContPP'!D22*1.19*1.02</f>
        <v>0</v>
      </c>
      <c r="E46" s="199">
        <f>D46*1.05</f>
        <v>0</v>
      </c>
      <c r="F46" s="199">
        <f>E46*1.05</f>
        <v>0</v>
      </c>
      <c r="G46" s="199">
        <f t="shared" ref="G46" si="16">F46*1.05</f>
        <v>0</v>
      </c>
    </row>
    <row r="47" spans="1:7" s="147" customFormat="1" ht="14.4" x14ac:dyDescent="0.3">
      <c r="A47" s="4"/>
      <c r="B47" s="13" t="s">
        <v>498</v>
      </c>
      <c r="C47" s="198">
        <f>SUM(D47:G47)</f>
        <v>3837992.1356815416</v>
      </c>
      <c r="D47" s="271">
        <f>D48*D49</f>
        <v>945224.90159999998</v>
      </c>
      <c r="E47" s="271">
        <f t="shared" ref="E47:G47" si="17">E48*E49</f>
        <v>954677.15061599994</v>
      </c>
      <c r="F47" s="271">
        <f t="shared" si="17"/>
        <v>964223.92212215997</v>
      </c>
      <c r="G47" s="271">
        <f t="shared" si="17"/>
        <v>973866.16134338162</v>
      </c>
    </row>
    <row r="48" spans="1:7" s="147" customFormat="1" ht="14.4" x14ac:dyDescent="0.3">
      <c r="A48" s="4"/>
      <c r="B48" s="221" t="s">
        <v>295</v>
      </c>
      <c r="C48" s="198"/>
      <c r="D48" s="199">
        <v>1</v>
      </c>
      <c r="E48" s="199">
        <v>1</v>
      </c>
      <c r="F48" s="199">
        <v>1</v>
      </c>
      <c r="G48" s="199">
        <v>1</v>
      </c>
    </row>
    <row r="49" spans="1:11" s="147" customFormat="1" ht="14.4" x14ac:dyDescent="0.3">
      <c r="A49" s="4"/>
      <c r="B49" s="221" t="s">
        <v>277</v>
      </c>
      <c r="C49" s="198"/>
      <c r="D49" s="199">
        <f>'1B-ContPP'!C22*1.19*1.02</f>
        <v>945224.90159999998</v>
      </c>
      <c r="E49" s="199">
        <f t="shared" ref="E49:G50" si="18">D49*1.01</f>
        <v>954677.15061599994</v>
      </c>
      <c r="F49" s="199">
        <f t="shared" si="18"/>
        <v>964223.92212215997</v>
      </c>
      <c r="G49" s="199">
        <f t="shared" si="18"/>
        <v>973866.16134338162</v>
      </c>
    </row>
    <row r="50" spans="1:11" s="148" customFormat="1" ht="36" x14ac:dyDescent="0.3">
      <c r="A50" s="7">
        <v>14</v>
      </c>
      <c r="B50" s="28" t="s">
        <v>297</v>
      </c>
      <c r="C50" s="198">
        <f t="shared" ref="C50:C57" si="19">SUM(D50:G50)</f>
        <v>155401.45364844002</v>
      </c>
      <c r="D50" s="199">
        <f>'1B-ContPP'!C36*1.02</f>
        <v>38272.44</v>
      </c>
      <c r="E50" s="199">
        <f t="shared" si="18"/>
        <v>38655.164400000001</v>
      </c>
      <c r="F50" s="199">
        <f t="shared" si="18"/>
        <v>39041.716044000001</v>
      </c>
      <c r="G50" s="199">
        <f t="shared" si="18"/>
        <v>39432.133204440004</v>
      </c>
    </row>
    <row r="51" spans="1:11" s="148" customFormat="1" ht="24" x14ac:dyDescent="0.3">
      <c r="A51" s="7"/>
      <c r="B51" s="28" t="s">
        <v>315</v>
      </c>
      <c r="C51" s="198">
        <f t="shared" si="19"/>
        <v>6585305.0172095764</v>
      </c>
      <c r="D51" s="201">
        <f t="shared" ref="D51:G51" si="20">D39+D45+D46+D50</f>
        <v>1628644.176</v>
      </c>
      <c r="E51" s="201">
        <f t="shared" si="20"/>
        <v>1640353.9677600001</v>
      </c>
      <c r="F51" s="201">
        <f t="shared" si="20"/>
        <v>1652180.8574375999</v>
      </c>
      <c r="G51" s="201">
        <f t="shared" si="20"/>
        <v>1664126.0160119762</v>
      </c>
    </row>
    <row r="52" spans="1:11" s="148" customFormat="1" ht="24" x14ac:dyDescent="0.3">
      <c r="A52" s="7"/>
      <c r="B52" s="28" t="s">
        <v>300</v>
      </c>
      <c r="C52" s="198">
        <f t="shared" si="19"/>
        <v>6956213.0661730301</v>
      </c>
      <c r="D52" s="201">
        <f t="shared" ref="D52:G52" si="21">D18-D51</f>
        <v>1706375.7108</v>
      </c>
      <c r="E52" s="201">
        <f t="shared" si="21"/>
        <v>1728016.1179079998</v>
      </c>
      <c r="F52" s="201">
        <f t="shared" si="21"/>
        <v>1749872.9290870801</v>
      </c>
      <c r="G52" s="201">
        <f t="shared" si="21"/>
        <v>1771948.3083779505</v>
      </c>
    </row>
    <row r="53" spans="1:11" s="148" customFormat="1" x14ac:dyDescent="0.3">
      <c r="A53" s="7">
        <v>15</v>
      </c>
      <c r="B53" s="8" t="s">
        <v>223</v>
      </c>
      <c r="C53" s="198">
        <f t="shared" si="19"/>
        <v>1448509.4551045855</v>
      </c>
      <c r="D53" s="199">
        <f>D18*0.19/1.19 -(D21+D29+D30+D46)*0.19/1.19</f>
        <v>351629.8308</v>
      </c>
      <c r="E53" s="199">
        <f t="shared" ref="E53:G53" si="22">E18*0.19/1.19 -(E21+E29+E46)*0.19/1.19</f>
        <v>361994.52965400007</v>
      </c>
      <c r="F53" s="199">
        <f t="shared" si="22"/>
        <v>365614.47495054005</v>
      </c>
      <c r="G53" s="199">
        <f t="shared" si="22"/>
        <v>369270.61970004527</v>
      </c>
    </row>
    <row r="54" spans="1:11" s="148" customFormat="1" x14ac:dyDescent="0.3">
      <c r="A54" s="7">
        <v>16</v>
      </c>
      <c r="B54" s="8" t="s">
        <v>224</v>
      </c>
      <c r="C54" s="198">
        <f t="shared" si="19"/>
        <v>0</v>
      </c>
      <c r="D54" s="199">
        <v>0</v>
      </c>
      <c r="E54" s="199">
        <v>0</v>
      </c>
      <c r="F54" s="199">
        <v>0</v>
      </c>
      <c r="G54" s="199">
        <v>0</v>
      </c>
    </row>
    <row r="55" spans="1:11" s="148" customFormat="1" x14ac:dyDescent="0.3">
      <c r="A55" s="7">
        <v>17</v>
      </c>
      <c r="B55" s="8" t="s">
        <v>298</v>
      </c>
      <c r="C55" s="198">
        <f t="shared" si="19"/>
        <v>130090.35916582607</v>
      </c>
      <c r="D55" s="199">
        <f>(D18/1.19)*1/100</f>
        <v>28025.377200000003</v>
      </c>
      <c r="E55" s="199">
        <f t="shared" ref="E55:G55" si="23">E18*1/100</f>
        <v>33683.70085668</v>
      </c>
      <c r="F55" s="199">
        <f t="shared" si="23"/>
        <v>34020.537865246799</v>
      </c>
      <c r="G55" s="199">
        <f t="shared" si="23"/>
        <v>34360.743243899269</v>
      </c>
    </row>
    <row r="56" spans="1:11" s="148" customFormat="1" ht="24" x14ac:dyDescent="0.3">
      <c r="A56" s="7"/>
      <c r="B56" s="28" t="s">
        <v>301</v>
      </c>
      <c r="C56" s="198">
        <f t="shared" si="19"/>
        <v>1578599.8142704116</v>
      </c>
      <c r="D56" s="201">
        <f t="shared" ref="D56:G56" si="24">D53-D54+D55</f>
        <v>379655.20799999998</v>
      </c>
      <c r="E56" s="201">
        <f t="shared" si="24"/>
        <v>395678.23051068006</v>
      </c>
      <c r="F56" s="201">
        <f t="shared" si="24"/>
        <v>399635.01281578687</v>
      </c>
      <c r="G56" s="201">
        <f t="shared" si="24"/>
        <v>403631.36294394452</v>
      </c>
    </row>
    <row r="57" spans="1:11" s="147" customFormat="1" ht="24" x14ac:dyDescent="0.3">
      <c r="A57" s="33"/>
      <c r="B57" s="194" t="s">
        <v>299</v>
      </c>
      <c r="C57" s="198">
        <f t="shared" si="19"/>
        <v>5377613.2519026194</v>
      </c>
      <c r="D57" s="198">
        <f>D52-D56</f>
        <v>1326720.5027999999</v>
      </c>
      <c r="E57" s="198">
        <f t="shared" ref="E57:G57" si="25">E52-E56</f>
        <v>1332337.8873973198</v>
      </c>
      <c r="F57" s="198">
        <f t="shared" si="25"/>
        <v>1350237.9162712931</v>
      </c>
      <c r="G57" s="198">
        <f t="shared" si="25"/>
        <v>1368316.9454340059</v>
      </c>
    </row>
    <row r="58" spans="1:11" s="148" customFormat="1" x14ac:dyDescent="0.3">
      <c r="A58" s="11"/>
      <c r="B58" s="13" t="s">
        <v>267</v>
      </c>
      <c r="C58" s="198">
        <f>'1A-Bilant'!D28</f>
        <v>0</v>
      </c>
      <c r="D58" s="202">
        <f>'1A-Bilant'!C28</f>
        <v>437352</v>
      </c>
      <c r="E58" s="202">
        <f t="shared" ref="E58:G58" si="26">D59</f>
        <v>1764072.5027999999</v>
      </c>
      <c r="F58" s="202">
        <f t="shared" si="26"/>
        <v>3096410.3901973199</v>
      </c>
      <c r="G58" s="202">
        <f t="shared" si="26"/>
        <v>4446648.3064686134</v>
      </c>
    </row>
    <row r="59" spans="1:11" x14ac:dyDescent="0.3">
      <c r="A59" s="9"/>
      <c r="B59" s="13" t="s">
        <v>228</v>
      </c>
      <c r="C59" s="198"/>
      <c r="D59" s="202">
        <f>D58+D57</f>
        <v>1764072.5027999999</v>
      </c>
      <c r="E59" s="202">
        <f t="shared" ref="E59:G59" si="27">E58+E57</f>
        <v>3096410.3901973199</v>
      </c>
      <c r="F59" s="202">
        <f t="shared" si="27"/>
        <v>4446648.3064686134</v>
      </c>
      <c r="G59" s="202">
        <f t="shared" si="27"/>
        <v>5814965.2519026194</v>
      </c>
      <c r="H59" s="151"/>
      <c r="I59" s="151"/>
      <c r="J59" s="151"/>
      <c r="K59" s="151"/>
    </row>
    <row r="60" spans="1:11" s="144" customFormat="1" ht="14.4" x14ac:dyDescent="0.3">
      <c r="A60" s="506" t="s">
        <v>483</v>
      </c>
      <c r="B60" s="506"/>
      <c r="C60" s="506"/>
      <c r="D60" s="506"/>
      <c r="E60" s="506"/>
      <c r="F60" s="506"/>
      <c r="G60" s="506"/>
    </row>
    <row r="61" spans="1:11" s="144" customFormat="1" ht="14.4" customHeight="1" x14ac:dyDescent="0.3">
      <c r="A61" s="500" t="s">
        <v>463</v>
      </c>
      <c r="B61" s="501"/>
      <c r="C61" s="502" t="s">
        <v>448</v>
      </c>
      <c r="D61" s="496" t="s">
        <v>172</v>
      </c>
      <c r="E61" s="497"/>
      <c r="F61" s="497"/>
      <c r="G61" s="498"/>
    </row>
    <row r="62" spans="1:11" s="145" customFormat="1" ht="27" customHeight="1" x14ac:dyDescent="0.3">
      <c r="A62" s="500"/>
      <c r="B62" s="501"/>
      <c r="C62" s="502"/>
      <c r="D62" s="401" t="s">
        <v>598</v>
      </c>
      <c r="E62" s="195" t="s">
        <v>340</v>
      </c>
      <c r="F62" s="195" t="s">
        <v>341</v>
      </c>
      <c r="G62" s="195" t="s">
        <v>342</v>
      </c>
    </row>
    <row r="63" spans="1:11" s="145" customFormat="1" ht="14.4" x14ac:dyDescent="0.3">
      <c r="A63" s="489" t="s">
        <v>482</v>
      </c>
      <c r="B63" s="490"/>
      <c r="C63" s="490"/>
      <c r="D63" s="490"/>
      <c r="E63" s="490"/>
      <c r="F63" s="490"/>
      <c r="G63" s="491"/>
    </row>
    <row r="64" spans="1:11" s="145" customFormat="1" ht="14.4" customHeight="1" x14ac:dyDescent="0.3">
      <c r="A64" s="492" t="s">
        <v>478</v>
      </c>
      <c r="B64" s="493"/>
      <c r="C64" s="493"/>
      <c r="D64" s="493"/>
      <c r="E64" s="493"/>
      <c r="F64" s="493"/>
      <c r="G64" s="494"/>
    </row>
    <row r="65" spans="1:9" s="144" customFormat="1" ht="14.4" x14ac:dyDescent="0.3">
      <c r="A65" s="4">
        <v>1</v>
      </c>
      <c r="B65" s="221" t="s">
        <v>163</v>
      </c>
      <c r="C65" s="198">
        <f>SUM(D65:G65)</f>
        <v>0</v>
      </c>
      <c r="D65" s="201">
        <f>D66*D67</f>
        <v>0</v>
      </c>
      <c r="E65" s="201">
        <f t="shared" ref="E65:G65" si="28">E66*E67</f>
        <v>0</v>
      </c>
      <c r="F65" s="201">
        <f t="shared" si="28"/>
        <v>0</v>
      </c>
      <c r="G65" s="201">
        <f t="shared" si="28"/>
        <v>0</v>
      </c>
    </row>
    <row r="66" spans="1:9" s="146" customFormat="1" ht="14.4" x14ac:dyDescent="0.3">
      <c r="A66" s="5"/>
      <c r="B66" s="221" t="s">
        <v>274</v>
      </c>
      <c r="C66" s="198"/>
      <c r="D66" s="199">
        <v>0</v>
      </c>
      <c r="E66" s="199">
        <v>0</v>
      </c>
      <c r="F66" s="199">
        <v>0</v>
      </c>
      <c r="G66" s="199">
        <v>0</v>
      </c>
    </row>
    <row r="67" spans="1:9" s="146" customFormat="1" ht="14.4" x14ac:dyDescent="0.3">
      <c r="A67" s="5"/>
      <c r="B67" s="221" t="s">
        <v>275</v>
      </c>
      <c r="C67" s="198"/>
      <c r="D67" s="199">
        <v>0</v>
      </c>
      <c r="E67" s="199">
        <v>0</v>
      </c>
      <c r="F67" s="199">
        <v>0</v>
      </c>
      <c r="G67" s="199">
        <v>0</v>
      </c>
      <c r="I67" s="360"/>
    </row>
    <row r="68" spans="1:9" s="144" customFormat="1" ht="14.4" x14ac:dyDescent="0.3">
      <c r="A68" s="4">
        <v>2</v>
      </c>
      <c r="B68" s="221" t="s">
        <v>164</v>
      </c>
      <c r="C68" s="198">
        <f>SUM(D68:G68)</f>
        <v>1903772</v>
      </c>
      <c r="D68" s="201">
        <f>D69*D70</f>
        <v>0</v>
      </c>
      <c r="E68" s="201">
        <f t="shared" ref="E68" si="29">E69*E70</f>
        <v>620000</v>
      </c>
      <c r="F68" s="201">
        <f t="shared" ref="F68" si="30">F69*F70</f>
        <v>632400</v>
      </c>
      <c r="G68" s="201">
        <f t="shared" ref="G68" si="31">G69*G70</f>
        <v>651372</v>
      </c>
    </row>
    <row r="69" spans="1:9" s="146" customFormat="1" ht="14.4" x14ac:dyDescent="0.3">
      <c r="A69" s="5"/>
      <c r="B69" s="221" t="s">
        <v>276</v>
      </c>
      <c r="C69" s="198"/>
      <c r="D69" s="199">
        <v>1</v>
      </c>
      <c r="E69" s="199">
        <v>1</v>
      </c>
      <c r="F69" s="199">
        <v>1</v>
      </c>
      <c r="G69" s="199">
        <v>1</v>
      </c>
    </row>
    <row r="70" spans="1:9" s="146" customFormat="1" ht="14.4" x14ac:dyDescent="0.3">
      <c r="A70" s="5"/>
      <c r="B70" s="221" t="s">
        <v>277</v>
      </c>
      <c r="C70" s="198"/>
      <c r="D70" s="199">
        <f>'1B-ContPP'!D13*1.1*1.19</f>
        <v>0</v>
      </c>
      <c r="E70" s="199">
        <v>620000</v>
      </c>
      <c r="F70" s="199">
        <f>E70*1.02</f>
        <v>632400</v>
      </c>
      <c r="G70" s="199">
        <f>F70*1.03</f>
        <v>651372</v>
      </c>
    </row>
    <row r="71" spans="1:9" s="144" customFormat="1" ht="14.4" x14ac:dyDescent="0.3">
      <c r="A71" s="4">
        <v>3</v>
      </c>
      <c r="B71" s="221" t="s">
        <v>165</v>
      </c>
      <c r="C71" s="198">
        <f>SUM(D71:G71)</f>
        <v>13745644.645593975</v>
      </c>
      <c r="D71" s="201">
        <f>D72*D73</f>
        <v>3335019.8868</v>
      </c>
      <c r="E71" s="201">
        <f t="shared" ref="E71" si="32">E72*E73</f>
        <v>3401720.2845359999</v>
      </c>
      <c r="F71" s="201">
        <f t="shared" ref="F71" si="33">F72*F73</f>
        <v>3469754.6902267197</v>
      </c>
      <c r="G71" s="201">
        <f t="shared" ref="G71" si="34">G72*G73</f>
        <v>3539149.7840312542</v>
      </c>
    </row>
    <row r="72" spans="1:9" s="146" customFormat="1" ht="14.4" x14ac:dyDescent="0.3">
      <c r="A72" s="5"/>
      <c r="B72" s="221" t="s">
        <v>278</v>
      </c>
      <c r="C72" s="198"/>
      <c r="D72" s="199">
        <v>1</v>
      </c>
      <c r="E72" s="199">
        <v>1</v>
      </c>
      <c r="F72" s="199">
        <v>1</v>
      </c>
      <c r="G72" s="199">
        <v>1</v>
      </c>
    </row>
    <row r="73" spans="1:9" s="146" customFormat="1" ht="14.4" x14ac:dyDescent="0.3">
      <c r="A73" s="5"/>
      <c r="B73" s="221" t="s">
        <v>279</v>
      </c>
      <c r="C73" s="198"/>
      <c r="D73" s="199">
        <f>D17</f>
        <v>3335019.8868</v>
      </c>
      <c r="E73" s="199">
        <f>D73*1.02</f>
        <v>3401720.2845359999</v>
      </c>
      <c r="F73" s="199">
        <f>E73*1.02</f>
        <v>3469754.6902267197</v>
      </c>
      <c r="G73" s="199">
        <f>F73*1.02</f>
        <v>3539149.7840312542</v>
      </c>
    </row>
    <row r="74" spans="1:9" s="147" customFormat="1" ht="24" x14ac:dyDescent="0.3">
      <c r="A74" s="193"/>
      <c r="B74" s="376" t="s">
        <v>316</v>
      </c>
      <c r="C74" s="198">
        <f>SUM(D74:G74)</f>
        <v>15649416.645593975</v>
      </c>
      <c r="D74" s="198">
        <f>D65+D68+D71</f>
        <v>3335019.8868</v>
      </c>
      <c r="E74" s="198">
        <f t="shared" ref="E74:G74" si="35">E65+E68+E71</f>
        <v>4021720.2845359999</v>
      </c>
      <c r="F74" s="198">
        <f t="shared" si="35"/>
        <v>4102154.6902267197</v>
      </c>
      <c r="G74" s="198">
        <f t="shared" si="35"/>
        <v>4190521.7840312542</v>
      </c>
    </row>
    <row r="75" spans="1:9" s="147" customFormat="1" ht="14.4" x14ac:dyDescent="0.3">
      <c r="A75" s="489" t="s">
        <v>481</v>
      </c>
      <c r="B75" s="490"/>
      <c r="C75" s="490"/>
      <c r="D75" s="490"/>
      <c r="E75" s="490"/>
      <c r="F75" s="490"/>
      <c r="G75" s="491"/>
    </row>
    <row r="76" spans="1:9" s="147" customFormat="1" ht="14.4" customHeight="1" x14ac:dyDescent="0.3">
      <c r="A76" s="492" t="s">
        <v>479</v>
      </c>
      <c r="B76" s="493"/>
      <c r="C76" s="493"/>
      <c r="D76" s="493"/>
      <c r="E76" s="493"/>
      <c r="F76" s="493"/>
      <c r="G76" s="494"/>
    </row>
    <row r="77" spans="1:9" s="144" customFormat="1" ht="24" x14ac:dyDescent="0.3">
      <c r="A77" s="4">
        <v>5</v>
      </c>
      <c r="B77" s="6" t="s">
        <v>168</v>
      </c>
      <c r="C77" s="198">
        <f>SUM(D77:G77)</f>
        <v>4188854.9520360003</v>
      </c>
      <c r="D77" s="201">
        <f>SUM(D78*D79)+SUM(D80*D81)</f>
        <v>1008702</v>
      </c>
      <c r="E77" s="201">
        <f t="shared" ref="E77:G77" si="36">SUM(E78*E79)+SUM(E80*E81)</f>
        <v>1028876.04</v>
      </c>
      <c r="F77" s="201">
        <f t="shared" si="36"/>
        <v>1059742.3212000001</v>
      </c>
      <c r="G77" s="201">
        <f t="shared" si="36"/>
        <v>1091534.5908360002</v>
      </c>
    </row>
    <row r="78" spans="1:9" s="147" customFormat="1" ht="14.4" hidden="1" x14ac:dyDescent="0.3">
      <c r="A78" s="4"/>
      <c r="B78" s="221" t="s">
        <v>280</v>
      </c>
      <c r="C78" s="198"/>
      <c r="D78" s="199">
        <v>1</v>
      </c>
      <c r="E78" s="199">
        <v>1</v>
      </c>
      <c r="F78" s="199">
        <v>1</v>
      </c>
      <c r="G78" s="199">
        <v>1</v>
      </c>
    </row>
    <row r="79" spans="1:9" s="147" customFormat="1" ht="14.4" hidden="1" x14ac:dyDescent="0.3">
      <c r="A79" s="4"/>
      <c r="B79" s="221" t="s">
        <v>281</v>
      </c>
      <c r="C79" s="198"/>
      <c r="D79" s="199">
        <v>1008702</v>
      </c>
      <c r="E79" s="199">
        <f>D79*1.02</f>
        <v>1028876.04</v>
      </c>
      <c r="F79" s="199">
        <f>E79*1.03</f>
        <v>1059742.3212000001</v>
      </c>
      <c r="G79" s="199">
        <f>F79*1.03</f>
        <v>1091534.5908360002</v>
      </c>
    </row>
    <row r="80" spans="1:9" s="147" customFormat="1" ht="14.4" hidden="1" x14ac:dyDescent="0.3">
      <c r="A80" s="4"/>
      <c r="B80" s="221" t="s">
        <v>282</v>
      </c>
      <c r="C80" s="198"/>
      <c r="D80" s="199">
        <v>1</v>
      </c>
      <c r="E80" s="199">
        <v>1</v>
      </c>
      <c r="F80" s="199">
        <v>1</v>
      </c>
      <c r="G80" s="199">
        <v>1</v>
      </c>
    </row>
    <row r="81" spans="1:7" s="147" customFormat="1" ht="14.4" hidden="1" x14ac:dyDescent="0.3">
      <c r="A81" s="4"/>
      <c r="B81" s="221" t="s">
        <v>283</v>
      </c>
      <c r="C81" s="198"/>
      <c r="D81" s="199">
        <f>'1B-ContPP'!D14*1.19*1.1</f>
        <v>0</v>
      </c>
      <c r="E81" s="199">
        <f>D81*1.05</f>
        <v>0</v>
      </c>
      <c r="F81" s="199">
        <f>E81*1.05</f>
        <v>0</v>
      </c>
      <c r="G81" s="199">
        <f t="shared" ref="G81" si="37">F81*1.05</f>
        <v>0</v>
      </c>
    </row>
    <row r="82" spans="1:7" s="144" customFormat="1" ht="14.4" x14ac:dyDescent="0.3">
      <c r="A82" s="4">
        <v>6</v>
      </c>
      <c r="B82" s="6" t="s">
        <v>169</v>
      </c>
      <c r="C82" s="198">
        <f>SUM(D82:G82)</f>
        <v>0</v>
      </c>
      <c r="D82" s="201">
        <f>D83*D84</f>
        <v>0</v>
      </c>
      <c r="E82" s="201">
        <f t="shared" ref="E82:G82" si="38">E83*E84</f>
        <v>0</v>
      </c>
      <c r="F82" s="201">
        <f t="shared" si="38"/>
        <v>0</v>
      </c>
      <c r="G82" s="201">
        <f t="shared" si="38"/>
        <v>0</v>
      </c>
    </row>
    <row r="83" spans="1:7" s="147" customFormat="1" ht="14.4" x14ac:dyDescent="0.3">
      <c r="A83" s="4"/>
      <c r="B83" s="221" t="s">
        <v>278</v>
      </c>
      <c r="C83" s="198"/>
      <c r="D83" s="199">
        <v>0</v>
      </c>
      <c r="E83" s="199">
        <v>0</v>
      </c>
      <c r="F83" s="199">
        <v>0</v>
      </c>
      <c r="G83" s="199">
        <v>0</v>
      </c>
    </row>
    <row r="84" spans="1:7" s="147" customFormat="1" ht="14.4" x14ac:dyDescent="0.3">
      <c r="A84" s="4"/>
      <c r="B84" s="221" t="s">
        <v>284</v>
      </c>
      <c r="C84" s="198"/>
      <c r="D84" s="199">
        <v>0</v>
      </c>
      <c r="E84" s="199">
        <v>0</v>
      </c>
      <c r="F84" s="199">
        <v>0</v>
      </c>
      <c r="G84" s="199">
        <v>0</v>
      </c>
    </row>
    <row r="85" spans="1:7" s="147" customFormat="1" ht="24" x14ac:dyDescent="0.3">
      <c r="A85" s="4">
        <v>7</v>
      </c>
      <c r="B85" s="221" t="s">
        <v>285</v>
      </c>
      <c r="C85" s="198">
        <f>SUM(D85:G85)</f>
        <v>338608.48434000002</v>
      </c>
      <c r="D85" s="199">
        <v>81537</v>
      </c>
      <c r="E85" s="199">
        <f>D85*1.02</f>
        <v>83167.740000000005</v>
      </c>
      <c r="F85" s="199">
        <f>E85*1.02</f>
        <v>84831.094800000006</v>
      </c>
      <c r="G85" s="199">
        <f t="shared" ref="G85" si="39">F85*1.05</f>
        <v>89072.649540000013</v>
      </c>
    </row>
    <row r="86" spans="1:7" s="149" customFormat="1" ht="14.4" x14ac:dyDescent="0.3">
      <c r="A86" s="4">
        <v>8</v>
      </c>
      <c r="B86" s="221" t="s">
        <v>601</v>
      </c>
      <c r="C86" s="198">
        <f>SUM(D86:G86)</f>
        <v>189066.00100800005</v>
      </c>
      <c r="D86" s="201">
        <f>D87*D88</f>
        <v>42888</v>
      </c>
      <c r="E86" s="201">
        <f t="shared" ref="E86:G86" si="40">E87*E88</f>
        <v>47605.680000000008</v>
      </c>
      <c r="F86" s="201">
        <f t="shared" si="40"/>
        <v>48557.793600000012</v>
      </c>
      <c r="G86" s="201">
        <f t="shared" si="40"/>
        <v>50014.527408000016</v>
      </c>
    </row>
    <row r="87" spans="1:7" s="147" customFormat="1" ht="24" hidden="1" x14ac:dyDescent="0.3">
      <c r="A87" s="4"/>
      <c r="B87" s="221" t="s">
        <v>287</v>
      </c>
      <c r="C87" s="198"/>
      <c r="D87" s="199">
        <v>1</v>
      </c>
      <c r="E87" s="199">
        <v>1</v>
      </c>
      <c r="F87" s="199">
        <v>1</v>
      </c>
      <c r="G87" s="199">
        <v>1</v>
      </c>
    </row>
    <row r="88" spans="1:7" s="147" customFormat="1" ht="14.4" hidden="1" x14ac:dyDescent="0.3">
      <c r="A88" s="4"/>
      <c r="B88" s="221" t="s">
        <v>288</v>
      </c>
      <c r="C88" s="198"/>
      <c r="D88" s="199">
        <v>42888</v>
      </c>
      <c r="E88" s="199">
        <f>D88*1.11</f>
        <v>47605.680000000008</v>
      </c>
      <c r="F88" s="199">
        <f>E88*1.02</f>
        <v>48557.793600000012</v>
      </c>
      <c r="G88" s="199">
        <f>F88*1.03</f>
        <v>50014.527408000016</v>
      </c>
    </row>
    <row r="89" spans="1:7" s="149" customFormat="1" ht="14.4" hidden="1" x14ac:dyDescent="0.3">
      <c r="A89" s="4">
        <v>9</v>
      </c>
      <c r="B89" s="221" t="s">
        <v>289</v>
      </c>
      <c r="C89" s="198">
        <f>SUM(D89:G89)</f>
        <v>0</v>
      </c>
      <c r="D89" s="201">
        <f>D90*D91</f>
        <v>0</v>
      </c>
      <c r="E89" s="201">
        <f t="shared" ref="E89:G89" si="41">E90*E91</f>
        <v>0</v>
      </c>
      <c r="F89" s="201">
        <f t="shared" si="41"/>
        <v>0</v>
      </c>
      <c r="G89" s="201">
        <f t="shared" si="41"/>
        <v>0</v>
      </c>
    </row>
    <row r="90" spans="1:7" s="147" customFormat="1" ht="24" hidden="1" x14ac:dyDescent="0.3">
      <c r="A90" s="4"/>
      <c r="B90" s="221" t="s">
        <v>287</v>
      </c>
      <c r="C90" s="198"/>
      <c r="D90" s="199">
        <v>0</v>
      </c>
      <c r="E90" s="199">
        <v>0</v>
      </c>
      <c r="F90" s="199">
        <v>0</v>
      </c>
      <c r="G90" s="199">
        <v>0</v>
      </c>
    </row>
    <row r="91" spans="1:7" s="147" customFormat="1" ht="14.4" hidden="1" x14ac:dyDescent="0.3">
      <c r="A91" s="4"/>
      <c r="B91" s="221" t="s">
        <v>288</v>
      </c>
      <c r="C91" s="198"/>
      <c r="D91" s="199">
        <v>0</v>
      </c>
      <c r="E91" s="199">
        <v>0</v>
      </c>
      <c r="F91" s="199">
        <v>0</v>
      </c>
      <c r="G91" s="199">
        <v>0</v>
      </c>
    </row>
    <row r="92" spans="1:7" s="149" customFormat="1" ht="14.4" x14ac:dyDescent="0.3">
      <c r="A92" s="4">
        <v>10</v>
      </c>
      <c r="B92" s="221" t="s">
        <v>290</v>
      </c>
      <c r="C92" s="198">
        <f>SUM(D92:G92)</f>
        <v>0</v>
      </c>
      <c r="D92" s="201">
        <f>D93*D94</f>
        <v>0</v>
      </c>
      <c r="E92" s="201">
        <f t="shared" ref="E92" si="42">E93*E94</f>
        <v>0</v>
      </c>
      <c r="F92" s="201">
        <f t="shared" ref="F92" si="43">F93*F94</f>
        <v>0</v>
      </c>
      <c r="G92" s="201">
        <f t="shared" ref="G92" si="44">G93*G94</f>
        <v>0</v>
      </c>
    </row>
    <row r="93" spans="1:7" s="147" customFormat="1" ht="24" x14ac:dyDescent="0.3">
      <c r="A93" s="4"/>
      <c r="B93" s="221" t="s">
        <v>287</v>
      </c>
      <c r="C93" s="198"/>
      <c r="D93" s="199">
        <v>0</v>
      </c>
      <c r="E93" s="199">
        <v>0</v>
      </c>
      <c r="F93" s="199">
        <v>0</v>
      </c>
      <c r="G93" s="199">
        <v>0</v>
      </c>
    </row>
    <row r="94" spans="1:7" s="147" customFormat="1" ht="14.4" x14ac:dyDescent="0.3">
      <c r="A94" s="4"/>
      <c r="B94" s="221" t="s">
        <v>288</v>
      </c>
      <c r="C94" s="198"/>
      <c r="D94" s="199">
        <v>0</v>
      </c>
      <c r="E94" s="199">
        <v>0</v>
      </c>
      <c r="F94" s="199">
        <v>0</v>
      </c>
      <c r="G94" s="199">
        <v>0</v>
      </c>
    </row>
    <row r="95" spans="1:7" s="145" customFormat="1" ht="14.4" x14ac:dyDescent="0.3">
      <c r="A95" s="4"/>
      <c r="B95" s="376" t="s">
        <v>167</v>
      </c>
      <c r="C95" s="198">
        <f>SUM(D95:G95)</f>
        <v>4716529.437384</v>
      </c>
      <c r="D95" s="204">
        <f>D77+D82+D85+D86+D89+D92</f>
        <v>1133127</v>
      </c>
      <c r="E95" s="204">
        <f t="shared" ref="E95:G95" si="45">E77+E82+E85+E86+E89+E92</f>
        <v>1159649.46</v>
      </c>
      <c r="F95" s="204">
        <f t="shared" si="45"/>
        <v>1193131.2096000002</v>
      </c>
      <c r="G95" s="204">
        <f t="shared" si="45"/>
        <v>1230621.7677840004</v>
      </c>
    </row>
    <row r="96" spans="1:7" s="145" customFormat="1" ht="14.4" x14ac:dyDescent="0.3">
      <c r="A96" s="4">
        <v>11</v>
      </c>
      <c r="B96" s="221" t="s">
        <v>291</v>
      </c>
      <c r="C96" s="198">
        <f>SUM(D96:G96)</f>
        <v>2124023.2650000006</v>
      </c>
      <c r="D96" s="204">
        <f>SUM(D97*D98)*D99</f>
        <v>457665</v>
      </c>
      <c r="E96" s="204">
        <f t="shared" ref="E96:G96" si="46">SUM(E97*E98)*E99</f>
        <v>503431.50000000006</v>
      </c>
      <c r="F96" s="204">
        <f t="shared" si="46"/>
        <v>553774.65000000014</v>
      </c>
      <c r="G96" s="204">
        <f t="shared" si="46"/>
        <v>609152.11500000022</v>
      </c>
    </row>
    <row r="97" spans="1:7" s="145" customFormat="1" ht="14.4" x14ac:dyDescent="0.3">
      <c r="A97" s="4"/>
      <c r="B97" s="221" t="s">
        <v>292</v>
      </c>
      <c r="C97" s="198"/>
      <c r="D97" s="199">
        <v>1</v>
      </c>
      <c r="E97" s="199">
        <v>1</v>
      </c>
      <c r="F97" s="199">
        <v>1</v>
      </c>
      <c r="G97" s="199">
        <v>1</v>
      </c>
    </row>
    <row r="98" spans="1:7" s="145" customFormat="1" ht="14.4" x14ac:dyDescent="0.3">
      <c r="A98" s="4"/>
      <c r="B98" s="221" t="s">
        <v>293</v>
      </c>
      <c r="C98" s="198"/>
      <c r="D98" s="199">
        <v>457665</v>
      </c>
      <c r="E98" s="199">
        <f>D98*1.1</f>
        <v>503431.50000000006</v>
      </c>
      <c r="F98" s="199">
        <f>E98*1.1</f>
        <v>553774.65000000014</v>
      </c>
      <c r="G98" s="199">
        <f t="shared" ref="G98" si="47">F98*1.1</f>
        <v>609152.11500000022</v>
      </c>
    </row>
    <row r="99" spans="1:7" s="145" customFormat="1" ht="14.4" x14ac:dyDescent="0.3">
      <c r="A99" s="4"/>
      <c r="B99" s="221" t="s">
        <v>294</v>
      </c>
      <c r="C99" s="198"/>
      <c r="D99" s="199">
        <v>1</v>
      </c>
      <c r="E99" s="199">
        <v>1</v>
      </c>
      <c r="F99" s="199">
        <v>1</v>
      </c>
      <c r="G99" s="199">
        <v>1</v>
      </c>
    </row>
    <row r="100" spans="1:7" s="145" customFormat="1" ht="14.4" x14ac:dyDescent="0.3">
      <c r="A100" s="7">
        <v>12</v>
      </c>
      <c r="B100" s="6" t="s">
        <v>320</v>
      </c>
      <c r="C100" s="198"/>
      <c r="D100" s="199">
        <f>D96*2.25%</f>
        <v>10297.4625</v>
      </c>
      <c r="E100" s="199">
        <f t="shared" ref="E100:G100" si="48">E96*2.25%</f>
        <v>11327.208750000002</v>
      </c>
      <c r="F100" s="199">
        <f t="shared" si="48"/>
        <v>12459.929625000002</v>
      </c>
      <c r="G100" s="199">
        <f t="shared" si="48"/>
        <v>13705.922587500005</v>
      </c>
    </row>
    <row r="101" spans="1:7" s="147" customFormat="1" ht="14.4" x14ac:dyDescent="0.3">
      <c r="A101" s="4"/>
      <c r="B101" s="376" t="s">
        <v>125</v>
      </c>
      <c r="C101" s="198">
        <f>SUM(D101:G101)</f>
        <v>2171813.7884625006</v>
      </c>
      <c r="D101" s="200">
        <f>D100+D96</f>
        <v>467962.46250000002</v>
      </c>
      <c r="E101" s="200">
        <f t="shared" ref="E101:G101" si="49">E100+E96</f>
        <v>514758.70875000005</v>
      </c>
      <c r="F101" s="200">
        <f t="shared" si="49"/>
        <v>566234.57962500013</v>
      </c>
      <c r="G101" s="200">
        <f t="shared" si="49"/>
        <v>622858.03758750018</v>
      </c>
    </row>
    <row r="102" spans="1:7" s="147" customFormat="1" ht="36" x14ac:dyDescent="0.3">
      <c r="A102" s="4">
        <v>13</v>
      </c>
      <c r="B102" s="6" t="s">
        <v>264</v>
      </c>
      <c r="C102" s="198">
        <f>SUM(D102:G102)</f>
        <v>0</v>
      </c>
      <c r="D102" s="259">
        <f>'1B-ContPP'!D22*1.19*1.05</f>
        <v>0</v>
      </c>
      <c r="E102" s="259">
        <f>D102*1.05</f>
        <v>0</v>
      </c>
      <c r="F102" s="259">
        <f>E102*1.05</f>
        <v>0</v>
      </c>
      <c r="G102" s="259">
        <f t="shared" ref="G102" si="50">F102*1.05</f>
        <v>0</v>
      </c>
    </row>
    <row r="103" spans="1:7" s="147" customFormat="1" ht="24" x14ac:dyDescent="0.3">
      <c r="A103" s="4"/>
      <c r="B103" s="375" t="s">
        <v>296</v>
      </c>
      <c r="C103" s="198">
        <f>SUM(D103:G103)</f>
        <v>3925252.8715499998</v>
      </c>
      <c r="D103" s="271">
        <f>D104*D105</f>
        <v>945225</v>
      </c>
      <c r="E103" s="271">
        <f t="shared" ref="E103:G103" si="51">E104*E105</f>
        <v>964129.5</v>
      </c>
      <c r="F103" s="271">
        <f t="shared" si="51"/>
        <v>993053.38500000001</v>
      </c>
      <c r="G103" s="271">
        <f t="shared" si="51"/>
        <v>1022844.98655</v>
      </c>
    </row>
    <row r="104" spans="1:7" s="147" customFormat="1" ht="14.4" x14ac:dyDescent="0.3">
      <c r="A104" s="4"/>
      <c r="B104" s="221" t="s">
        <v>295</v>
      </c>
      <c r="C104" s="198"/>
      <c r="D104" s="259">
        <v>1</v>
      </c>
      <c r="E104" s="259">
        <v>1</v>
      </c>
      <c r="F104" s="259">
        <v>1</v>
      </c>
      <c r="G104" s="259">
        <v>1</v>
      </c>
    </row>
    <row r="105" spans="1:7" s="147" customFormat="1" ht="14.4" x14ac:dyDescent="0.3">
      <c r="A105" s="4"/>
      <c r="B105" s="221" t="s">
        <v>277</v>
      </c>
      <c r="C105" s="198"/>
      <c r="D105" s="259">
        <v>945225</v>
      </c>
      <c r="E105" s="259">
        <f>D105*1.02</f>
        <v>964129.5</v>
      </c>
      <c r="F105" s="259">
        <f>E105*1.03</f>
        <v>993053.38500000001</v>
      </c>
      <c r="G105" s="259">
        <f>F105*1.03</f>
        <v>1022844.98655</v>
      </c>
    </row>
    <row r="106" spans="1:7" s="148" customFormat="1" ht="36" x14ac:dyDescent="0.3">
      <c r="A106" s="7">
        <v>14</v>
      </c>
      <c r="B106" s="374" t="s">
        <v>297</v>
      </c>
      <c r="C106" s="198">
        <f t="shared" ref="C106:C113" si="52">SUM(D106:G106)</f>
        <v>157742.18137599999</v>
      </c>
      <c r="D106" s="259">
        <v>38272</v>
      </c>
      <c r="E106" s="259">
        <f>D106*1.02</f>
        <v>39037.440000000002</v>
      </c>
      <c r="F106" s="259">
        <f>E106*1.02</f>
        <v>39818.188800000004</v>
      </c>
      <c r="G106" s="259">
        <f>F106*1.02</f>
        <v>40614.552576000002</v>
      </c>
    </row>
    <row r="107" spans="1:7" s="148" customFormat="1" ht="24" x14ac:dyDescent="0.3">
      <c r="A107" s="7"/>
      <c r="B107" s="374" t="s">
        <v>317</v>
      </c>
      <c r="C107" s="198">
        <f t="shared" si="52"/>
        <v>7046085.407222501</v>
      </c>
      <c r="D107" s="201">
        <f t="shared" ref="D107:G107" si="53">D95+D101+D102+D106</f>
        <v>1639361.4624999999</v>
      </c>
      <c r="E107" s="201">
        <f t="shared" si="53"/>
        <v>1713445.6087499999</v>
      </c>
      <c r="F107" s="201">
        <f t="shared" si="53"/>
        <v>1799183.9780250005</v>
      </c>
      <c r="G107" s="201">
        <f t="shared" si="53"/>
        <v>1894094.3579475007</v>
      </c>
    </row>
    <row r="108" spans="1:7" s="148" customFormat="1" ht="24" x14ac:dyDescent="0.3">
      <c r="A108" s="7"/>
      <c r="B108" s="374" t="s">
        <v>302</v>
      </c>
      <c r="C108" s="198">
        <f t="shared" si="52"/>
        <v>8603331.2383714728</v>
      </c>
      <c r="D108" s="201">
        <f t="shared" ref="D108:G108" si="54">D74-D107</f>
        <v>1695658.4243000001</v>
      </c>
      <c r="E108" s="201">
        <f t="shared" si="54"/>
        <v>2308274.6757859997</v>
      </c>
      <c r="F108" s="201">
        <f t="shared" si="54"/>
        <v>2302970.7122017192</v>
      </c>
      <c r="G108" s="201">
        <f t="shared" si="54"/>
        <v>2296427.4260837538</v>
      </c>
    </row>
    <row r="109" spans="1:7" s="148" customFormat="1" x14ac:dyDescent="0.3">
      <c r="A109" s="7">
        <v>15</v>
      </c>
      <c r="B109" s="8" t="s">
        <v>223</v>
      </c>
      <c r="C109" s="198">
        <f t="shared" si="52"/>
        <v>1914088.1294051553</v>
      </c>
      <c r="D109" s="199">
        <f>(D65+D68+D71)*0.19/1.19-(D77-D82-D85-D86)*0.19/1.19</f>
        <v>391295.08276638656</v>
      </c>
      <c r="E109" s="199">
        <f t="shared" ref="E109:G109" si="55">(E65+E68+E71)*0.19/1.19-(E77-E82-E85-E86)*0.19/1.19</f>
        <v>498728.8708082689</v>
      </c>
      <c r="F109" s="199">
        <f t="shared" si="55"/>
        <v>507060.70496729133</v>
      </c>
      <c r="G109" s="199">
        <f t="shared" si="55"/>
        <v>517003.47086320876</v>
      </c>
    </row>
    <row r="110" spans="1:7" s="148" customFormat="1" x14ac:dyDescent="0.3">
      <c r="A110" s="7">
        <v>16</v>
      </c>
      <c r="B110" s="8" t="s">
        <v>224</v>
      </c>
      <c r="C110" s="198">
        <f t="shared" si="52"/>
        <v>0</v>
      </c>
      <c r="D110" s="199"/>
      <c r="E110" s="199">
        <v>0</v>
      </c>
      <c r="F110" s="199">
        <v>0</v>
      </c>
      <c r="G110" s="199">
        <v>0</v>
      </c>
    </row>
    <row r="111" spans="1:7" s="148" customFormat="1" x14ac:dyDescent="0.3">
      <c r="A111" s="7">
        <v>17</v>
      </c>
      <c r="B111" s="8" t="s">
        <v>298</v>
      </c>
      <c r="C111" s="198">
        <f t="shared" si="52"/>
        <v>131507.70290415105</v>
      </c>
      <c r="D111" s="199">
        <f>(D74/1.19)*1/100</f>
        <v>28025.377200000003</v>
      </c>
      <c r="E111" s="199">
        <f t="shared" ref="E111:G111" si="56">(E74/1.19)*1/100</f>
        <v>33795.968777613445</v>
      </c>
      <c r="F111" s="199">
        <f t="shared" si="56"/>
        <v>34471.888153165717</v>
      </c>
      <c r="G111" s="199">
        <f t="shared" si="56"/>
        <v>35214.468773371882</v>
      </c>
    </row>
    <row r="112" spans="1:7" s="148" customFormat="1" ht="24" x14ac:dyDescent="0.3">
      <c r="A112" s="7"/>
      <c r="B112" s="374" t="s">
        <v>303</v>
      </c>
      <c r="C112" s="198">
        <f t="shared" si="52"/>
        <v>2045595.8323093066</v>
      </c>
      <c r="D112" s="201">
        <f t="shared" ref="D112" si="57">D109-D110+D111</f>
        <v>419320.45996638655</v>
      </c>
      <c r="E112" s="201">
        <f t="shared" ref="E112" si="58">E109-E110+E111</f>
        <v>532524.83958588238</v>
      </c>
      <c r="F112" s="201">
        <f t="shared" ref="F112" si="59">F109-F110+F111</f>
        <v>541532.59312045702</v>
      </c>
      <c r="G112" s="201">
        <f t="shared" ref="G112" si="60">G109-G110+G111</f>
        <v>552217.93963658065</v>
      </c>
    </row>
    <row r="113" spans="1:11" s="147" customFormat="1" ht="24" x14ac:dyDescent="0.3">
      <c r="A113" s="33"/>
      <c r="B113" s="376" t="s">
        <v>304</v>
      </c>
      <c r="C113" s="198">
        <f t="shared" si="52"/>
        <v>6557735.4060621662</v>
      </c>
      <c r="D113" s="198">
        <f t="shared" ref="D113" si="61">D108-D112</f>
        <v>1276337.9643336134</v>
      </c>
      <c r="E113" s="198">
        <f t="shared" ref="E113" si="62">E108-E112</f>
        <v>1775749.8362001174</v>
      </c>
      <c r="F113" s="198">
        <f t="shared" ref="F113" si="63">F108-F112</f>
        <v>1761438.119081262</v>
      </c>
      <c r="G113" s="198">
        <f t="shared" ref="G113" si="64">G108-G112</f>
        <v>1744209.4864471732</v>
      </c>
    </row>
    <row r="114" spans="1:11" s="147" customFormat="1" ht="14.4" x14ac:dyDescent="0.3">
      <c r="A114" s="10"/>
      <c r="B114" s="222"/>
      <c r="C114" s="203"/>
      <c r="D114" s="203"/>
      <c r="E114" s="203"/>
      <c r="F114" s="203"/>
      <c r="G114" s="203"/>
      <c r="H114" s="203"/>
      <c r="I114" s="203"/>
      <c r="J114" s="203"/>
      <c r="K114" s="203"/>
    </row>
    <row r="115" spans="1:11" s="152" customFormat="1" ht="13.2" x14ac:dyDescent="0.3">
      <c r="A115" s="499" t="s">
        <v>230</v>
      </c>
      <c r="B115" s="499"/>
      <c r="C115" s="499"/>
      <c r="D115" s="499"/>
      <c r="E115" s="499"/>
      <c r="F115" s="499"/>
      <c r="G115" s="499"/>
      <c r="H115" s="230"/>
      <c r="I115" s="230"/>
      <c r="J115" s="230"/>
      <c r="K115" s="230"/>
    </row>
    <row r="116" spans="1:11" ht="36" x14ac:dyDescent="0.3">
      <c r="A116" s="402" t="s">
        <v>241</v>
      </c>
      <c r="B116" s="232"/>
      <c r="C116" s="260" t="s">
        <v>448</v>
      </c>
      <c r="D116" s="401" t="s">
        <v>598</v>
      </c>
      <c r="E116" s="225"/>
      <c r="F116" s="225"/>
      <c r="G116" s="225"/>
      <c r="H116" s="225"/>
      <c r="I116" s="225"/>
      <c r="J116" s="225"/>
      <c r="K116" s="151"/>
    </row>
    <row r="117" spans="1:11" s="155" customFormat="1" ht="24" x14ac:dyDescent="0.3">
      <c r="A117" s="11">
        <v>19</v>
      </c>
      <c r="B117" s="8" t="s">
        <v>200</v>
      </c>
      <c r="C117" s="204">
        <f>SUM(D117:D117)</f>
        <v>720025.7</v>
      </c>
      <c r="D117" s="201">
        <f>'2B-Investitie'!E27</f>
        <v>720025.7</v>
      </c>
      <c r="E117" s="205"/>
      <c r="F117" s="205"/>
      <c r="G117" s="205"/>
      <c r="H117" s="205"/>
      <c r="I117" s="205"/>
      <c r="J117" s="205"/>
    </row>
    <row r="118" spans="1:11" s="155" customFormat="1" x14ac:dyDescent="0.3">
      <c r="A118" s="11">
        <v>20</v>
      </c>
      <c r="B118" s="8" t="s">
        <v>312</v>
      </c>
      <c r="C118" s="204">
        <f>SUM(D118:D118)</f>
        <v>0</v>
      </c>
      <c r="D118" s="201">
        <f>'2B-Investitie'!E28</f>
        <v>0</v>
      </c>
      <c r="E118" s="205"/>
      <c r="F118" s="205"/>
      <c r="G118" s="205"/>
      <c r="H118" s="205"/>
      <c r="I118" s="205"/>
      <c r="J118" s="205"/>
    </row>
    <row r="119" spans="1:11" s="155" customFormat="1" x14ac:dyDescent="0.3">
      <c r="A119" s="11">
        <v>21</v>
      </c>
      <c r="B119" s="8" t="s">
        <v>450</v>
      </c>
      <c r="C119" s="204">
        <f>SUM(D119:D119)</f>
        <v>684614.6</v>
      </c>
      <c r="D119" s="201">
        <f>'2B-Investitie'!E29</f>
        <v>684614.6</v>
      </c>
      <c r="E119" s="205"/>
      <c r="F119" s="205"/>
      <c r="G119" s="205"/>
      <c r="H119" s="205"/>
      <c r="I119" s="205"/>
      <c r="J119" s="205"/>
    </row>
    <row r="120" spans="1:11" s="153" customFormat="1" ht="24" x14ac:dyDescent="0.3">
      <c r="A120" s="226"/>
      <c r="B120" s="227" t="s">
        <v>318</v>
      </c>
      <c r="C120" s="228">
        <f>SUM(D120:D120)</f>
        <v>1404640.2999999998</v>
      </c>
      <c r="D120" s="228">
        <f t="shared" ref="D120" si="65">SUM(D117:D119)</f>
        <v>1404640.2999999998</v>
      </c>
      <c r="E120" s="206"/>
      <c r="F120" s="206"/>
      <c r="G120" s="206"/>
      <c r="H120" s="206"/>
      <c r="I120" s="206"/>
      <c r="J120" s="206"/>
    </row>
    <row r="121" spans="1:11" s="155" customFormat="1" ht="36" x14ac:dyDescent="0.3">
      <c r="A121" s="232" t="s">
        <v>242</v>
      </c>
      <c r="B121" s="232"/>
      <c r="C121" s="260" t="s">
        <v>448</v>
      </c>
      <c r="D121" s="401" t="s">
        <v>598</v>
      </c>
      <c r="E121" s="396" t="s">
        <v>340</v>
      </c>
      <c r="F121" s="396" t="s">
        <v>341</v>
      </c>
      <c r="G121" s="396" t="s">
        <v>342</v>
      </c>
    </row>
    <row r="122" spans="1:11" s="155" customFormat="1" x14ac:dyDescent="0.3">
      <c r="A122" s="11">
        <v>22</v>
      </c>
      <c r="B122" s="8" t="s">
        <v>313</v>
      </c>
      <c r="C122" s="204">
        <f>SUM(D122:D122)</f>
        <v>0</v>
      </c>
      <c r="D122" s="351">
        <f>'2B-Investitie'!D37</f>
        <v>0</v>
      </c>
      <c r="E122" s="351">
        <f>'2B-Investitie'!E37</f>
        <v>0</v>
      </c>
      <c r="F122" s="351">
        <f>'2B-Investitie'!F37</f>
        <v>0</v>
      </c>
      <c r="G122" s="351">
        <f>'2B-Investitie'!G37</f>
        <v>0</v>
      </c>
    </row>
    <row r="123" spans="1:11" s="155" customFormat="1" x14ac:dyDescent="0.3">
      <c r="A123" s="11"/>
      <c r="B123" s="13" t="s">
        <v>487</v>
      </c>
      <c r="C123" s="204">
        <f>SUM(D123:D123)</f>
        <v>0</v>
      </c>
      <c r="D123" s="201">
        <f>'2B-Investitie'!D35</f>
        <v>0</v>
      </c>
      <c r="E123" s="201">
        <f>'2B-Investitie'!E35</f>
        <v>0</v>
      </c>
      <c r="F123" s="201">
        <f>'2B-Investitie'!F35</f>
        <v>0</v>
      </c>
      <c r="G123" s="201">
        <f>'2B-Investitie'!G35</f>
        <v>0</v>
      </c>
    </row>
    <row r="124" spans="1:11" s="153" customFormat="1" ht="24" x14ac:dyDescent="0.3">
      <c r="A124" s="12"/>
      <c r="B124" s="17" t="s">
        <v>319</v>
      </c>
      <c r="C124" s="204">
        <f>SUM(D124:D124)</f>
        <v>0</v>
      </c>
      <c r="D124" s="204">
        <f>D122</f>
        <v>0</v>
      </c>
      <c r="E124" s="204">
        <f t="shared" ref="E124:G124" si="66">E122</f>
        <v>0</v>
      </c>
      <c r="F124" s="204">
        <f t="shared" si="66"/>
        <v>0</v>
      </c>
      <c r="G124" s="204">
        <f t="shared" si="66"/>
        <v>0</v>
      </c>
    </row>
    <row r="125" spans="1:11" s="149" customFormat="1" ht="14.4" x14ac:dyDescent="0.3">
      <c r="A125" s="33"/>
      <c r="B125" s="194" t="s">
        <v>237</v>
      </c>
      <c r="C125" s="198">
        <f>SUM(D125:D125)</f>
        <v>1404640.2999999998</v>
      </c>
      <c r="D125" s="198">
        <f>D120-D124</f>
        <v>1404640.2999999998</v>
      </c>
      <c r="E125" s="198">
        <f t="shared" ref="E125:G125" si="67">E120-E124</f>
        <v>0</v>
      </c>
      <c r="F125" s="198">
        <f t="shared" si="67"/>
        <v>0</v>
      </c>
      <c r="G125" s="198">
        <f t="shared" si="67"/>
        <v>0</v>
      </c>
    </row>
    <row r="126" spans="1:11" s="149" customFormat="1" ht="14.4" x14ac:dyDescent="0.3">
      <c r="A126" s="10"/>
      <c r="B126" s="222"/>
      <c r="C126" s="203"/>
      <c r="D126" s="203"/>
    </row>
    <row r="127" spans="1:11" s="153" customFormat="1" ht="27" customHeight="1" x14ac:dyDescent="0.3">
      <c r="A127" s="492" t="s">
        <v>564</v>
      </c>
      <c r="B127" s="494"/>
      <c r="C127" s="260" t="s">
        <v>448</v>
      </c>
      <c r="D127" s="401" t="s">
        <v>598</v>
      </c>
      <c r="E127" s="396" t="s">
        <v>340</v>
      </c>
      <c r="F127" s="396" t="s">
        <v>341</v>
      </c>
      <c r="G127" s="396" t="s">
        <v>342</v>
      </c>
    </row>
    <row r="128" spans="1:11" s="155" customFormat="1" x14ac:dyDescent="0.3">
      <c r="A128" s="11">
        <v>23</v>
      </c>
      <c r="B128" s="8" t="s">
        <v>261</v>
      </c>
      <c r="C128" s="204">
        <f t="shared" ref="C128:C133" si="68">SUM(D128:D128)</f>
        <v>1404640</v>
      </c>
      <c r="D128" s="199">
        <v>1404640</v>
      </c>
      <c r="E128" s="199">
        <v>0</v>
      </c>
      <c r="F128" s="199">
        <v>0</v>
      </c>
      <c r="G128" s="199">
        <v>0</v>
      </c>
    </row>
    <row r="129" spans="1:7" s="155" customFormat="1" x14ac:dyDescent="0.3">
      <c r="A129" s="11">
        <v>24</v>
      </c>
      <c r="B129" s="8" t="s">
        <v>262</v>
      </c>
      <c r="C129" s="204">
        <f t="shared" si="68"/>
        <v>0</v>
      </c>
      <c r="D129" s="199">
        <v>0</v>
      </c>
      <c r="E129" s="199">
        <v>0</v>
      </c>
      <c r="F129" s="199">
        <v>0</v>
      </c>
      <c r="G129" s="199">
        <v>0</v>
      </c>
    </row>
    <row r="130" spans="1:7" s="155" customFormat="1" x14ac:dyDescent="0.3">
      <c r="A130" s="11">
        <v>25</v>
      </c>
      <c r="B130" s="8" t="s">
        <v>484</v>
      </c>
      <c r="C130" s="204">
        <f t="shared" si="68"/>
        <v>0</v>
      </c>
      <c r="D130" s="199">
        <v>0</v>
      </c>
      <c r="E130" s="199">
        <v>0</v>
      </c>
      <c r="F130" s="199">
        <v>0</v>
      </c>
      <c r="G130" s="199">
        <v>0</v>
      </c>
    </row>
    <row r="131" spans="1:7" s="153" customFormat="1" ht="13.2" x14ac:dyDescent="0.3">
      <c r="A131" s="12"/>
      <c r="B131" s="17" t="s">
        <v>491</v>
      </c>
      <c r="C131" s="204">
        <f t="shared" si="68"/>
        <v>1404640</v>
      </c>
      <c r="D131" s="204">
        <f t="shared" ref="D131:G131" si="69">SUM(D128:D130)</f>
        <v>1404640</v>
      </c>
      <c r="E131" s="204">
        <f t="shared" si="69"/>
        <v>0</v>
      </c>
      <c r="F131" s="204">
        <f t="shared" si="69"/>
        <v>0</v>
      </c>
      <c r="G131" s="204">
        <f t="shared" si="69"/>
        <v>0</v>
      </c>
    </row>
    <row r="132" spans="1:7" s="149" customFormat="1" ht="14.4" x14ac:dyDescent="0.3">
      <c r="A132" s="33"/>
      <c r="B132" s="194" t="s">
        <v>490</v>
      </c>
      <c r="C132" s="198">
        <f t="shared" si="68"/>
        <v>-1404640</v>
      </c>
      <c r="D132" s="198">
        <f>-D131</f>
        <v>-1404640</v>
      </c>
      <c r="E132" s="198">
        <f t="shared" ref="E132:G132" si="70">-E131</f>
        <v>0</v>
      </c>
      <c r="F132" s="198">
        <f t="shared" si="70"/>
        <v>0</v>
      </c>
      <c r="G132" s="198">
        <f t="shared" si="70"/>
        <v>0</v>
      </c>
    </row>
    <row r="133" spans="1:7" s="149" customFormat="1" ht="14.4" x14ac:dyDescent="0.3">
      <c r="A133" s="508" t="s">
        <v>488</v>
      </c>
      <c r="B133" s="508"/>
      <c r="C133" s="198">
        <f t="shared" si="68"/>
        <v>0.29999999981373549</v>
      </c>
      <c r="D133" s="198">
        <f>D125+D132</f>
        <v>0.29999999981373549</v>
      </c>
      <c r="E133" s="198">
        <f t="shared" ref="E133:G133" si="71">E125+E132</f>
        <v>0</v>
      </c>
      <c r="F133" s="198">
        <f t="shared" si="71"/>
        <v>0</v>
      </c>
      <c r="G133" s="198">
        <f t="shared" si="71"/>
        <v>0</v>
      </c>
    </row>
    <row r="134" spans="1:7" s="149" customFormat="1" ht="14.4" x14ac:dyDescent="0.3">
      <c r="A134" s="222"/>
      <c r="B134" s="222"/>
      <c r="C134" s="203"/>
      <c r="D134" s="203"/>
      <c r="E134" s="203"/>
      <c r="F134" s="203"/>
      <c r="G134" s="203"/>
    </row>
    <row r="135" spans="1:7" s="149" customFormat="1" ht="36" x14ac:dyDescent="0.3">
      <c r="A135" s="509" t="s">
        <v>489</v>
      </c>
      <c r="B135" s="509"/>
      <c r="C135" s="260" t="s">
        <v>448</v>
      </c>
      <c r="D135" s="401" t="s">
        <v>598</v>
      </c>
      <c r="E135" s="396" t="s">
        <v>340</v>
      </c>
      <c r="F135" s="396" t="s">
        <v>341</v>
      </c>
      <c r="G135" s="396" t="s">
        <v>342</v>
      </c>
    </row>
    <row r="136" spans="1:7" s="149" customFormat="1" ht="14.4" x14ac:dyDescent="0.3">
      <c r="A136" s="509"/>
      <c r="B136" s="509"/>
      <c r="C136" s="198">
        <f>SUM(D136:G136)</f>
        <v>6557735.7060621651</v>
      </c>
      <c r="D136" s="198">
        <f>D113+D133</f>
        <v>1276338.2643336132</v>
      </c>
      <c r="E136" s="198">
        <f t="shared" ref="E136:G136" si="72">E113+E133</f>
        <v>1775749.8362001174</v>
      </c>
      <c r="F136" s="198">
        <f t="shared" si="72"/>
        <v>1761438.119081262</v>
      </c>
      <c r="G136" s="198">
        <f t="shared" si="72"/>
        <v>1744209.4864471732</v>
      </c>
    </row>
    <row r="137" spans="1:7" s="148" customFormat="1" x14ac:dyDescent="0.3">
      <c r="A137" s="507" t="s">
        <v>267</v>
      </c>
      <c r="B137" s="507"/>
      <c r="C137" s="204"/>
      <c r="D137" s="202">
        <f>'1A-Bilant'!C28</f>
        <v>437352</v>
      </c>
      <c r="E137" s="202">
        <f>D138</f>
        <v>1713690.2643336132</v>
      </c>
      <c r="F137" s="202">
        <f>E138</f>
        <v>3489440.1005337304</v>
      </c>
      <c r="G137" s="202">
        <f t="shared" ref="G137" si="73">F138</f>
        <v>5250878.2196149919</v>
      </c>
    </row>
    <row r="138" spans="1:7" s="148" customFormat="1" ht="21.75" customHeight="1" x14ac:dyDescent="0.3">
      <c r="A138" s="507" t="s">
        <v>228</v>
      </c>
      <c r="B138" s="507"/>
      <c r="C138" s="204"/>
      <c r="D138" s="202">
        <f>D137+D136</f>
        <v>1713690.2643336132</v>
      </c>
      <c r="E138" s="202">
        <f>E137+E136</f>
        <v>3489440.1005337304</v>
      </c>
      <c r="F138" s="202">
        <f>F137+F136</f>
        <v>5250878.2196149919</v>
      </c>
      <c r="G138" s="202">
        <f t="shared" ref="G138" si="74">G137+G136</f>
        <v>6995087.7060621651</v>
      </c>
    </row>
    <row r="139" spans="1:7" s="148" customFormat="1" ht="21.75" customHeight="1" x14ac:dyDescent="0.3">
      <c r="A139" s="361"/>
      <c r="B139" s="361"/>
      <c r="C139" s="206"/>
      <c r="D139" s="362"/>
      <c r="E139" s="362"/>
      <c r="F139" s="362"/>
      <c r="G139" s="362"/>
    </row>
    <row r="140" spans="1:7" s="145" customFormat="1" ht="14.4" customHeight="1" x14ac:dyDescent="0.3">
      <c r="A140" s="495" t="s">
        <v>486</v>
      </c>
      <c r="B140" s="495"/>
      <c r="C140" s="495"/>
      <c r="D140" s="495"/>
      <c r="E140" s="495"/>
      <c r="F140" s="495"/>
      <c r="G140" s="495"/>
    </row>
    <row r="141" spans="1:7" s="144" customFormat="1" ht="14.4" customHeight="1" x14ac:dyDescent="0.3">
      <c r="A141" s="500" t="s">
        <v>463</v>
      </c>
      <c r="B141" s="501"/>
      <c r="C141" s="502" t="s">
        <v>448</v>
      </c>
      <c r="D141" s="496" t="s">
        <v>172</v>
      </c>
      <c r="E141" s="497"/>
      <c r="F141" s="497"/>
      <c r="G141" s="498"/>
    </row>
    <row r="142" spans="1:7" s="144" customFormat="1" ht="36" x14ac:dyDescent="0.3">
      <c r="A142" s="500"/>
      <c r="B142" s="501"/>
      <c r="C142" s="502"/>
      <c r="D142" s="401" t="s">
        <v>598</v>
      </c>
      <c r="E142" s="396" t="s">
        <v>340</v>
      </c>
      <c r="F142" s="396" t="s">
        <v>341</v>
      </c>
      <c r="G142" s="396" t="s">
        <v>342</v>
      </c>
    </row>
    <row r="143" spans="1:7" s="144" customFormat="1" ht="14.4" x14ac:dyDescent="0.3">
      <c r="A143" s="503" t="s">
        <v>239</v>
      </c>
      <c r="B143" s="504"/>
      <c r="C143" s="504"/>
      <c r="D143" s="504"/>
      <c r="E143" s="504"/>
      <c r="F143" s="504"/>
      <c r="G143" s="505"/>
    </row>
    <row r="144" spans="1:7" s="144" customFormat="1" ht="14.4" x14ac:dyDescent="0.3">
      <c r="A144" s="489" t="s">
        <v>305</v>
      </c>
      <c r="B144" s="490"/>
      <c r="C144" s="490"/>
      <c r="D144" s="490"/>
      <c r="E144" s="490"/>
      <c r="F144" s="490"/>
      <c r="G144" s="491"/>
    </row>
    <row r="145" spans="1:7" s="144" customFormat="1" ht="14.4" customHeight="1" x14ac:dyDescent="0.3">
      <c r="A145" s="492" t="s">
        <v>492</v>
      </c>
      <c r="B145" s="493"/>
      <c r="C145" s="493"/>
      <c r="D145" s="493"/>
      <c r="E145" s="493"/>
      <c r="F145" s="493"/>
      <c r="G145" s="494"/>
    </row>
    <row r="146" spans="1:7" s="144" customFormat="1" ht="14.4" x14ac:dyDescent="0.3">
      <c r="A146" s="4">
        <v>1</v>
      </c>
      <c r="B146" s="221" t="s">
        <v>163</v>
      </c>
      <c r="C146" s="198">
        <f>SUM(D146:G146)</f>
        <v>0</v>
      </c>
      <c r="D146" s="202">
        <f t="shared" ref="D146:G146" si="75">D65-D9</f>
        <v>0</v>
      </c>
      <c r="E146" s="202">
        <f t="shared" si="75"/>
        <v>0</v>
      </c>
      <c r="F146" s="202">
        <f t="shared" si="75"/>
        <v>0</v>
      </c>
      <c r="G146" s="202">
        <f t="shared" si="75"/>
        <v>0</v>
      </c>
    </row>
    <row r="147" spans="1:7" s="144" customFormat="1" ht="14.4" x14ac:dyDescent="0.3">
      <c r="A147" s="4">
        <v>2</v>
      </c>
      <c r="B147" s="221" t="s">
        <v>164</v>
      </c>
      <c r="C147" s="198">
        <f>SUM(D147:G147)</f>
        <v>1903772</v>
      </c>
      <c r="D147" s="202">
        <f t="shared" ref="D147:G147" si="76">D68-D12</f>
        <v>0</v>
      </c>
      <c r="E147" s="202">
        <f t="shared" si="76"/>
        <v>620000</v>
      </c>
      <c r="F147" s="202">
        <f t="shared" si="76"/>
        <v>632400</v>
      </c>
      <c r="G147" s="202">
        <f t="shared" si="76"/>
        <v>651372</v>
      </c>
    </row>
    <row r="148" spans="1:7" s="144" customFormat="1" ht="14.4" x14ac:dyDescent="0.3">
      <c r="A148" s="4">
        <v>3</v>
      </c>
      <c r="B148" s="221" t="s">
        <v>165</v>
      </c>
      <c r="C148" s="198">
        <f>SUM(D148:G148)</f>
        <v>204126.5622113673</v>
      </c>
      <c r="D148" s="202">
        <f t="shared" ref="D148:G148" si="77">D71-D15</f>
        <v>0</v>
      </c>
      <c r="E148" s="202">
        <f t="shared" si="77"/>
        <v>33350.198867999949</v>
      </c>
      <c r="F148" s="202">
        <f t="shared" si="77"/>
        <v>67700.903702039737</v>
      </c>
      <c r="G148" s="202">
        <f t="shared" si="77"/>
        <v>103075.45964132762</v>
      </c>
    </row>
    <row r="149" spans="1:7" s="149" customFormat="1" ht="23.25" customHeight="1" x14ac:dyDescent="0.3">
      <c r="A149" s="518" t="s">
        <v>306</v>
      </c>
      <c r="B149" s="519"/>
      <c r="C149" s="198">
        <f>SUM(D149:G149)</f>
        <v>2107898.5622113673</v>
      </c>
      <c r="D149" s="198">
        <f t="shared" ref="D149:G149" si="78">D74-D18</f>
        <v>0</v>
      </c>
      <c r="E149" s="198">
        <f t="shared" si="78"/>
        <v>653350.19886799995</v>
      </c>
      <c r="F149" s="198">
        <f t="shared" si="78"/>
        <v>700100.90370203974</v>
      </c>
      <c r="G149" s="198">
        <f t="shared" si="78"/>
        <v>754447.45964132762</v>
      </c>
    </row>
    <row r="150" spans="1:7" s="149" customFormat="1" ht="14.4" x14ac:dyDescent="0.3">
      <c r="A150" s="489" t="s">
        <v>245</v>
      </c>
      <c r="B150" s="490"/>
      <c r="C150" s="490"/>
      <c r="D150" s="490"/>
      <c r="E150" s="490"/>
      <c r="F150" s="490"/>
      <c r="G150" s="491"/>
    </row>
    <row r="151" spans="1:7" s="149" customFormat="1" ht="14.4" customHeight="1" x14ac:dyDescent="0.3">
      <c r="A151" s="492" t="s">
        <v>493</v>
      </c>
      <c r="B151" s="493"/>
      <c r="C151" s="493"/>
      <c r="D151" s="493"/>
      <c r="E151" s="493"/>
      <c r="F151" s="493"/>
      <c r="G151" s="494"/>
    </row>
    <row r="152" spans="1:7" s="144" customFormat="1" ht="24" x14ac:dyDescent="0.3">
      <c r="A152" s="4">
        <v>5</v>
      </c>
      <c r="B152" s="6" t="s">
        <v>168</v>
      </c>
      <c r="C152" s="198">
        <f t="shared" ref="C152:C171" si="79">SUM(D152:G152)</f>
        <v>93121.209835653659</v>
      </c>
      <c r="D152" s="202">
        <f t="shared" ref="D152:G152" si="80">D77-D21</f>
        <v>0.2136000000173226</v>
      </c>
      <c r="E152" s="202">
        <f t="shared" si="80"/>
        <v>10087.235736000002</v>
      </c>
      <c r="F152" s="202">
        <f t="shared" si="80"/>
        <v>30765.62889336003</v>
      </c>
      <c r="G152" s="202">
        <f t="shared" si="80"/>
        <v>52268.131606293609</v>
      </c>
    </row>
    <row r="153" spans="1:7" s="144" customFormat="1" ht="14.4" x14ac:dyDescent="0.3">
      <c r="A153" s="4">
        <v>6</v>
      </c>
      <c r="B153" s="6" t="s">
        <v>169</v>
      </c>
      <c r="C153" s="198">
        <f t="shared" si="79"/>
        <v>0</v>
      </c>
      <c r="D153" s="202">
        <f t="shared" ref="D153:G153" si="81">D82-D26</f>
        <v>0</v>
      </c>
      <c r="E153" s="202">
        <f t="shared" si="81"/>
        <v>0</v>
      </c>
      <c r="F153" s="202">
        <f t="shared" si="81"/>
        <v>0</v>
      </c>
      <c r="G153" s="202">
        <f t="shared" si="81"/>
        <v>0</v>
      </c>
    </row>
    <row r="154" spans="1:7" s="144" customFormat="1" ht="24" x14ac:dyDescent="0.3">
      <c r="A154" s="4">
        <v>7</v>
      </c>
      <c r="B154" s="221" t="s">
        <v>285</v>
      </c>
      <c r="C154" s="198">
        <f t="shared" si="79"/>
        <v>7535.5070969850349</v>
      </c>
      <c r="D154" s="202">
        <f t="shared" ref="D154:G154" si="82">D85-D29</f>
        <v>-1.4999999999417923E-2</v>
      </c>
      <c r="E154" s="202">
        <f t="shared" si="82"/>
        <v>815.35485000000335</v>
      </c>
      <c r="F154" s="202">
        <f t="shared" si="82"/>
        <v>1655.1857985000097</v>
      </c>
      <c r="G154" s="202">
        <f t="shared" si="82"/>
        <v>5064.9814484850212</v>
      </c>
    </row>
    <row r="155" spans="1:7" s="144" customFormat="1" ht="14.4" x14ac:dyDescent="0.3">
      <c r="A155" s="4">
        <v>8</v>
      </c>
      <c r="B155" s="221" t="s">
        <v>286</v>
      </c>
      <c r="C155" s="198">
        <f t="shared" si="79"/>
        <v>16629.156890225437</v>
      </c>
      <c r="D155" s="202">
        <f t="shared" ref="D155:G155" si="83">D86-D30</f>
        <v>420.0653999999995</v>
      </c>
      <c r="E155" s="202">
        <f t="shared" si="83"/>
        <v>4713.0660540000099</v>
      </c>
      <c r="F155" s="202">
        <f t="shared" si="83"/>
        <v>5236.2535145400107</v>
      </c>
      <c r="G155" s="202">
        <f t="shared" si="83"/>
        <v>6259.7719216854166</v>
      </c>
    </row>
    <row r="156" spans="1:7" s="144" customFormat="1" ht="14.4" x14ac:dyDescent="0.3">
      <c r="A156" s="4">
        <v>9</v>
      </c>
      <c r="B156" s="221" t="s">
        <v>289</v>
      </c>
      <c r="C156" s="198">
        <f t="shared" si="79"/>
        <v>0</v>
      </c>
      <c r="D156" s="202">
        <f t="shared" ref="D156:G156" si="84">D89-D33</f>
        <v>0</v>
      </c>
      <c r="E156" s="202">
        <f t="shared" si="84"/>
        <v>0</v>
      </c>
      <c r="F156" s="202">
        <f t="shared" si="84"/>
        <v>0</v>
      </c>
      <c r="G156" s="202">
        <f t="shared" si="84"/>
        <v>0</v>
      </c>
    </row>
    <row r="157" spans="1:7" s="144" customFormat="1" ht="14.4" x14ac:dyDescent="0.3">
      <c r="A157" s="4">
        <v>10</v>
      </c>
      <c r="B157" s="221" t="s">
        <v>290</v>
      </c>
      <c r="C157" s="198">
        <f t="shared" si="79"/>
        <v>0</v>
      </c>
      <c r="D157" s="202">
        <f t="shared" ref="D157:G157" si="85">D92-D36</f>
        <v>0</v>
      </c>
      <c r="E157" s="202">
        <f t="shared" si="85"/>
        <v>0</v>
      </c>
      <c r="F157" s="202">
        <f t="shared" si="85"/>
        <v>0</v>
      </c>
      <c r="G157" s="202">
        <f t="shared" si="85"/>
        <v>0</v>
      </c>
    </row>
    <row r="158" spans="1:7" s="144" customFormat="1" ht="14.4" x14ac:dyDescent="0.3">
      <c r="A158" s="4"/>
      <c r="B158" s="194" t="s">
        <v>167</v>
      </c>
      <c r="C158" s="198">
        <f t="shared" si="79"/>
        <v>117285.87382286391</v>
      </c>
      <c r="D158" s="198">
        <f t="shared" ref="D158:G158" si="86">D95-D39</f>
        <v>420.26399999996647</v>
      </c>
      <c r="E158" s="198">
        <f t="shared" si="86"/>
        <v>15615.65663999971</v>
      </c>
      <c r="F158" s="198">
        <f t="shared" si="86"/>
        <v>37657.068206400145</v>
      </c>
      <c r="G158" s="198">
        <f t="shared" si="86"/>
        <v>63592.884976464091</v>
      </c>
    </row>
    <row r="159" spans="1:7" s="144" customFormat="1" ht="14.4" x14ac:dyDescent="0.3">
      <c r="A159" s="4">
        <v>11</v>
      </c>
      <c r="B159" s="221" t="s">
        <v>291</v>
      </c>
      <c r="C159" s="198">
        <f t="shared" si="79"/>
        <v>293363.26500000042</v>
      </c>
      <c r="D159" s="202">
        <f t="shared" ref="D159:G159" si="87">D96-D40</f>
        <v>0</v>
      </c>
      <c r="E159" s="202">
        <f t="shared" si="87"/>
        <v>45766.500000000058</v>
      </c>
      <c r="F159" s="202">
        <f t="shared" si="87"/>
        <v>96109.65000000014</v>
      </c>
      <c r="G159" s="202">
        <f t="shared" si="87"/>
        <v>151487.11500000022</v>
      </c>
    </row>
    <row r="160" spans="1:7" s="144" customFormat="1" ht="14.4" x14ac:dyDescent="0.3">
      <c r="A160" s="7">
        <v>12</v>
      </c>
      <c r="B160" s="6" t="s">
        <v>320</v>
      </c>
      <c r="C160" s="198">
        <f t="shared" si="79"/>
        <v>47790.523462500008</v>
      </c>
      <c r="D160" s="202">
        <f t="shared" ref="D160:G160" si="88">D100-D44</f>
        <v>10297.4625</v>
      </c>
      <c r="E160" s="202">
        <f t="shared" si="88"/>
        <v>11327.208750000002</v>
      </c>
      <c r="F160" s="202">
        <f t="shared" si="88"/>
        <v>12459.929625000002</v>
      </c>
      <c r="G160" s="202">
        <f t="shared" si="88"/>
        <v>13705.922587500005</v>
      </c>
    </row>
    <row r="161" spans="1:11" s="149" customFormat="1" ht="14.4" x14ac:dyDescent="0.3">
      <c r="A161" s="4"/>
      <c r="B161" s="194" t="s">
        <v>125</v>
      </c>
      <c r="C161" s="198">
        <f t="shared" si="79"/>
        <v>341153.78846250038</v>
      </c>
      <c r="D161" s="198">
        <f t="shared" ref="D161:G161" si="89">D101-D45</f>
        <v>10297.462500000023</v>
      </c>
      <c r="E161" s="198">
        <f t="shared" si="89"/>
        <v>57093.708750000049</v>
      </c>
      <c r="F161" s="198">
        <f t="shared" si="89"/>
        <v>108569.57962500013</v>
      </c>
      <c r="G161" s="198">
        <f t="shared" si="89"/>
        <v>165193.03758750018</v>
      </c>
    </row>
    <row r="162" spans="1:11" s="144" customFormat="1" ht="36" x14ac:dyDescent="0.3">
      <c r="A162" s="4">
        <v>13</v>
      </c>
      <c r="B162" s="6" t="s">
        <v>264</v>
      </c>
      <c r="C162" s="198">
        <f t="shared" si="79"/>
        <v>0</v>
      </c>
      <c r="D162" s="202">
        <f t="shared" ref="D162:G162" si="90">D102-D46</f>
        <v>0</v>
      </c>
      <c r="E162" s="202">
        <f t="shared" si="90"/>
        <v>0</v>
      </c>
      <c r="F162" s="202">
        <f t="shared" si="90"/>
        <v>0</v>
      </c>
      <c r="G162" s="202">
        <f t="shared" si="90"/>
        <v>0</v>
      </c>
    </row>
    <row r="163" spans="1:11" s="144" customFormat="1" ht="24" x14ac:dyDescent="0.3">
      <c r="A163" s="4"/>
      <c r="B163" s="13" t="s">
        <v>296</v>
      </c>
      <c r="C163" s="198">
        <f t="shared" si="79"/>
        <v>87260.73586845852</v>
      </c>
      <c r="D163" s="202">
        <f t="shared" ref="D163:G163" si="91">D103-D47</f>
        <v>9.8400000017136335E-2</v>
      </c>
      <c r="E163" s="202">
        <f t="shared" si="91"/>
        <v>9452.3493840000592</v>
      </c>
      <c r="F163" s="202">
        <f t="shared" si="91"/>
        <v>28829.462877840037</v>
      </c>
      <c r="G163" s="202">
        <f t="shared" si="91"/>
        <v>48978.825206618407</v>
      </c>
    </row>
    <row r="164" spans="1:11" s="154" customFormat="1" ht="36" x14ac:dyDescent="0.3">
      <c r="A164" s="229">
        <v>14</v>
      </c>
      <c r="B164" s="28" t="s">
        <v>307</v>
      </c>
      <c r="C164" s="198">
        <f t="shared" si="79"/>
        <v>2340.727727559999</v>
      </c>
      <c r="D164" s="198">
        <f t="shared" ref="D164:G164" si="92">D106-D50</f>
        <v>-0.44000000000232831</v>
      </c>
      <c r="E164" s="198">
        <f t="shared" si="92"/>
        <v>382.27560000000085</v>
      </c>
      <c r="F164" s="198">
        <f t="shared" si="92"/>
        <v>776.47275600000285</v>
      </c>
      <c r="G164" s="198">
        <f t="shared" si="92"/>
        <v>1182.4193715599977</v>
      </c>
    </row>
    <row r="165" spans="1:11" s="154" customFormat="1" ht="24" x14ac:dyDescent="0.3">
      <c r="A165" s="229"/>
      <c r="B165" s="28" t="s">
        <v>308</v>
      </c>
      <c r="C165" s="198">
        <f t="shared" si="79"/>
        <v>460780.39001292479</v>
      </c>
      <c r="D165" s="198">
        <f t="shared" ref="D165:G165" si="93">D107-D51</f>
        <v>10717.286499999929</v>
      </c>
      <c r="E165" s="198">
        <f t="shared" si="93"/>
        <v>73091.640989999752</v>
      </c>
      <c r="F165" s="198">
        <f t="shared" si="93"/>
        <v>147003.12058740063</v>
      </c>
      <c r="G165" s="198">
        <f t="shared" si="93"/>
        <v>229968.34193552448</v>
      </c>
    </row>
    <row r="166" spans="1:11" s="154" customFormat="1" ht="24" x14ac:dyDescent="0.3">
      <c r="A166" s="229"/>
      <c r="B166" s="28" t="s">
        <v>309</v>
      </c>
      <c r="C166" s="198">
        <f t="shared" si="79"/>
        <v>1647118.1721984425</v>
      </c>
      <c r="D166" s="198">
        <f t="shared" ref="D166:G166" si="94">D108-D52</f>
        <v>-10717.286499999929</v>
      </c>
      <c r="E166" s="198">
        <f t="shared" si="94"/>
        <v>580258.55787799996</v>
      </c>
      <c r="F166" s="198">
        <f t="shared" si="94"/>
        <v>553097.78311463911</v>
      </c>
      <c r="G166" s="198">
        <f t="shared" si="94"/>
        <v>524479.11770580336</v>
      </c>
    </row>
    <row r="167" spans="1:11" s="148" customFormat="1" x14ac:dyDescent="0.3">
      <c r="A167" s="7">
        <v>15</v>
      </c>
      <c r="B167" s="8" t="s">
        <v>223</v>
      </c>
      <c r="C167" s="198">
        <f t="shared" si="79"/>
        <v>465578.67430057016</v>
      </c>
      <c r="D167" s="202">
        <f t="shared" ref="D167:G167" si="95">D109-D53</f>
        <v>39665.251966386568</v>
      </c>
      <c r="E167" s="202">
        <f t="shared" si="95"/>
        <v>136734.34115426883</v>
      </c>
      <c r="F167" s="202">
        <f t="shared" si="95"/>
        <v>141446.23001675127</v>
      </c>
      <c r="G167" s="202">
        <f t="shared" si="95"/>
        <v>147732.85116316349</v>
      </c>
    </row>
    <row r="168" spans="1:11" s="148" customFormat="1" x14ac:dyDescent="0.3">
      <c r="A168" s="7">
        <v>16</v>
      </c>
      <c r="B168" s="8" t="s">
        <v>224</v>
      </c>
      <c r="C168" s="198">
        <f t="shared" si="79"/>
        <v>0</v>
      </c>
      <c r="D168" s="202">
        <f t="shared" ref="D168:G168" si="96">D110-D54</f>
        <v>0</v>
      </c>
      <c r="E168" s="202">
        <f t="shared" si="96"/>
        <v>0</v>
      </c>
      <c r="F168" s="202">
        <f t="shared" si="96"/>
        <v>0</v>
      </c>
      <c r="G168" s="202">
        <f t="shared" si="96"/>
        <v>0</v>
      </c>
    </row>
    <row r="169" spans="1:11" s="148" customFormat="1" x14ac:dyDescent="0.3">
      <c r="A169" s="7">
        <v>17</v>
      </c>
      <c r="B169" s="8" t="s">
        <v>298</v>
      </c>
      <c r="C169" s="198">
        <f t="shared" si="79"/>
        <v>1417.3437383249766</v>
      </c>
      <c r="D169" s="202">
        <f t="shared" ref="D169:G169" si="97">D111-D55</f>
        <v>0</v>
      </c>
      <c r="E169" s="202">
        <f t="shared" si="97"/>
        <v>112.26792093344557</v>
      </c>
      <c r="F169" s="202">
        <f t="shared" si="97"/>
        <v>451.35028791891818</v>
      </c>
      <c r="G169" s="202">
        <f t="shared" si="97"/>
        <v>853.72552947261283</v>
      </c>
    </row>
    <row r="170" spans="1:11" s="154" customFormat="1" ht="13.2" x14ac:dyDescent="0.3">
      <c r="A170" s="492" t="s">
        <v>310</v>
      </c>
      <c r="B170" s="494"/>
      <c r="C170" s="198">
        <f t="shared" si="79"/>
        <v>466996.01803889516</v>
      </c>
      <c r="D170" s="198">
        <f t="shared" ref="D170:G170" si="98">D112-D56</f>
        <v>39665.251966386568</v>
      </c>
      <c r="E170" s="198">
        <f t="shared" si="98"/>
        <v>136846.60907520232</v>
      </c>
      <c r="F170" s="198">
        <f t="shared" si="98"/>
        <v>141897.58030467015</v>
      </c>
      <c r="G170" s="198">
        <f t="shared" si="98"/>
        <v>148586.57669263612</v>
      </c>
    </row>
    <row r="171" spans="1:11" s="149" customFormat="1" ht="27" customHeight="1" x14ac:dyDescent="0.3">
      <c r="A171" s="518" t="s">
        <v>311</v>
      </c>
      <c r="B171" s="519"/>
      <c r="C171" s="198">
        <f t="shared" si="79"/>
        <v>1180122.1541595473</v>
      </c>
      <c r="D171" s="198">
        <f t="shared" ref="D171:G171" si="99">D113-D57</f>
        <v>-50382.538466386497</v>
      </c>
      <c r="E171" s="198">
        <f t="shared" si="99"/>
        <v>443411.94880279759</v>
      </c>
      <c r="F171" s="198">
        <f t="shared" si="99"/>
        <v>411200.20280996896</v>
      </c>
      <c r="G171" s="198">
        <f t="shared" si="99"/>
        <v>375892.54101316724</v>
      </c>
    </row>
    <row r="172" spans="1:11" s="149" customFormat="1" ht="14.4" x14ac:dyDescent="0.3">
      <c r="A172" s="10"/>
      <c r="B172" s="222"/>
      <c r="C172" s="203"/>
      <c r="D172" s="203"/>
      <c r="E172" s="203"/>
      <c r="F172" s="203"/>
      <c r="G172" s="203"/>
      <c r="H172" s="203"/>
      <c r="I172" s="203"/>
      <c r="J172" s="203"/>
      <c r="K172" s="203"/>
    </row>
    <row r="173" spans="1:11" s="231" customFormat="1" ht="13.2" x14ac:dyDescent="0.3">
      <c r="A173" s="230" t="s">
        <v>230</v>
      </c>
      <c r="B173" s="230"/>
      <c r="C173" s="230"/>
      <c r="D173" s="230"/>
      <c r="E173" s="230"/>
      <c r="F173" s="230"/>
      <c r="G173" s="230"/>
      <c r="H173" s="230"/>
      <c r="I173" s="230"/>
      <c r="J173" s="230"/>
      <c r="K173" s="230"/>
    </row>
    <row r="174" spans="1:11" ht="36" x14ac:dyDescent="0.3">
      <c r="A174" s="232" t="s">
        <v>241</v>
      </c>
      <c r="B174" s="232"/>
      <c r="C174" s="257" t="s">
        <v>448</v>
      </c>
      <c r="D174" s="401" t="s">
        <v>598</v>
      </c>
      <c r="E174" s="225"/>
      <c r="F174" s="225"/>
      <c r="G174" s="225"/>
      <c r="H174" s="225"/>
      <c r="I174" s="225"/>
      <c r="J174" s="225"/>
      <c r="K174" s="151"/>
    </row>
    <row r="175" spans="1:11" s="155" customFormat="1" ht="24" x14ac:dyDescent="0.3">
      <c r="A175" s="11">
        <v>19</v>
      </c>
      <c r="B175" s="8" t="s">
        <v>200</v>
      </c>
      <c r="C175" s="198">
        <f>SUM(D175:D175)</f>
        <v>720025.7</v>
      </c>
      <c r="D175" s="201">
        <f>'2B-Investitie'!E27</f>
        <v>720025.7</v>
      </c>
      <c r="E175" s="205"/>
      <c r="F175" s="205"/>
      <c r="G175" s="205"/>
      <c r="H175" s="205"/>
      <c r="I175" s="205"/>
      <c r="J175" s="205"/>
    </row>
    <row r="176" spans="1:11" s="155" customFormat="1" x14ac:dyDescent="0.3">
      <c r="A176" s="11">
        <v>20</v>
      </c>
      <c r="B176" s="8" t="s">
        <v>312</v>
      </c>
      <c r="C176" s="198">
        <f>SUM(D176:D176)</f>
        <v>0</v>
      </c>
      <c r="D176" s="201">
        <f>'2B-Investitie'!E28</f>
        <v>0</v>
      </c>
      <c r="E176" s="205"/>
      <c r="F176" s="205"/>
      <c r="G176" s="205"/>
      <c r="H176" s="205"/>
      <c r="I176" s="205"/>
      <c r="J176" s="205"/>
    </row>
    <row r="177" spans="1:10" s="155" customFormat="1" x14ac:dyDescent="0.3">
      <c r="A177" s="11">
        <v>21</v>
      </c>
      <c r="B177" s="8" t="s">
        <v>206</v>
      </c>
      <c r="C177" s="198">
        <f>SUM(D177:D177)</f>
        <v>684614.6</v>
      </c>
      <c r="D177" s="201">
        <f>'2B-Investitie'!E29</f>
        <v>684614.6</v>
      </c>
      <c r="E177" s="205"/>
      <c r="F177" s="205"/>
      <c r="G177" s="205"/>
      <c r="H177" s="205"/>
      <c r="I177" s="205"/>
      <c r="J177" s="205"/>
    </row>
    <row r="178" spans="1:10" s="153" customFormat="1" ht="13.2" x14ac:dyDescent="0.3">
      <c r="A178" s="12"/>
      <c r="B178" s="17" t="s">
        <v>496</v>
      </c>
      <c r="C178" s="198">
        <f>SUM(D178:D178)</f>
        <v>1404640.2999999998</v>
      </c>
      <c r="D178" s="204">
        <f t="shared" ref="D178" si="100">SUM(D175:D177)</f>
        <v>1404640.2999999998</v>
      </c>
      <c r="E178" s="206"/>
      <c r="F178" s="206"/>
      <c r="G178" s="206"/>
      <c r="H178" s="206"/>
      <c r="I178" s="206"/>
      <c r="J178" s="206"/>
    </row>
    <row r="179" spans="1:10" s="155" customFormat="1" ht="36" x14ac:dyDescent="0.3">
      <c r="A179" s="232" t="s">
        <v>242</v>
      </c>
      <c r="B179" s="232"/>
      <c r="C179" s="257" t="s">
        <v>448</v>
      </c>
      <c r="D179" s="401" t="s">
        <v>598</v>
      </c>
      <c r="E179" s="396" t="s">
        <v>340</v>
      </c>
      <c r="F179" s="396" t="s">
        <v>341</v>
      </c>
      <c r="G179" s="396" t="s">
        <v>342</v>
      </c>
    </row>
    <row r="180" spans="1:10" s="155" customFormat="1" x14ac:dyDescent="0.3">
      <c r="A180" s="11">
        <v>22</v>
      </c>
      <c r="B180" s="8" t="s">
        <v>313</v>
      </c>
      <c r="C180" s="198">
        <f>SUM(D180:G180)</f>
        <v>0</v>
      </c>
      <c r="D180" s="201">
        <f t="shared" ref="D180:G180" si="101">D122</f>
        <v>0</v>
      </c>
      <c r="E180" s="201">
        <f t="shared" si="101"/>
        <v>0</v>
      </c>
      <c r="F180" s="201">
        <f t="shared" si="101"/>
        <v>0</v>
      </c>
      <c r="G180" s="201">
        <f t="shared" si="101"/>
        <v>0</v>
      </c>
    </row>
    <row r="181" spans="1:10" s="155" customFormat="1" x14ac:dyDescent="0.3">
      <c r="A181" s="11"/>
      <c r="B181" s="13" t="s">
        <v>487</v>
      </c>
      <c r="C181" s="198">
        <f>SUM(D181:G181)</f>
        <v>0</v>
      </c>
      <c r="D181" s="201">
        <f>'2B-Investitie'!D35</f>
        <v>0</v>
      </c>
      <c r="E181" s="201">
        <f>'2B-Investitie'!E35</f>
        <v>0</v>
      </c>
      <c r="F181" s="201">
        <f>'2B-Investitie'!F35</f>
        <v>0</v>
      </c>
      <c r="G181" s="201">
        <f>'2B-Investitie'!G35</f>
        <v>0</v>
      </c>
    </row>
    <row r="182" spans="1:10" s="153" customFormat="1" ht="13.2" x14ac:dyDescent="0.3">
      <c r="A182" s="12"/>
      <c r="B182" s="17" t="s">
        <v>494</v>
      </c>
      <c r="C182" s="198">
        <f>SUM(D182:G182)</f>
        <v>0</v>
      </c>
      <c r="D182" s="204">
        <f t="shared" ref="D182:G182" si="102">D180</f>
        <v>0</v>
      </c>
      <c r="E182" s="204">
        <f t="shared" si="102"/>
        <v>0</v>
      </c>
      <c r="F182" s="204">
        <f t="shared" si="102"/>
        <v>0</v>
      </c>
      <c r="G182" s="204">
        <f t="shared" si="102"/>
        <v>0</v>
      </c>
    </row>
    <row r="183" spans="1:10" s="149" customFormat="1" ht="14.4" x14ac:dyDescent="0.3">
      <c r="A183" s="33"/>
      <c r="B183" s="194" t="s">
        <v>495</v>
      </c>
      <c r="C183" s="198">
        <f>SUM(D183:G183)</f>
        <v>1404640.2999999998</v>
      </c>
      <c r="D183" s="198">
        <f t="shared" ref="D183:G183" si="103">D178-D182</f>
        <v>1404640.2999999998</v>
      </c>
      <c r="E183" s="198">
        <f t="shared" si="103"/>
        <v>0</v>
      </c>
      <c r="F183" s="198">
        <f t="shared" si="103"/>
        <v>0</v>
      </c>
      <c r="G183" s="198">
        <f t="shared" si="103"/>
        <v>0</v>
      </c>
    </row>
    <row r="184" spans="1:10" s="150" customFormat="1" ht="14.4" x14ac:dyDescent="0.3">
      <c r="A184" s="10"/>
      <c r="B184" s="222"/>
      <c r="C184" s="203"/>
      <c r="D184" s="203"/>
      <c r="E184" s="203"/>
      <c r="F184" s="203"/>
      <c r="G184" s="203"/>
    </row>
    <row r="185" spans="1:10" s="153" customFormat="1" ht="27.75" customHeight="1" x14ac:dyDescent="0.3">
      <c r="A185" s="492" t="str">
        <f>A127</f>
        <v>ACTIVITATEA DE INVESTITII (inclusiv  reinvestirile din perioada post implementare)</v>
      </c>
      <c r="B185" s="494"/>
      <c r="C185" s="257" t="s">
        <v>448</v>
      </c>
      <c r="D185" s="401" t="s">
        <v>598</v>
      </c>
      <c r="E185" s="396" t="s">
        <v>340</v>
      </c>
      <c r="F185" s="396" t="s">
        <v>341</v>
      </c>
      <c r="G185" s="396" t="s">
        <v>342</v>
      </c>
    </row>
    <row r="186" spans="1:10" s="155" customFormat="1" x14ac:dyDescent="0.3">
      <c r="A186" s="11">
        <v>23</v>
      </c>
      <c r="B186" s="8" t="s">
        <v>261</v>
      </c>
      <c r="C186" s="198">
        <f>SUM(D186:G186)</f>
        <v>1404640</v>
      </c>
      <c r="D186" s="201">
        <f t="shared" ref="D186:G188" si="104">D128</f>
        <v>1404640</v>
      </c>
      <c r="E186" s="201">
        <f t="shared" si="104"/>
        <v>0</v>
      </c>
      <c r="F186" s="201">
        <f t="shared" si="104"/>
        <v>0</v>
      </c>
      <c r="G186" s="201">
        <f t="shared" si="104"/>
        <v>0</v>
      </c>
    </row>
    <row r="187" spans="1:10" s="155" customFormat="1" x14ac:dyDescent="0.3">
      <c r="A187" s="11">
        <v>24</v>
      </c>
      <c r="B187" s="8" t="s">
        <v>262</v>
      </c>
      <c r="C187" s="198">
        <f>SUM(D187:G187)</f>
        <v>0</v>
      </c>
      <c r="D187" s="201">
        <f t="shared" si="104"/>
        <v>0</v>
      </c>
      <c r="E187" s="201">
        <f t="shared" si="104"/>
        <v>0</v>
      </c>
      <c r="F187" s="201">
        <f t="shared" si="104"/>
        <v>0</v>
      </c>
      <c r="G187" s="201">
        <f t="shared" si="104"/>
        <v>0</v>
      </c>
    </row>
    <row r="188" spans="1:10" s="155" customFormat="1" x14ac:dyDescent="0.3">
      <c r="A188" s="11">
        <v>25</v>
      </c>
      <c r="B188" s="8" t="s">
        <v>484</v>
      </c>
      <c r="C188" s="198">
        <f>SUM(D188:G188)</f>
        <v>0</v>
      </c>
      <c r="D188" s="201">
        <f t="shared" si="104"/>
        <v>0</v>
      </c>
      <c r="E188" s="201">
        <f t="shared" si="104"/>
        <v>0</v>
      </c>
      <c r="F188" s="201">
        <f t="shared" si="104"/>
        <v>0</v>
      </c>
      <c r="G188" s="201">
        <f t="shared" si="104"/>
        <v>0</v>
      </c>
    </row>
    <row r="189" spans="1:10" s="153" customFormat="1" ht="13.2" x14ac:dyDescent="0.3">
      <c r="A189" s="12"/>
      <c r="B189" s="17" t="s">
        <v>491</v>
      </c>
      <c r="C189" s="198">
        <f>SUM(D189:G189)</f>
        <v>1404640</v>
      </c>
      <c r="D189" s="204">
        <f t="shared" ref="D189:G189" si="105">SUM(D186:D188)</f>
        <v>1404640</v>
      </c>
      <c r="E189" s="204">
        <f t="shared" si="105"/>
        <v>0</v>
      </c>
      <c r="F189" s="204">
        <f t="shared" si="105"/>
        <v>0</v>
      </c>
      <c r="G189" s="204">
        <f t="shared" si="105"/>
        <v>0</v>
      </c>
    </row>
    <row r="190" spans="1:10" s="149" customFormat="1" ht="14.4" x14ac:dyDescent="0.3">
      <c r="A190" s="33"/>
      <c r="B190" s="194" t="s">
        <v>490</v>
      </c>
      <c r="C190" s="198">
        <f>SUM(D190:G190)</f>
        <v>-1404640</v>
      </c>
      <c r="D190" s="198">
        <f t="shared" ref="D190:F190" si="106">-D189</f>
        <v>-1404640</v>
      </c>
      <c r="E190" s="198">
        <f t="shared" si="106"/>
        <v>0</v>
      </c>
      <c r="F190" s="198">
        <f t="shared" si="106"/>
        <v>0</v>
      </c>
      <c r="G190" s="198">
        <f>-G189</f>
        <v>0</v>
      </c>
    </row>
    <row r="191" spans="1:10" s="149" customFormat="1" ht="14.4" x14ac:dyDescent="0.3">
      <c r="A191" s="514" t="s">
        <v>488</v>
      </c>
      <c r="B191" s="515"/>
      <c r="C191" s="257" t="s">
        <v>448</v>
      </c>
      <c r="D191" s="257" t="s">
        <v>340</v>
      </c>
      <c r="E191" s="257" t="s">
        <v>341</v>
      </c>
      <c r="F191" s="257" t="s">
        <v>342</v>
      </c>
      <c r="G191" s="257" t="s">
        <v>343</v>
      </c>
    </row>
    <row r="192" spans="1:10" s="149" customFormat="1" ht="15" customHeight="1" x14ac:dyDescent="0.3">
      <c r="A192" s="516"/>
      <c r="B192" s="517"/>
      <c r="C192" s="198">
        <f>SUM(D192:G192)</f>
        <v>0.29999999981373549</v>
      </c>
      <c r="D192" s="198">
        <f>D183+D190</f>
        <v>0.29999999981373549</v>
      </c>
      <c r="E192" s="198">
        <f>E183+E190</f>
        <v>0</v>
      </c>
      <c r="F192" s="198">
        <f>F183+F190</f>
        <v>0</v>
      </c>
      <c r="G192" s="198">
        <f>G183+G190</f>
        <v>0</v>
      </c>
    </row>
    <row r="193" spans="1:11" s="150" customFormat="1" ht="14.4" x14ac:dyDescent="0.3">
      <c r="A193" s="222"/>
      <c r="B193" s="222"/>
      <c r="C193" s="203"/>
      <c r="D193" s="203"/>
      <c r="E193" s="203"/>
      <c r="F193" s="203"/>
      <c r="G193" s="203"/>
    </row>
    <row r="194" spans="1:11" s="149" customFormat="1" ht="14.4" x14ac:dyDescent="0.3">
      <c r="A194" s="509" t="s">
        <v>497</v>
      </c>
      <c r="B194" s="509"/>
      <c r="C194" s="257" t="s">
        <v>448</v>
      </c>
      <c r="D194" s="257" t="s">
        <v>340</v>
      </c>
      <c r="E194" s="257" t="s">
        <v>341</v>
      </c>
      <c r="F194" s="257" t="s">
        <v>342</v>
      </c>
      <c r="G194" s="257" t="s">
        <v>343</v>
      </c>
    </row>
    <row r="195" spans="1:11" s="149" customFormat="1" ht="14.4" x14ac:dyDescent="0.3">
      <c r="A195" s="509"/>
      <c r="B195" s="509"/>
      <c r="C195" s="198">
        <f>SUM(D195:G195)</f>
        <v>1180122.4541595471</v>
      </c>
      <c r="D195" s="198">
        <f t="shared" ref="D195:G195" si="107">D171+D192</f>
        <v>-50382.238466386683</v>
      </c>
      <c r="E195" s="198">
        <f t="shared" si="107"/>
        <v>443411.94880279759</v>
      </c>
      <c r="F195" s="198">
        <f t="shared" si="107"/>
        <v>411200.20280996896</v>
      </c>
      <c r="G195" s="198">
        <f t="shared" si="107"/>
        <v>375892.54101316724</v>
      </c>
    </row>
    <row r="196" spans="1:11" s="155" customFormat="1" x14ac:dyDescent="0.3">
      <c r="A196" s="14"/>
      <c r="B196" s="223"/>
      <c r="C196" s="206"/>
      <c r="D196" s="205"/>
      <c r="E196" s="205"/>
      <c r="F196" s="205"/>
      <c r="G196" s="205"/>
      <c r="H196" s="205"/>
      <c r="I196" s="205"/>
      <c r="J196" s="205"/>
      <c r="K196" s="205"/>
    </row>
    <row r="197" spans="1:11" s="155" customFormat="1" x14ac:dyDescent="0.3">
      <c r="A197" s="14"/>
      <c r="B197" s="223"/>
      <c r="C197" s="206"/>
      <c r="D197" s="205"/>
      <c r="E197" s="205"/>
      <c r="F197" s="205"/>
      <c r="G197" s="205"/>
      <c r="H197" s="205"/>
      <c r="I197" s="205"/>
      <c r="J197" s="205"/>
      <c r="K197" s="205"/>
    </row>
    <row r="198" spans="1:11" s="155" customFormat="1" x14ac:dyDescent="0.3">
      <c r="A198" s="15"/>
      <c r="B198" s="223"/>
      <c r="C198" s="206"/>
      <c r="D198" s="205"/>
      <c r="E198" s="205"/>
      <c r="F198" s="205"/>
      <c r="G198" s="205"/>
      <c r="H198" s="205"/>
      <c r="I198" s="205"/>
      <c r="J198" s="205"/>
      <c r="K198" s="205"/>
    </row>
    <row r="199" spans="1:11" s="155" customFormat="1" x14ac:dyDescent="0.3">
      <c r="A199" s="15"/>
      <c r="B199" s="223"/>
      <c r="C199" s="206"/>
      <c r="D199" s="205"/>
      <c r="E199" s="205"/>
      <c r="F199" s="205"/>
      <c r="G199" s="205"/>
      <c r="H199" s="205"/>
      <c r="I199" s="205"/>
      <c r="J199" s="205"/>
      <c r="K199" s="205"/>
    </row>
    <row r="200" spans="1:11" s="155" customFormat="1" x14ac:dyDescent="0.3">
      <c r="A200" s="15"/>
      <c r="B200" s="223"/>
      <c r="C200" s="206"/>
      <c r="D200" s="205"/>
      <c r="E200" s="205"/>
      <c r="F200" s="205"/>
      <c r="G200" s="205"/>
      <c r="H200" s="205"/>
      <c r="I200" s="205"/>
      <c r="J200" s="205"/>
      <c r="K200" s="205"/>
    </row>
    <row r="201" spans="1:11" s="155" customFormat="1" x14ac:dyDescent="0.3">
      <c r="A201" s="15"/>
      <c r="B201" s="223"/>
      <c r="C201" s="206"/>
      <c r="D201" s="205"/>
      <c r="E201" s="205"/>
      <c r="F201" s="205"/>
      <c r="G201" s="205"/>
      <c r="H201" s="205"/>
      <c r="I201" s="205"/>
      <c r="J201" s="205"/>
      <c r="K201" s="205"/>
    </row>
    <row r="202" spans="1:11" s="155" customFormat="1" x14ac:dyDescent="0.3">
      <c r="A202" s="15"/>
      <c r="B202" s="223"/>
      <c r="C202" s="206"/>
      <c r="D202" s="205"/>
      <c r="E202" s="205"/>
      <c r="F202" s="205"/>
      <c r="G202" s="205"/>
      <c r="H202" s="205"/>
      <c r="I202" s="205"/>
      <c r="J202" s="205"/>
      <c r="K202" s="205"/>
    </row>
    <row r="203" spans="1:11" s="155" customFormat="1" x14ac:dyDescent="0.3">
      <c r="A203" s="15"/>
      <c r="B203" s="223"/>
      <c r="C203" s="206"/>
      <c r="D203" s="205"/>
      <c r="E203" s="205"/>
      <c r="F203" s="205"/>
      <c r="G203" s="205"/>
      <c r="H203" s="205"/>
      <c r="I203" s="205"/>
      <c r="J203" s="205"/>
      <c r="K203" s="205"/>
    </row>
    <row r="204" spans="1:11" s="155" customFormat="1" x14ac:dyDescent="0.3">
      <c r="A204" s="15"/>
      <c r="B204" s="223"/>
      <c r="C204" s="206"/>
      <c r="D204" s="205"/>
      <c r="E204" s="205"/>
      <c r="F204" s="205"/>
      <c r="G204" s="205"/>
      <c r="H204" s="205"/>
      <c r="I204" s="205"/>
      <c r="J204" s="205"/>
      <c r="K204" s="205"/>
    </row>
    <row r="205" spans="1:11" s="155" customFormat="1" x14ac:dyDescent="0.3">
      <c r="A205" s="15"/>
      <c r="B205" s="223"/>
      <c r="C205" s="206"/>
      <c r="D205" s="205"/>
      <c r="E205" s="205"/>
      <c r="F205" s="205"/>
      <c r="G205" s="205"/>
      <c r="H205" s="205"/>
      <c r="I205" s="205"/>
      <c r="J205" s="205"/>
      <c r="K205" s="205"/>
    </row>
    <row r="206" spans="1:11" s="155" customFormat="1" x14ac:dyDescent="0.3">
      <c r="A206" s="15"/>
      <c r="B206" s="223"/>
      <c r="C206" s="206"/>
      <c r="D206" s="205"/>
      <c r="E206" s="205"/>
      <c r="F206" s="205"/>
      <c r="G206" s="205"/>
      <c r="H206" s="205"/>
      <c r="I206" s="205"/>
      <c r="J206" s="205"/>
      <c r="K206" s="205"/>
    </row>
    <row r="207" spans="1:11" s="155" customFormat="1" x14ac:dyDescent="0.3">
      <c r="A207" s="15"/>
      <c r="B207" s="223"/>
      <c r="C207" s="206"/>
      <c r="D207" s="205"/>
      <c r="E207" s="205"/>
      <c r="F207" s="205"/>
      <c r="G207" s="205"/>
      <c r="H207" s="205"/>
      <c r="I207" s="205"/>
      <c r="J207" s="205"/>
      <c r="K207" s="205"/>
    </row>
    <row r="208" spans="1:11" s="155" customFormat="1" x14ac:dyDescent="0.3">
      <c r="A208" s="15"/>
      <c r="B208" s="223"/>
      <c r="C208" s="206"/>
      <c r="D208" s="205"/>
      <c r="E208" s="205"/>
      <c r="F208" s="205"/>
      <c r="G208" s="205"/>
      <c r="H208" s="205"/>
      <c r="I208" s="205"/>
      <c r="J208" s="205"/>
      <c r="K208" s="205"/>
    </row>
    <row r="209" spans="1:11" s="155" customFormat="1" x14ac:dyDescent="0.3">
      <c r="A209" s="15"/>
      <c r="B209" s="223"/>
      <c r="C209" s="206"/>
      <c r="D209" s="205"/>
      <c r="E209" s="205"/>
      <c r="F209" s="205"/>
      <c r="G209" s="205"/>
      <c r="H209" s="205"/>
      <c r="I209" s="205"/>
      <c r="J209" s="205"/>
      <c r="K209" s="205"/>
    </row>
    <row r="210" spans="1:11" s="155" customFormat="1" x14ac:dyDescent="0.3">
      <c r="A210" s="15"/>
      <c r="B210" s="223"/>
      <c r="C210" s="206"/>
      <c r="D210" s="205"/>
      <c r="E210" s="205"/>
      <c r="F210" s="205"/>
      <c r="G210" s="205"/>
      <c r="H210" s="205"/>
      <c r="I210" s="205"/>
      <c r="J210" s="205"/>
      <c r="K210" s="205"/>
    </row>
    <row r="211" spans="1:11" s="155" customFormat="1" x14ac:dyDescent="0.3">
      <c r="A211" s="15"/>
      <c r="B211" s="223"/>
      <c r="C211" s="206"/>
      <c r="D211" s="205"/>
      <c r="E211" s="205"/>
      <c r="F211" s="205"/>
      <c r="G211" s="205"/>
      <c r="H211" s="205"/>
      <c r="I211" s="205"/>
      <c r="J211" s="205"/>
      <c r="K211" s="205"/>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K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honeticPr fontId="51" type="noConversion"/>
  <pageMargins left="0.47244094488188981" right="0.47244094488188981" top="0.47244094488188981" bottom="0.45833333333333331" header="0.31496062992125984" footer="0.31496062992125984"/>
  <pageSetup paperSize="9" fitToHeight="0" orientation="landscape" blackAndWhite="1" horizontalDpi="300" verticalDpi="300" r:id="rId1"/>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workbookViewId="0">
      <selection activeCell="C11" sqref="C11"/>
    </sheetView>
  </sheetViews>
  <sheetFormatPr defaultColWidth="9.109375" defaultRowHeight="13.8" x14ac:dyDescent="0.3"/>
  <cols>
    <col min="1" max="1" width="32.33203125" style="233" customWidth="1"/>
    <col min="2" max="2" width="10.5546875" style="158" customWidth="1"/>
    <col min="3" max="3" width="12.33203125" style="16" customWidth="1"/>
    <col min="4" max="12" width="10.5546875" style="158" customWidth="1"/>
    <col min="13" max="13" width="9.109375" style="45"/>
    <col min="14" max="16384" width="9.109375" style="71"/>
  </cols>
  <sheetData>
    <row r="1" spans="1:13" s="275" customFormat="1" x14ac:dyDescent="0.3">
      <c r="A1" s="461" t="s">
        <v>455</v>
      </c>
      <c r="B1" s="461"/>
      <c r="C1" s="461"/>
      <c r="D1" s="461"/>
      <c r="E1" s="461"/>
      <c r="F1" s="461"/>
      <c r="G1" s="321"/>
      <c r="H1" s="321"/>
      <c r="I1" s="321"/>
      <c r="J1" s="321"/>
      <c r="K1" s="321"/>
      <c r="L1" s="322"/>
      <c r="M1" s="274"/>
    </row>
    <row r="2" spans="1:13" s="275" customFormat="1" x14ac:dyDescent="0.3">
      <c r="A2" s="524" t="s">
        <v>265</v>
      </c>
      <c r="B2" s="524"/>
      <c r="C2" s="524"/>
      <c r="D2" s="524"/>
      <c r="E2" s="524"/>
      <c r="F2" s="524"/>
      <c r="G2" s="524"/>
      <c r="H2" s="524"/>
      <c r="I2" s="524"/>
      <c r="J2" s="524"/>
      <c r="K2" s="524"/>
      <c r="L2" s="322"/>
      <c r="M2" s="274"/>
    </row>
    <row r="3" spans="1:13" s="275" customFormat="1" x14ac:dyDescent="0.3">
      <c r="A3" s="380"/>
      <c r="B3" s="380"/>
      <c r="C3" s="380"/>
      <c r="D3" s="380"/>
      <c r="E3" s="380"/>
      <c r="F3" s="380"/>
      <c r="G3" s="380"/>
      <c r="H3" s="380"/>
      <c r="I3" s="380"/>
      <c r="J3" s="380"/>
      <c r="K3" s="380"/>
      <c r="L3" s="322"/>
      <c r="M3" s="274"/>
    </row>
    <row r="4" spans="1:13" s="275" customFormat="1" ht="24" x14ac:dyDescent="0.3">
      <c r="A4" s="388" t="s">
        <v>569</v>
      </c>
      <c r="B4" s="389" t="s">
        <v>562</v>
      </c>
      <c r="C4" s="380"/>
      <c r="D4" s="380"/>
      <c r="E4" s="380"/>
      <c r="F4" s="380"/>
      <c r="G4" s="380"/>
      <c r="H4" s="380"/>
      <c r="I4" s="380"/>
      <c r="J4" s="380"/>
      <c r="K4" s="380"/>
      <c r="L4" s="322"/>
      <c r="M4" s="274"/>
    </row>
    <row r="5" spans="1:13" x14ac:dyDescent="0.3">
      <c r="C5" s="382"/>
    </row>
    <row r="6" spans="1:13" x14ac:dyDescent="0.3">
      <c r="A6" s="323" t="s">
        <v>447</v>
      </c>
      <c r="B6" s="324">
        <v>0.04</v>
      </c>
      <c r="C6" s="529" t="s">
        <v>501</v>
      </c>
      <c r="D6" s="529"/>
      <c r="E6" s="529"/>
      <c r="F6" s="529"/>
      <c r="G6" s="45"/>
      <c r="H6" s="71"/>
      <c r="I6" s="71"/>
      <c r="J6" s="71"/>
      <c r="K6" s="71"/>
      <c r="L6" s="71"/>
      <c r="M6" s="71"/>
    </row>
    <row r="7" spans="1:13" s="67" customFormat="1" x14ac:dyDescent="0.3">
      <c r="A7" s="325"/>
      <c r="B7" s="23" t="s">
        <v>448</v>
      </c>
      <c r="C7" s="23">
        <v>1</v>
      </c>
      <c r="D7" s="23">
        <v>2</v>
      </c>
      <c r="E7" s="23">
        <v>3</v>
      </c>
      <c r="F7" s="23">
        <v>4</v>
      </c>
      <c r="G7" s="47"/>
    </row>
    <row r="8" spans="1:13" s="329" customFormat="1" ht="14.4" x14ac:dyDescent="0.3">
      <c r="A8" s="326" t="s">
        <v>511</v>
      </c>
      <c r="B8" s="201">
        <f t="shared" ref="B8:B17" si="0">SUM(C8:F8)</f>
        <v>2107898.5622113673</v>
      </c>
      <c r="C8" s="327">
        <f>'3A-Proiectii_fin_investitie'!D149</f>
        <v>0</v>
      </c>
      <c r="D8" s="327">
        <f>'3A-Proiectii_fin_investitie'!E149</f>
        <v>653350.19886799995</v>
      </c>
      <c r="E8" s="327">
        <f>'3A-Proiectii_fin_investitie'!F149</f>
        <v>700100.90370203974</v>
      </c>
      <c r="F8" s="327">
        <f>'3A-Proiectii_fin_investitie'!G149</f>
        <v>754447.45964132762</v>
      </c>
      <c r="G8" s="328"/>
      <c r="K8" s="330"/>
    </row>
    <row r="9" spans="1:13" s="329" customFormat="1" ht="14.4" x14ac:dyDescent="0.3">
      <c r="A9" s="326" t="s">
        <v>322</v>
      </c>
      <c r="B9" s="201">
        <f t="shared" si="0"/>
        <v>0</v>
      </c>
      <c r="C9" s="331"/>
      <c r="D9" s="331"/>
      <c r="E9" s="331"/>
      <c r="F9" s="331"/>
      <c r="G9" s="328"/>
      <c r="K9" s="330"/>
    </row>
    <row r="10" spans="1:13" s="335" customFormat="1" ht="14.4" x14ac:dyDescent="0.3">
      <c r="A10" s="332" t="s">
        <v>131</v>
      </c>
      <c r="B10" s="204">
        <f t="shared" si="0"/>
        <v>2107898.5622113673</v>
      </c>
      <c r="C10" s="333">
        <f t="shared" ref="C10:F10" si="1">SUM(C8:C9)</f>
        <v>0</v>
      </c>
      <c r="D10" s="333">
        <f t="shared" si="1"/>
        <v>653350.19886799995</v>
      </c>
      <c r="E10" s="333">
        <f t="shared" si="1"/>
        <v>700100.90370203974</v>
      </c>
      <c r="F10" s="333">
        <f t="shared" si="1"/>
        <v>754447.45964132762</v>
      </c>
      <c r="G10" s="334"/>
      <c r="K10" s="336"/>
    </row>
    <row r="11" spans="1:13" s="329" customFormat="1" ht="14.4" x14ac:dyDescent="0.3">
      <c r="A11" s="326" t="s">
        <v>512</v>
      </c>
      <c r="B11" s="201">
        <f t="shared" si="0"/>
        <v>458439.66228536482</v>
      </c>
      <c r="C11" s="201">
        <f>'3A-Proiectii_fin_investitie'!D165-'3A-Proiectii_fin_investitie'!D164</f>
        <v>10717.726499999932</v>
      </c>
      <c r="D11" s="201">
        <f>'3A-Proiectii_fin_investitie'!E165-'3A-Proiectii_fin_investitie'!E164</f>
        <v>72709.365389999759</v>
      </c>
      <c r="E11" s="201">
        <f>'3A-Proiectii_fin_investitie'!F165-'3A-Proiectii_fin_investitie'!F164</f>
        <v>146226.64783140062</v>
      </c>
      <c r="F11" s="201">
        <f>'3A-Proiectii_fin_investitie'!G165-'3A-Proiectii_fin_investitie'!G164</f>
        <v>228785.9225639645</v>
      </c>
      <c r="G11" s="328"/>
      <c r="K11" s="330"/>
    </row>
    <row r="12" spans="1:13" s="329" customFormat="1" ht="14.4" x14ac:dyDescent="0.3">
      <c r="A12" s="326" t="s">
        <v>175</v>
      </c>
      <c r="B12" s="201">
        <f t="shared" si="0"/>
        <v>1404640</v>
      </c>
      <c r="C12" s="201">
        <f>'3A-Proiectii_fin_investitie'!D189</f>
        <v>1404640</v>
      </c>
      <c r="D12" s="201">
        <f>'3A-Proiectii_fin_investitie'!E189</f>
        <v>0</v>
      </c>
      <c r="E12" s="201">
        <f>'3A-Proiectii_fin_investitie'!F189</f>
        <v>0</v>
      </c>
      <c r="F12" s="201">
        <f>'3A-Proiectii_fin_investitie'!G189</f>
        <v>0</v>
      </c>
      <c r="G12" s="328"/>
      <c r="K12" s="330"/>
    </row>
    <row r="13" spans="1:13" s="329" customFormat="1" ht="14.4" x14ac:dyDescent="0.3">
      <c r="A13" s="326" t="s">
        <v>558</v>
      </c>
      <c r="B13" s="201">
        <f t="shared" si="0"/>
        <v>241308.37430057017</v>
      </c>
      <c r="C13" s="201">
        <f>IF($B$4="NU",-'2B-Investitie'!E25+'3A-Proiectii_fin_investitie'!D167-'3A-Proiectii_fin_investitie'!D168,0)</f>
        <v>-184605.04803361342</v>
      </c>
      <c r="D13" s="201">
        <f>IF($B$4="NU",-'2B-Investitie'!F25+'3A-Proiectii_fin_investitie'!E167-'3A-Proiectii_fin_investitie'!E168,0)</f>
        <v>136734.34115426883</v>
      </c>
      <c r="E13" s="201">
        <f>IF($B$4="NU",-'2B-Investitie'!G25+'3A-Proiectii_fin_investitie'!F167-'3A-Proiectii_fin_investitie'!F168,0)</f>
        <v>141446.23001675127</v>
      </c>
      <c r="F13" s="201">
        <f>IF($B$4="NU",-'2B-Investitie'!H25+'3A-Proiectii_fin_investitie'!G167-'3A-Proiectii_fin_investitie'!G168,0)</f>
        <v>147732.85116316349</v>
      </c>
      <c r="G13" s="328"/>
      <c r="K13" s="330"/>
    </row>
    <row r="14" spans="1:13" s="335" customFormat="1" ht="14.4" x14ac:dyDescent="0.3">
      <c r="A14" s="332" t="s">
        <v>132</v>
      </c>
      <c r="B14" s="204">
        <f t="shared" si="0"/>
        <v>2104388.0365859349</v>
      </c>
      <c r="C14" s="204">
        <f>SUM(C11:C13)</f>
        <v>1230752.6784663864</v>
      </c>
      <c r="D14" s="204">
        <f t="shared" ref="D14:F14" si="2">SUM(D11:D13)</f>
        <v>209443.70654426859</v>
      </c>
      <c r="E14" s="204">
        <f t="shared" si="2"/>
        <v>287672.8778481519</v>
      </c>
      <c r="F14" s="204">
        <f t="shared" si="2"/>
        <v>376518.77372712799</v>
      </c>
      <c r="G14" s="334"/>
      <c r="K14" s="336"/>
    </row>
    <row r="15" spans="1:13" s="335" customFormat="1" ht="14.4" x14ac:dyDescent="0.3">
      <c r="A15" s="332" t="s">
        <v>133</v>
      </c>
      <c r="B15" s="204">
        <f t="shared" si="0"/>
        <v>3510.5256254323758</v>
      </c>
      <c r="C15" s="204">
        <f>C10-C14</f>
        <v>-1230752.6784663864</v>
      </c>
      <c r="D15" s="204">
        <f t="shared" ref="D15:F15" si="3">D10-D14</f>
        <v>443906.49232373136</v>
      </c>
      <c r="E15" s="204">
        <f t="shared" si="3"/>
        <v>412428.02585388784</v>
      </c>
      <c r="F15" s="204">
        <f t="shared" si="3"/>
        <v>377928.68591419962</v>
      </c>
      <c r="G15" s="334"/>
      <c r="K15" s="336"/>
    </row>
    <row r="16" spans="1:13" s="338" customFormat="1" ht="14.4" x14ac:dyDescent="0.3">
      <c r="A16" s="332" t="s">
        <v>134</v>
      </c>
      <c r="B16" s="204">
        <f t="shared" si="0"/>
        <v>-83297.49368233222</v>
      </c>
      <c r="C16" s="204">
        <f>C15*POWER(1+$B$6,-C7)</f>
        <v>-1183416.0369869098</v>
      </c>
      <c r="D16" s="204">
        <f t="shared" ref="D16:F16" si="4">D15*POWER(1+$B$6,-D7)</f>
        <v>410416.50547682261</v>
      </c>
      <c r="E16" s="204">
        <f t="shared" si="4"/>
        <v>366647.01319794025</v>
      </c>
      <c r="F16" s="204">
        <f t="shared" si="4"/>
        <v>323055.02462981472</v>
      </c>
      <c r="G16" s="337"/>
      <c r="K16" s="339"/>
    </row>
    <row r="17" spans="1:17" s="335" customFormat="1" ht="14.4" x14ac:dyDescent="0.3">
      <c r="A17" s="332" t="s">
        <v>266</v>
      </c>
      <c r="B17" s="204">
        <f t="shared" si="0"/>
        <v>1134970.8653846153</v>
      </c>
      <c r="C17" s="204">
        <f>IF($B$4="NU",(C12-'2B-Investitie'!E25)*POWER(1+$B$6,-C7),C12*POWER(1+$B$6,-C7))</f>
        <v>1134970.8653846153</v>
      </c>
      <c r="D17" s="204">
        <f>IF($B$4="NU",(D12-'2B-Investitie'!F25)*POWER(1+$B$6,-D7),D12*POWER(1+$B$6,-D7))</f>
        <v>0</v>
      </c>
      <c r="E17" s="204">
        <f>IF($B$4="NU",(E12-'2B-Investitie'!G25)*POWER(1+$B$6,-E7),E12*POWER(1+$B$6,-E7))</f>
        <v>0</v>
      </c>
      <c r="F17" s="204">
        <f>IF($B$4="NU",(F12-'2B-Investitie'!H25)*POWER(1+$B$6,-F7),F12*POWER(1+$B$6,-F7))</f>
        <v>0</v>
      </c>
      <c r="G17" s="334"/>
      <c r="K17" s="336"/>
    </row>
    <row r="18" spans="1:17" s="343" customFormat="1" ht="15.6" x14ac:dyDescent="0.3">
      <c r="A18" s="340" t="s">
        <v>173</v>
      </c>
      <c r="B18" s="250">
        <f>SUM(C16:F16)</f>
        <v>-83297.49368233222</v>
      </c>
      <c r="C18" s="341"/>
      <c r="D18" s="363"/>
      <c r="E18" s="342"/>
      <c r="F18" s="342"/>
      <c r="G18" s="342"/>
      <c r="H18" s="342"/>
      <c r="I18" s="342"/>
      <c r="J18" s="342"/>
      <c r="K18" s="342"/>
      <c r="L18" s="342"/>
      <c r="M18" s="334"/>
      <c r="Q18" s="344"/>
    </row>
    <row r="19" spans="1:17" s="343" customFormat="1" ht="15.6" x14ac:dyDescent="0.3">
      <c r="A19" s="332" t="s">
        <v>174</v>
      </c>
      <c r="B19" s="345">
        <f>IFERROR(IRR(C15:F15),"")</f>
        <v>1.4646856689508603E-3</v>
      </c>
      <c r="C19" s="395">
        <f>(IRR(C15:F15))</f>
        <v>1.4646856689508603E-3</v>
      </c>
      <c r="D19" s="363"/>
      <c r="E19" s="342"/>
      <c r="F19" s="342"/>
      <c r="G19" s="342"/>
      <c r="H19" s="342"/>
      <c r="I19" s="342"/>
      <c r="J19" s="342"/>
      <c r="K19" s="342"/>
      <c r="L19" s="342"/>
      <c r="M19" s="334"/>
      <c r="Q19" s="344"/>
    </row>
    <row r="20" spans="1:17" x14ac:dyDescent="0.3">
      <c r="A20" s="346"/>
      <c r="B20" s="347"/>
      <c r="C20" s="347"/>
      <c r="D20" s="347"/>
      <c r="E20" s="347"/>
      <c r="F20" s="322"/>
    </row>
    <row r="22" spans="1:17" s="159" customFormat="1" ht="64.5" customHeight="1" x14ac:dyDescent="0.3">
      <c r="A22" s="528" t="s">
        <v>500</v>
      </c>
      <c r="B22" s="528"/>
      <c r="C22" s="528"/>
      <c r="D22" s="528"/>
      <c r="E22" s="528"/>
      <c r="F22" s="528"/>
      <c r="G22" s="528"/>
      <c r="H22" s="528"/>
      <c r="I22" s="528"/>
      <c r="J22" s="528"/>
      <c r="K22" s="528"/>
      <c r="L22" s="528"/>
      <c r="M22" s="45"/>
    </row>
    <row r="23" spans="1:17" s="159" customFormat="1" x14ac:dyDescent="0.3">
      <c r="A23" s="160"/>
      <c r="B23" s="161"/>
      <c r="C23" s="161"/>
      <c r="D23" s="161"/>
      <c r="E23" s="161"/>
      <c r="F23" s="161"/>
      <c r="G23" s="161"/>
      <c r="H23" s="161"/>
      <c r="I23" s="161"/>
      <c r="J23" s="161"/>
      <c r="K23" s="162"/>
      <c r="L23" s="162"/>
      <c r="M23" s="45"/>
    </row>
    <row r="24" spans="1:17" s="159" customFormat="1" ht="36" x14ac:dyDescent="0.3">
      <c r="A24" s="261" t="s">
        <v>516</v>
      </c>
      <c r="B24" s="262" t="s">
        <v>346</v>
      </c>
      <c r="C24" s="262" t="s">
        <v>347</v>
      </c>
      <c r="D24" s="262" t="s">
        <v>348</v>
      </c>
      <c r="E24" s="262" t="s">
        <v>349</v>
      </c>
      <c r="G24" s="161"/>
      <c r="H24" s="161"/>
      <c r="I24" s="161"/>
      <c r="J24" s="161"/>
      <c r="K24" s="162"/>
      <c r="L24" s="162"/>
      <c r="M24" s="45"/>
    </row>
    <row r="25" spans="1:17" s="159" customFormat="1" x14ac:dyDescent="0.3">
      <c r="A25" s="240" t="s">
        <v>600</v>
      </c>
      <c r="B25" s="430">
        <v>1035185</v>
      </c>
      <c r="C25" s="235">
        <f>B25/$B$56</f>
        <v>1</v>
      </c>
      <c r="D25" s="234">
        <v>50</v>
      </c>
      <c r="E25" s="236">
        <f t="shared" ref="E25" si="5">ROUND(C25*D25,0)</f>
        <v>50</v>
      </c>
      <c r="G25" s="161"/>
      <c r="H25" s="161"/>
      <c r="I25" s="161"/>
      <c r="J25" s="161"/>
      <c r="K25" s="162"/>
      <c r="L25" s="162"/>
      <c r="M25" s="45"/>
    </row>
    <row r="26" spans="1:17" s="159" customFormat="1" x14ac:dyDescent="0.3">
      <c r="A26" s="240" t="s">
        <v>557</v>
      </c>
      <c r="B26" s="430">
        <v>0</v>
      </c>
      <c r="C26" s="235">
        <f>B26/$B$56</f>
        <v>0</v>
      </c>
      <c r="D26" s="234">
        <v>0</v>
      </c>
      <c r="E26" s="236">
        <f t="shared" ref="E26:E55" si="6">ROUND(C26*D26,0)</f>
        <v>0</v>
      </c>
      <c r="G26" s="161"/>
      <c r="H26" s="161"/>
      <c r="I26" s="161"/>
      <c r="J26" s="161"/>
      <c r="K26" s="162"/>
      <c r="L26" s="162"/>
      <c r="M26" s="45"/>
    </row>
    <row r="27" spans="1:17" s="159" customFormat="1" x14ac:dyDescent="0.3">
      <c r="A27" s="240" t="s">
        <v>557</v>
      </c>
      <c r="B27" s="234">
        <v>0</v>
      </c>
      <c r="C27" s="235">
        <f>B27/$B$56</f>
        <v>0</v>
      </c>
      <c r="D27" s="234">
        <v>0</v>
      </c>
      <c r="E27" s="236">
        <f t="shared" si="6"/>
        <v>0</v>
      </c>
      <c r="G27" s="161"/>
      <c r="H27" s="161"/>
      <c r="I27" s="161"/>
      <c r="J27" s="161"/>
      <c r="K27" s="162"/>
      <c r="L27" s="162"/>
      <c r="M27" s="45"/>
    </row>
    <row r="28" spans="1:17" s="159" customFormat="1" x14ac:dyDescent="0.3">
      <c r="A28" s="240" t="s">
        <v>557</v>
      </c>
      <c r="B28" s="234">
        <v>0</v>
      </c>
      <c r="C28" s="235">
        <f t="shared" ref="C28:C43" si="7">B28/$B$56</f>
        <v>0</v>
      </c>
      <c r="D28" s="234">
        <v>0</v>
      </c>
      <c r="E28" s="236">
        <f t="shared" si="6"/>
        <v>0</v>
      </c>
      <c r="G28" s="161"/>
      <c r="H28" s="161"/>
      <c r="I28" s="161"/>
      <c r="J28" s="161"/>
      <c r="K28" s="162"/>
      <c r="L28" s="162"/>
      <c r="M28" s="45"/>
    </row>
    <row r="29" spans="1:17" s="159" customFormat="1" x14ac:dyDescent="0.3">
      <c r="A29" s="240" t="s">
        <v>557</v>
      </c>
      <c r="B29" s="234">
        <v>0</v>
      </c>
      <c r="C29" s="235">
        <f t="shared" si="7"/>
        <v>0</v>
      </c>
      <c r="D29" s="234">
        <v>0</v>
      </c>
      <c r="E29" s="236">
        <f t="shared" si="6"/>
        <v>0</v>
      </c>
      <c r="G29" s="161"/>
      <c r="H29" s="161"/>
      <c r="I29" s="161"/>
      <c r="J29" s="161"/>
      <c r="K29" s="162"/>
      <c r="L29" s="162"/>
      <c r="M29" s="45"/>
    </row>
    <row r="30" spans="1:17" s="159" customFormat="1" x14ac:dyDescent="0.3">
      <c r="A30" s="240" t="s">
        <v>557</v>
      </c>
      <c r="B30" s="234">
        <v>0</v>
      </c>
      <c r="C30" s="235">
        <f t="shared" si="7"/>
        <v>0</v>
      </c>
      <c r="D30" s="234">
        <v>0</v>
      </c>
      <c r="E30" s="236">
        <f t="shared" si="6"/>
        <v>0</v>
      </c>
      <c r="G30" s="161"/>
      <c r="H30" s="161"/>
      <c r="I30" s="161"/>
      <c r="J30" s="161"/>
      <c r="K30" s="162"/>
      <c r="L30" s="162"/>
      <c r="M30" s="45"/>
    </row>
    <row r="31" spans="1:17" s="159" customFormat="1" x14ac:dyDescent="0.3">
      <c r="A31" s="240" t="s">
        <v>557</v>
      </c>
      <c r="B31" s="234">
        <v>0</v>
      </c>
      <c r="C31" s="235">
        <f t="shared" si="7"/>
        <v>0</v>
      </c>
      <c r="D31" s="234">
        <v>0</v>
      </c>
      <c r="E31" s="236">
        <f t="shared" si="6"/>
        <v>0</v>
      </c>
      <c r="G31" s="161"/>
      <c r="H31" s="161"/>
      <c r="I31" s="161"/>
      <c r="J31" s="161"/>
      <c r="K31" s="162"/>
      <c r="L31" s="162"/>
      <c r="M31" s="45"/>
    </row>
    <row r="32" spans="1:17" s="159" customFormat="1" x14ac:dyDescent="0.3">
      <c r="A32" s="240" t="s">
        <v>557</v>
      </c>
      <c r="B32" s="234">
        <v>0</v>
      </c>
      <c r="C32" s="235">
        <f t="shared" si="7"/>
        <v>0</v>
      </c>
      <c r="D32" s="234">
        <v>0</v>
      </c>
      <c r="E32" s="236">
        <f t="shared" si="6"/>
        <v>0</v>
      </c>
      <c r="G32" s="161"/>
      <c r="H32" s="161"/>
      <c r="I32" s="161"/>
      <c r="J32" s="161"/>
      <c r="K32" s="162"/>
      <c r="L32" s="162"/>
      <c r="M32" s="45"/>
    </row>
    <row r="33" spans="1:13" s="159" customFormat="1" x14ac:dyDescent="0.3">
      <c r="A33" s="240" t="s">
        <v>557</v>
      </c>
      <c r="B33" s="234">
        <v>0</v>
      </c>
      <c r="C33" s="235">
        <f t="shared" si="7"/>
        <v>0</v>
      </c>
      <c r="D33" s="234">
        <v>0</v>
      </c>
      <c r="E33" s="236">
        <f t="shared" si="6"/>
        <v>0</v>
      </c>
      <c r="G33" s="161"/>
      <c r="H33" s="161"/>
      <c r="I33" s="161"/>
      <c r="J33" s="161"/>
      <c r="K33" s="162"/>
      <c r="L33" s="162"/>
      <c r="M33" s="45"/>
    </row>
    <row r="34" spans="1:13" s="159" customFormat="1" x14ac:dyDescent="0.3">
      <c r="A34" s="240" t="s">
        <v>557</v>
      </c>
      <c r="B34" s="234">
        <v>0</v>
      </c>
      <c r="C34" s="235">
        <f t="shared" si="7"/>
        <v>0</v>
      </c>
      <c r="D34" s="234">
        <v>0</v>
      </c>
      <c r="E34" s="236">
        <f t="shared" si="6"/>
        <v>0</v>
      </c>
      <c r="G34" s="161"/>
      <c r="H34" s="161"/>
      <c r="I34" s="161"/>
      <c r="J34" s="161"/>
      <c r="K34" s="162"/>
      <c r="L34" s="162"/>
      <c r="M34" s="45"/>
    </row>
    <row r="35" spans="1:13" s="159" customFormat="1" x14ac:dyDescent="0.3">
      <c r="A35" s="240" t="s">
        <v>557</v>
      </c>
      <c r="B35" s="234">
        <v>0</v>
      </c>
      <c r="C35" s="235">
        <f t="shared" si="7"/>
        <v>0</v>
      </c>
      <c r="D35" s="234">
        <v>0</v>
      </c>
      <c r="E35" s="236">
        <f t="shared" si="6"/>
        <v>0</v>
      </c>
      <c r="G35" s="161"/>
      <c r="H35" s="161"/>
      <c r="I35" s="161"/>
      <c r="J35" s="161"/>
      <c r="K35" s="162"/>
      <c r="L35" s="162"/>
      <c r="M35" s="45"/>
    </row>
    <row r="36" spans="1:13" s="159" customFormat="1" x14ac:dyDescent="0.3">
      <c r="A36" s="240" t="s">
        <v>557</v>
      </c>
      <c r="B36" s="234">
        <v>0</v>
      </c>
      <c r="C36" s="235">
        <f t="shared" si="7"/>
        <v>0</v>
      </c>
      <c r="D36" s="234">
        <v>0</v>
      </c>
      <c r="E36" s="236">
        <f t="shared" si="6"/>
        <v>0</v>
      </c>
      <c r="G36" s="161"/>
      <c r="H36" s="161"/>
      <c r="I36" s="161"/>
      <c r="J36" s="161"/>
      <c r="K36" s="162"/>
      <c r="L36" s="162"/>
      <c r="M36" s="45"/>
    </row>
    <row r="37" spans="1:13" s="159" customFormat="1" x14ac:dyDescent="0.3">
      <c r="A37" s="240" t="s">
        <v>557</v>
      </c>
      <c r="B37" s="234">
        <v>0</v>
      </c>
      <c r="C37" s="235">
        <f t="shared" si="7"/>
        <v>0</v>
      </c>
      <c r="D37" s="234">
        <v>0</v>
      </c>
      <c r="E37" s="236">
        <f t="shared" si="6"/>
        <v>0</v>
      </c>
      <c r="G37" s="161"/>
      <c r="H37" s="161"/>
      <c r="I37" s="161"/>
      <c r="J37" s="161"/>
      <c r="K37" s="162"/>
      <c r="L37" s="162"/>
      <c r="M37" s="45"/>
    </row>
    <row r="38" spans="1:13" s="159" customFormat="1" x14ac:dyDescent="0.3">
      <c r="A38" s="240" t="s">
        <v>557</v>
      </c>
      <c r="B38" s="234">
        <v>0</v>
      </c>
      <c r="C38" s="235">
        <f t="shared" si="7"/>
        <v>0</v>
      </c>
      <c r="D38" s="234">
        <v>0</v>
      </c>
      <c r="E38" s="236">
        <f t="shared" si="6"/>
        <v>0</v>
      </c>
      <c r="G38" s="161"/>
      <c r="H38" s="161"/>
      <c r="I38" s="161"/>
      <c r="J38" s="161"/>
      <c r="K38" s="162"/>
      <c r="L38" s="162"/>
      <c r="M38" s="45"/>
    </row>
    <row r="39" spans="1:13" s="159" customFormat="1" x14ac:dyDescent="0.3">
      <c r="A39" s="240" t="s">
        <v>557</v>
      </c>
      <c r="B39" s="234">
        <v>0</v>
      </c>
      <c r="C39" s="235">
        <f t="shared" si="7"/>
        <v>0</v>
      </c>
      <c r="D39" s="234">
        <v>0</v>
      </c>
      <c r="E39" s="236">
        <f t="shared" si="6"/>
        <v>0</v>
      </c>
      <c r="G39" s="161"/>
      <c r="H39" s="161"/>
      <c r="I39" s="161"/>
      <c r="J39" s="161"/>
      <c r="K39" s="162"/>
      <c r="L39" s="162"/>
      <c r="M39" s="45"/>
    </row>
    <row r="40" spans="1:13" s="159" customFormat="1" x14ac:dyDescent="0.3">
      <c r="A40" s="240" t="s">
        <v>557</v>
      </c>
      <c r="B40" s="234">
        <v>0</v>
      </c>
      <c r="C40" s="235">
        <f t="shared" si="7"/>
        <v>0</v>
      </c>
      <c r="D40" s="234">
        <v>0</v>
      </c>
      <c r="E40" s="236">
        <f t="shared" si="6"/>
        <v>0</v>
      </c>
      <c r="G40" s="161"/>
      <c r="H40" s="161"/>
      <c r="I40" s="161"/>
      <c r="J40" s="161"/>
      <c r="K40" s="162"/>
      <c r="L40" s="162"/>
      <c r="M40" s="45"/>
    </row>
    <row r="41" spans="1:13" s="159" customFormat="1" x14ac:dyDescent="0.3">
      <c r="A41" s="240" t="s">
        <v>557</v>
      </c>
      <c r="B41" s="234">
        <v>0</v>
      </c>
      <c r="C41" s="235">
        <f t="shared" si="7"/>
        <v>0</v>
      </c>
      <c r="D41" s="234">
        <v>0</v>
      </c>
      <c r="E41" s="236">
        <f t="shared" si="6"/>
        <v>0</v>
      </c>
      <c r="G41" s="161"/>
      <c r="H41" s="161"/>
      <c r="I41" s="161"/>
      <c r="J41" s="161"/>
      <c r="K41" s="162"/>
      <c r="L41" s="162"/>
      <c r="M41" s="45"/>
    </row>
    <row r="42" spans="1:13" s="159" customFormat="1" x14ac:dyDescent="0.3">
      <c r="A42" s="240" t="s">
        <v>557</v>
      </c>
      <c r="B42" s="234">
        <v>0</v>
      </c>
      <c r="C42" s="235">
        <f t="shared" si="7"/>
        <v>0</v>
      </c>
      <c r="D42" s="234">
        <v>0</v>
      </c>
      <c r="E42" s="236">
        <f t="shared" si="6"/>
        <v>0</v>
      </c>
      <c r="G42" s="161"/>
      <c r="H42" s="161"/>
      <c r="I42" s="161"/>
      <c r="J42" s="161"/>
      <c r="K42" s="162"/>
      <c r="L42" s="162"/>
      <c r="M42" s="45"/>
    </row>
    <row r="43" spans="1:13" s="159" customFormat="1" x14ac:dyDescent="0.3">
      <c r="A43" s="240" t="s">
        <v>557</v>
      </c>
      <c r="B43" s="234">
        <v>0</v>
      </c>
      <c r="C43" s="235">
        <f t="shared" si="7"/>
        <v>0</v>
      </c>
      <c r="D43" s="234">
        <v>0</v>
      </c>
      <c r="E43" s="236">
        <f t="shared" si="6"/>
        <v>0</v>
      </c>
      <c r="G43" s="161"/>
      <c r="H43" s="161"/>
      <c r="I43" s="161"/>
      <c r="J43" s="161"/>
      <c r="K43" s="162"/>
      <c r="L43" s="162"/>
      <c r="M43" s="45"/>
    </row>
    <row r="44" spans="1:13" s="159" customFormat="1" x14ac:dyDescent="0.3">
      <c r="A44" s="240" t="s">
        <v>557</v>
      </c>
      <c r="B44" s="234">
        <v>0</v>
      </c>
      <c r="C44" s="235">
        <f t="shared" ref="C44:C55" si="8">B44/$B$56</f>
        <v>0</v>
      </c>
      <c r="D44" s="234">
        <v>0</v>
      </c>
      <c r="E44" s="236">
        <f t="shared" si="6"/>
        <v>0</v>
      </c>
      <c r="G44" s="161"/>
      <c r="H44" s="161"/>
      <c r="I44" s="161"/>
      <c r="J44" s="161"/>
      <c r="K44" s="162"/>
      <c r="L44" s="162"/>
      <c r="M44" s="45"/>
    </row>
    <row r="45" spans="1:13" s="159" customFormat="1" x14ac:dyDescent="0.3">
      <c r="A45" s="240" t="s">
        <v>557</v>
      </c>
      <c r="B45" s="234">
        <v>0</v>
      </c>
      <c r="C45" s="235">
        <f t="shared" si="8"/>
        <v>0</v>
      </c>
      <c r="D45" s="234">
        <v>0</v>
      </c>
      <c r="E45" s="236">
        <f t="shared" si="6"/>
        <v>0</v>
      </c>
      <c r="G45" s="161"/>
      <c r="H45" s="161"/>
      <c r="I45" s="161"/>
      <c r="J45" s="161"/>
      <c r="K45" s="162"/>
      <c r="L45" s="162"/>
      <c r="M45" s="45"/>
    </row>
    <row r="46" spans="1:13" s="159" customFormat="1" x14ac:dyDescent="0.3">
      <c r="A46" s="240" t="s">
        <v>557</v>
      </c>
      <c r="B46" s="234">
        <v>0</v>
      </c>
      <c r="C46" s="235">
        <f t="shared" si="8"/>
        <v>0</v>
      </c>
      <c r="D46" s="234">
        <v>0</v>
      </c>
      <c r="E46" s="236">
        <f t="shared" si="6"/>
        <v>0</v>
      </c>
      <c r="G46" s="161"/>
      <c r="H46" s="161"/>
      <c r="I46" s="161"/>
      <c r="J46" s="161"/>
      <c r="K46" s="162"/>
      <c r="L46" s="162"/>
      <c r="M46" s="45"/>
    </row>
    <row r="47" spans="1:13" s="159" customFormat="1" x14ac:dyDescent="0.3">
      <c r="A47" s="240" t="s">
        <v>557</v>
      </c>
      <c r="B47" s="234">
        <v>0</v>
      </c>
      <c r="C47" s="235">
        <f t="shared" si="8"/>
        <v>0</v>
      </c>
      <c r="D47" s="234">
        <v>0</v>
      </c>
      <c r="E47" s="236">
        <f t="shared" si="6"/>
        <v>0</v>
      </c>
      <c r="G47" s="161"/>
      <c r="H47" s="161"/>
      <c r="I47" s="161"/>
      <c r="J47" s="161"/>
      <c r="K47" s="162"/>
      <c r="L47" s="162"/>
      <c r="M47" s="45"/>
    </row>
    <row r="48" spans="1:13" s="159" customFormat="1" x14ac:dyDescent="0.3">
      <c r="A48" s="240" t="s">
        <v>557</v>
      </c>
      <c r="B48" s="234">
        <v>0</v>
      </c>
      <c r="C48" s="235">
        <f t="shared" si="8"/>
        <v>0</v>
      </c>
      <c r="D48" s="234">
        <v>0</v>
      </c>
      <c r="E48" s="236">
        <f t="shared" si="6"/>
        <v>0</v>
      </c>
      <c r="G48" s="161"/>
      <c r="H48" s="161"/>
      <c r="I48" s="161"/>
      <c r="J48" s="161"/>
      <c r="K48" s="162"/>
      <c r="L48" s="162"/>
      <c r="M48" s="45"/>
    </row>
    <row r="49" spans="1:13" s="159" customFormat="1" x14ac:dyDescent="0.3">
      <c r="A49" s="240" t="s">
        <v>557</v>
      </c>
      <c r="B49" s="234">
        <v>0</v>
      </c>
      <c r="C49" s="235">
        <f t="shared" si="8"/>
        <v>0</v>
      </c>
      <c r="D49" s="234">
        <v>0</v>
      </c>
      <c r="E49" s="236">
        <f t="shared" si="6"/>
        <v>0</v>
      </c>
      <c r="G49" s="161"/>
      <c r="H49" s="161"/>
      <c r="I49" s="161"/>
      <c r="J49" s="161"/>
      <c r="K49" s="162"/>
      <c r="L49" s="162"/>
      <c r="M49" s="45"/>
    </row>
    <row r="50" spans="1:13" s="159" customFormat="1" x14ac:dyDescent="0.3">
      <c r="A50" s="240" t="s">
        <v>557</v>
      </c>
      <c r="B50" s="234">
        <v>0</v>
      </c>
      <c r="C50" s="235">
        <f t="shared" si="8"/>
        <v>0</v>
      </c>
      <c r="D50" s="234">
        <v>0</v>
      </c>
      <c r="E50" s="236">
        <f t="shared" si="6"/>
        <v>0</v>
      </c>
      <c r="G50" s="161"/>
      <c r="H50" s="161"/>
      <c r="I50" s="161"/>
      <c r="J50" s="161"/>
      <c r="K50" s="162"/>
      <c r="L50" s="162"/>
      <c r="M50" s="45"/>
    </row>
    <row r="51" spans="1:13" s="159" customFormat="1" x14ac:dyDescent="0.3">
      <c r="A51" s="240" t="s">
        <v>557</v>
      </c>
      <c r="B51" s="234">
        <v>0</v>
      </c>
      <c r="C51" s="235">
        <f t="shared" si="8"/>
        <v>0</v>
      </c>
      <c r="D51" s="234">
        <v>0</v>
      </c>
      <c r="E51" s="236">
        <f t="shared" si="6"/>
        <v>0</v>
      </c>
      <c r="G51" s="161"/>
      <c r="H51" s="161"/>
      <c r="I51" s="161"/>
      <c r="J51" s="161"/>
      <c r="K51" s="162"/>
      <c r="L51" s="162"/>
      <c r="M51" s="45"/>
    </row>
    <row r="52" spans="1:13" s="159" customFormat="1" x14ac:dyDescent="0.3">
      <c r="A52" s="240" t="s">
        <v>557</v>
      </c>
      <c r="B52" s="234">
        <v>0</v>
      </c>
      <c r="C52" s="235">
        <f t="shared" si="8"/>
        <v>0</v>
      </c>
      <c r="D52" s="234">
        <v>0</v>
      </c>
      <c r="E52" s="236">
        <f t="shared" si="6"/>
        <v>0</v>
      </c>
      <c r="G52" s="161"/>
      <c r="H52" s="161"/>
      <c r="I52" s="161"/>
      <c r="J52" s="161"/>
      <c r="K52" s="162"/>
      <c r="L52" s="162"/>
      <c r="M52" s="45"/>
    </row>
    <row r="53" spans="1:13" s="159" customFormat="1" x14ac:dyDescent="0.3">
      <c r="A53" s="240" t="s">
        <v>557</v>
      </c>
      <c r="B53" s="234">
        <v>0</v>
      </c>
      <c r="C53" s="235">
        <f t="shared" si="8"/>
        <v>0</v>
      </c>
      <c r="D53" s="234">
        <v>0</v>
      </c>
      <c r="E53" s="236">
        <f t="shared" si="6"/>
        <v>0</v>
      </c>
      <c r="G53" s="161"/>
      <c r="H53" s="161"/>
      <c r="I53" s="161"/>
      <c r="J53" s="161"/>
      <c r="K53" s="162"/>
      <c r="L53" s="162"/>
      <c r="M53" s="45"/>
    </row>
    <row r="54" spans="1:13" s="159" customFormat="1" x14ac:dyDescent="0.3">
      <c r="A54" s="240" t="s">
        <v>557</v>
      </c>
      <c r="B54" s="234">
        <v>0</v>
      </c>
      <c r="C54" s="235">
        <f t="shared" si="8"/>
        <v>0</v>
      </c>
      <c r="D54" s="234">
        <v>0</v>
      </c>
      <c r="E54" s="236">
        <f t="shared" si="6"/>
        <v>0</v>
      </c>
      <c r="G54" s="161"/>
      <c r="H54" s="161"/>
      <c r="I54" s="161"/>
      <c r="J54" s="161"/>
      <c r="K54" s="162"/>
      <c r="L54" s="162"/>
      <c r="M54" s="45"/>
    </row>
    <row r="55" spans="1:13" s="159" customFormat="1" x14ac:dyDescent="0.3">
      <c r="A55" s="240" t="s">
        <v>557</v>
      </c>
      <c r="B55" s="234">
        <v>0</v>
      </c>
      <c r="C55" s="235">
        <f t="shared" si="8"/>
        <v>0</v>
      </c>
      <c r="D55" s="234">
        <v>0</v>
      </c>
      <c r="E55" s="236">
        <f t="shared" si="6"/>
        <v>0</v>
      </c>
      <c r="G55" s="161"/>
      <c r="H55" s="161"/>
      <c r="I55" s="161"/>
      <c r="J55" s="161"/>
      <c r="K55" s="162"/>
      <c r="L55" s="162"/>
      <c r="M55" s="45"/>
    </row>
    <row r="56" spans="1:13" s="159" customFormat="1" x14ac:dyDescent="0.3">
      <c r="A56" s="237" t="s">
        <v>130</v>
      </c>
      <c r="B56" s="238">
        <f>SUM(B25:B55)</f>
        <v>1035185</v>
      </c>
      <c r="C56" s="239">
        <f>SUM(C25:C55)</f>
        <v>1</v>
      </c>
      <c r="D56" s="238"/>
      <c r="E56" s="238">
        <f>SUM(E25:E55)</f>
        <v>50</v>
      </c>
      <c r="G56" s="163"/>
      <c r="H56" s="163"/>
      <c r="I56" s="163"/>
      <c r="J56" s="163"/>
      <c r="K56" s="158"/>
      <c r="L56" s="158"/>
      <c r="M56" s="45"/>
    </row>
    <row r="57" spans="1:13" s="159" customFormat="1" x14ac:dyDescent="0.3">
      <c r="A57" s="160"/>
      <c r="B57" s="163"/>
      <c r="C57" s="163"/>
      <c r="D57" s="163"/>
      <c r="E57" s="163"/>
      <c r="F57" s="163"/>
      <c r="G57" s="163"/>
      <c r="H57" s="163"/>
      <c r="I57" s="163"/>
      <c r="J57" s="163"/>
      <c r="K57" s="158"/>
      <c r="L57" s="158"/>
      <c r="M57" s="45"/>
    </row>
    <row r="58" spans="1:13" s="159" customFormat="1" ht="12" x14ac:dyDescent="0.3">
      <c r="A58" s="164"/>
      <c r="B58" s="165"/>
      <c r="C58" s="165"/>
      <c r="D58" s="165"/>
      <c r="E58" s="165"/>
      <c r="F58" s="165"/>
      <c r="G58" s="165"/>
      <c r="H58" s="165"/>
      <c r="I58" s="165"/>
      <c r="J58" s="165"/>
      <c r="K58" s="165"/>
      <c r="L58" s="21"/>
    </row>
    <row r="59" spans="1:13" s="159" customFormat="1" ht="12" x14ac:dyDescent="0.3">
      <c r="A59" s="523" t="s">
        <v>352</v>
      </c>
      <c r="B59" s="529" t="s">
        <v>501</v>
      </c>
      <c r="C59" s="529"/>
      <c r="D59" s="529"/>
      <c r="E59" s="529"/>
      <c r="F59" s="21"/>
    </row>
    <row r="60" spans="1:13" s="159" customFormat="1" ht="12" x14ac:dyDescent="0.3">
      <c r="A60" s="523"/>
      <c r="B60" s="242">
        <v>1</v>
      </c>
      <c r="C60" s="242">
        <f>B60+1</f>
        <v>2</v>
      </c>
      <c r="D60" s="242">
        <f t="shared" ref="D60:E60" si="9">C60+1</f>
        <v>3</v>
      </c>
      <c r="E60" s="242">
        <f t="shared" si="9"/>
        <v>4</v>
      </c>
      <c r="F60" s="21"/>
    </row>
    <row r="61" spans="1:13" s="159" customFormat="1" ht="12" x14ac:dyDescent="0.3">
      <c r="A61" s="246" t="s">
        <v>133</v>
      </c>
      <c r="B61" s="244">
        <f t="shared" ref="B61:E61" si="10">C15</f>
        <v>-1230752.6784663864</v>
      </c>
      <c r="C61" s="244">
        <f t="shared" si="10"/>
        <v>443906.49232373136</v>
      </c>
      <c r="D61" s="244">
        <f t="shared" si="10"/>
        <v>412428.02585388784</v>
      </c>
      <c r="E61" s="244">
        <f t="shared" si="10"/>
        <v>377928.68591419962</v>
      </c>
      <c r="F61" s="21"/>
    </row>
    <row r="62" spans="1:13" s="159" customFormat="1" x14ac:dyDescent="0.3">
      <c r="A62" s="246" t="s">
        <v>350</v>
      </c>
      <c r="B62" s="244"/>
      <c r="C62" s="244"/>
      <c r="D62" s="244"/>
      <c r="E62" s="244">
        <f>IF(F8-F14&gt;0,NPV(4%,B69:K69,B73:K73,B77:K77,B81:K81,B85:G85),0)</f>
        <v>7892909.6761994017</v>
      </c>
      <c r="F62" s="166"/>
      <c r="G62" s="167"/>
      <c r="H62" s="45"/>
    </row>
    <row r="63" spans="1:13" s="159" customFormat="1" x14ac:dyDescent="0.3">
      <c r="A63" s="237" t="s">
        <v>351</v>
      </c>
      <c r="B63" s="238">
        <f>SUM(B61:B62)</f>
        <v>-1230752.6784663864</v>
      </c>
      <c r="C63" s="238">
        <f>SUM(C61:C62)</f>
        <v>443906.49232373136</v>
      </c>
      <c r="D63" s="238">
        <f>SUM(D61:D62)</f>
        <v>412428.02585388784</v>
      </c>
      <c r="E63" s="238">
        <f>SUM(E61:E62)</f>
        <v>8270838.3621136015</v>
      </c>
      <c r="F63" s="168"/>
      <c r="G63" s="169"/>
      <c r="H63" s="45"/>
    </row>
    <row r="66" spans="1:26" s="348" customFormat="1" ht="13.2" x14ac:dyDescent="0.3">
      <c r="A66" s="233"/>
      <c r="B66" s="241">
        <f>IF($E$56-$E$60&gt;0,$E$56-$E$60,0)</f>
        <v>46</v>
      </c>
      <c r="C66" s="525" t="s">
        <v>445</v>
      </c>
      <c r="D66" s="526"/>
      <c r="E66" s="526"/>
      <c r="F66" s="527"/>
      <c r="G66" s="21"/>
      <c r="H66" s="21"/>
      <c r="I66" s="21"/>
      <c r="J66" s="21"/>
      <c r="K66" s="21"/>
      <c r="L66" s="21"/>
      <c r="M66" s="159"/>
      <c r="N66" s="159"/>
      <c r="O66" s="159"/>
      <c r="P66" s="159"/>
      <c r="Q66" s="159"/>
      <c r="R66" s="159"/>
      <c r="S66" s="159"/>
      <c r="T66" s="159"/>
      <c r="U66" s="159"/>
      <c r="V66" s="159"/>
      <c r="W66" s="159"/>
      <c r="X66" s="159"/>
      <c r="Y66" s="159"/>
      <c r="Z66" s="159"/>
    </row>
    <row r="67" spans="1:26" s="348" customFormat="1" ht="13.2" x14ac:dyDescent="0.3">
      <c r="A67" s="233"/>
      <c r="B67" s="403" t="s">
        <v>502</v>
      </c>
      <c r="C67" s="403"/>
      <c r="D67" s="403"/>
      <c r="E67" s="403"/>
      <c r="F67" s="403"/>
      <c r="G67" s="403"/>
      <c r="H67" s="403"/>
      <c r="I67" s="403"/>
      <c r="J67" s="403"/>
      <c r="K67" s="403"/>
      <c r="L67" s="21"/>
    </row>
    <row r="68" spans="1:26" s="348" customFormat="1" ht="13.2" x14ac:dyDescent="0.3">
      <c r="A68" s="245" t="s">
        <v>446</v>
      </c>
      <c r="B68" s="242">
        <f>IF(B66&gt;0,1,0)</f>
        <v>1</v>
      </c>
      <c r="C68" s="243">
        <f t="shared" ref="C68:K68" si="11">IF(B68&gt;0,IF(AND(0&lt;B68,B68&lt;$B$66),B68+1,0),0)</f>
        <v>2</v>
      </c>
      <c r="D68" s="268">
        <f t="shared" si="11"/>
        <v>3</v>
      </c>
      <c r="E68" s="268">
        <f t="shared" si="11"/>
        <v>4</v>
      </c>
      <c r="F68" s="268">
        <f t="shared" si="11"/>
        <v>5</v>
      </c>
      <c r="G68" s="268">
        <f t="shared" si="11"/>
        <v>6</v>
      </c>
      <c r="H68" s="268">
        <f t="shared" si="11"/>
        <v>7</v>
      </c>
      <c r="I68" s="268">
        <f t="shared" si="11"/>
        <v>8</v>
      </c>
      <c r="J68" s="268">
        <f t="shared" si="11"/>
        <v>9</v>
      </c>
      <c r="K68" s="268">
        <f t="shared" si="11"/>
        <v>10</v>
      </c>
      <c r="L68" s="21"/>
    </row>
    <row r="69" spans="1:26" s="348" customFormat="1" ht="13.2" x14ac:dyDescent="0.3">
      <c r="A69" s="245" t="s">
        <v>133</v>
      </c>
      <c r="B69" s="244">
        <f>N(AND(B68&gt;0,$E$61&gt;0)*$E$61)</f>
        <v>377928.68591419962</v>
      </c>
      <c r="C69" s="244">
        <f t="shared" ref="C69:E69" si="12">N(AND(C68&gt;0,$E$61&gt;0)*$E$61)</f>
        <v>377928.68591419962</v>
      </c>
      <c r="D69" s="244">
        <f t="shared" si="12"/>
        <v>377928.68591419962</v>
      </c>
      <c r="E69" s="244">
        <f t="shared" si="12"/>
        <v>377928.68591419962</v>
      </c>
      <c r="F69" s="244">
        <f t="shared" ref="F69" si="13">N(AND(F68&gt;0,$E$61&gt;0)*$E$61)</f>
        <v>377928.68591419962</v>
      </c>
      <c r="G69" s="244">
        <f t="shared" ref="G69" si="14">N(AND(G68&gt;0,$E$61&gt;0)*$E$61)</f>
        <v>377928.68591419962</v>
      </c>
      <c r="H69" s="244">
        <f t="shared" ref="H69" si="15">N(AND(H68&gt;0,$E$61&gt;0)*$E$61)</f>
        <v>377928.68591419962</v>
      </c>
      <c r="I69" s="244">
        <f t="shared" ref="I69" si="16">N(AND(I68&gt;0,$E$61&gt;0)*$E$61)</f>
        <v>377928.68591419962</v>
      </c>
      <c r="J69" s="244">
        <f t="shared" ref="J69" si="17">N(AND(J68&gt;0,$E$61&gt;0)*$E$61)</f>
        <v>377928.68591419962</v>
      </c>
      <c r="K69" s="244">
        <f t="shared" ref="K69" si="18">N(AND(K68&gt;0,$E$61&gt;0)*$E$61)</f>
        <v>377928.68591419962</v>
      </c>
      <c r="L69" s="21"/>
    </row>
    <row r="70" spans="1:26" s="348" customFormat="1" x14ac:dyDescent="0.3">
      <c r="A70" s="349"/>
      <c r="B70" s="158"/>
      <c r="C70" s="16"/>
      <c r="D70" s="158"/>
      <c r="E70" s="158"/>
      <c r="F70" s="158"/>
      <c r="G70" s="158"/>
      <c r="H70" s="158"/>
      <c r="I70" s="158"/>
      <c r="J70" s="158"/>
      <c r="K70" s="158"/>
      <c r="L70" s="158"/>
      <c r="M70" s="45"/>
    </row>
    <row r="71" spans="1:26" s="348" customFormat="1" ht="13.2" x14ac:dyDescent="0.3">
      <c r="A71" s="349"/>
      <c r="B71" s="520" t="s">
        <v>499</v>
      </c>
      <c r="C71" s="521"/>
      <c r="D71" s="521"/>
      <c r="E71" s="522"/>
      <c r="F71" s="403"/>
      <c r="G71" s="403"/>
      <c r="H71" s="403"/>
      <c r="I71" s="403"/>
      <c r="J71" s="403"/>
      <c r="K71" s="403"/>
      <c r="L71" s="21"/>
    </row>
    <row r="72" spans="1:26" s="348" customFormat="1" ht="13.2" x14ac:dyDescent="0.3">
      <c r="A72" s="245" t="s">
        <v>446</v>
      </c>
      <c r="B72" s="268">
        <f>IF(K68&gt;0,IF(AND(0&lt;K68,K68&lt;$B$66),K68+1,0),0)</f>
        <v>11</v>
      </c>
      <c r="C72" s="268">
        <f t="shared" ref="C72:K72" si="19">IF(B72&gt;0,IF(AND(0&lt;B72,B72&lt;$B$66),B72+1,0),0)</f>
        <v>12</v>
      </c>
      <c r="D72" s="268">
        <f t="shared" si="19"/>
        <v>13</v>
      </c>
      <c r="E72" s="268">
        <f t="shared" si="19"/>
        <v>14</v>
      </c>
      <c r="F72" s="268">
        <f t="shared" si="19"/>
        <v>15</v>
      </c>
      <c r="G72" s="268">
        <f t="shared" si="19"/>
        <v>16</v>
      </c>
      <c r="H72" s="268">
        <f t="shared" si="19"/>
        <v>17</v>
      </c>
      <c r="I72" s="268">
        <f t="shared" si="19"/>
        <v>18</v>
      </c>
      <c r="J72" s="268">
        <f t="shared" si="19"/>
        <v>19</v>
      </c>
      <c r="K72" s="268">
        <f t="shared" si="19"/>
        <v>20</v>
      </c>
      <c r="L72" s="21"/>
    </row>
    <row r="73" spans="1:26" s="348" customFormat="1" ht="13.2" x14ac:dyDescent="0.3">
      <c r="A73" s="245" t="s">
        <v>133</v>
      </c>
      <c r="B73" s="244">
        <f>N(AND(B72&gt;0,$E$61&gt;0)*$E$61)</f>
        <v>377928.68591419962</v>
      </c>
      <c r="C73" s="244">
        <f t="shared" ref="C73:K73" si="20">N(AND(C72&gt;0,$E$61&gt;0)*$E$61)</f>
        <v>377928.68591419962</v>
      </c>
      <c r="D73" s="244">
        <f t="shared" si="20"/>
        <v>377928.68591419962</v>
      </c>
      <c r="E73" s="244">
        <f t="shared" si="20"/>
        <v>377928.68591419962</v>
      </c>
      <c r="F73" s="244">
        <f t="shared" si="20"/>
        <v>377928.68591419962</v>
      </c>
      <c r="G73" s="244">
        <f t="shared" si="20"/>
        <v>377928.68591419962</v>
      </c>
      <c r="H73" s="244">
        <f t="shared" si="20"/>
        <v>377928.68591419962</v>
      </c>
      <c r="I73" s="244">
        <f t="shared" si="20"/>
        <v>377928.68591419962</v>
      </c>
      <c r="J73" s="244">
        <f t="shared" si="20"/>
        <v>377928.68591419962</v>
      </c>
      <c r="K73" s="244">
        <f t="shared" si="20"/>
        <v>377928.68591419962</v>
      </c>
      <c r="L73" s="21"/>
    </row>
    <row r="74" spans="1:26" s="348" customFormat="1" x14ac:dyDescent="0.3">
      <c r="A74" s="349"/>
      <c r="B74" s="158"/>
      <c r="C74" s="16"/>
      <c r="D74" s="158"/>
      <c r="E74" s="158"/>
      <c r="F74" s="158"/>
      <c r="G74" s="158"/>
      <c r="H74" s="158"/>
      <c r="I74" s="158"/>
      <c r="J74" s="158"/>
      <c r="K74" s="158"/>
      <c r="L74" s="158"/>
      <c r="M74" s="45"/>
    </row>
    <row r="75" spans="1:26" s="348" customFormat="1" x14ac:dyDescent="0.3">
      <c r="A75" s="349"/>
      <c r="B75" s="520" t="s">
        <v>499</v>
      </c>
      <c r="C75" s="521"/>
      <c r="D75" s="521"/>
      <c r="E75" s="522"/>
      <c r="F75" s="403"/>
      <c r="G75" s="403"/>
      <c r="H75" s="403"/>
      <c r="I75" s="403"/>
      <c r="J75" s="403"/>
      <c r="K75" s="403"/>
      <c r="L75" s="158"/>
      <c r="M75" s="45"/>
    </row>
    <row r="76" spans="1:26" s="348" customFormat="1" ht="13.2" x14ac:dyDescent="0.3">
      <c r="A76" s="245" t="s">
        <v>446</v>
      </c>
      <c r="B76" s="268">
        <f>IF(K72&gt;0,IF(AND(0&lt;K72,K72&lt;$B$66),K72+1,0),0)</f>
        <v>21</v>
      </c>
      <c r="C76" s="268">
        <f>IF(B76&gt;0,IF(AND(0&lt;B76,B76&lt;$B$66),B76+1,0),0)</f>
        <v>22</v>
      </c>
      <c r="D76" s="268">
        <f>IF(C76&gt;0,IF(AND(0&lt;C76,C76&lt;$B$66),C76+1,0),0)</f>
        <v>23</v>
      </c>
      <c r="E76" s="268">
        <f>IF(D76&gt;0,IF(AND(0&lt;D76,D76&lt;$B$66),D76+1,0),0)</f>
        <v>24</v>
      </c>
      <c r="F76" s="268">
        <f>IF(E76&gt;0,IF(AND(0&lt;E76,E76&lt;$B$66),E76+1,0),0)</f>
        <v>25</v>
      </c>
      <c r="G76" s="268">
        <f>IF(F76&gt;0,IF(AND(0&lt;F76,F76&lt;$B$66),F76+1,0),0)</f>
        <v>26</v>
      </c>
      <c r="H76" s="268">
        <f t="shared" ref="H76:K76" si="21">IF(G76&gt;0,IF(AND(0&lt;G76,G76&lt;$B$66),G76+1,0),0)</f>
        <v>27</v>
      </c>
      <c r="I76" s="268">
        <f t="shared" si="21"/>
        <v>28</v>
      </c>
      <c r="J76" s="268">
        <f t="shared" si="21"/>
        <v>29</v>
      </c>
      <c r="K76" s="268">
        <f t="shared" si="21"/>
        <v>30</v>
      </c>
      <c r="L76" s="21"/>
    </row>
    <row r="77" spans="1:26" s="348" customFormat="1" ht="13.2" x14ac:dyDescent="0.3">
      <c r="A77" s="245" t="s">
        <v>133</v>
      </c>
      <c r="B77" s="244">
        <f>N(AND(B76&gt;0,$E$61&gt;0)*$E$61)</f>
        <v>377928.68591419962</v>
      </c>
      <c r="C77" s="244">
        <f t="shared" ref="C77:K77" si="22">N(AND(C76&gt;0,$E$61&gt;0)*$E$61)</f>
        <v>377928.68591419962</v>
      </c>
      <c r="D77" s="244">
        <f t="shared" si="22"/>
        <v>377928.68591419962</v>
      </c>
      <c r="E77" s="244">
        <f t="shared" si="22"/>
        <v>377928.68591419962</v>
      </c>
      <c r="F77" s="244">
        <f t="shared" si="22"/>
        <v>377928.68591419962</v>
      </c>
      <c r="G77" s="244">
        <f t="shared" si="22"/>
        <v>377928.68591419962</v>
      </c>
      <c r="H77" s="244">
        <f t="shared" si="22"/>
        <v>377928.68591419962</v>
      </c>
      <c r="I77" s="244">
        <f t="shared" si="22"/>
        <v>377928.68591419962</v>
      </c>
      <c r="J77" s="244">
        <f t="shared" si="22"/>
        <v>377928.68591419962</v>
      </c>
      <c r="K77" s="244">
        <f t="shared" si="22"/>
        <v>377928.68591419962</v>
      </c>
      <c r="L77" s="21"/>
    </row>
    <row r="78" spans="1:26" s="348" customFormat="1" x14ac:dyDescent="0.3">
      <c r="A78" s="349"/>
      <c r="B78" s="158"/>
      <c r="C78" s="16"/>
      <c r="D78" s="158"/>
      <c r="E78" s="158"/>
      <c r="F78" s="158"/>
      <c r="G78" s="158"/>
      <c r="H78" s="158"/>
      <c r="I78" s="158"/>
      <c r="J78" s="158"/>
      <c r="K78" s="158"/>
      <c r="L78" s="158"/>
      <c r="M78" s="45"/>
    </row>
    <row r="79" spans="1:26" s="348" customFormat="1" x14ac:dyDescent="0.3">
      <c r="A79" s="349"/>
      <c r="B79" s="520" t="s">
        <v>499</v>
      </c>
      <c r="C79" s="521"/>
      <c r="D79" s="521"/>
      <c r="E79" s="522"/>
      <c r="F79" s="403"/>
      <c r="G79" s="403"/>
      <c r="H79" s="403"/>
      <c r="I79" s="403"/>
      <c r="J79" s="403"/>
      <c r="K79" s="403"/>
      <c r="L79" s="158"/>
      <c r="M79" s="45"/>
    </row>
    <row r="80" spans="1:26" s="348" customFormat="1" x14ac:dyDescent="0.3">
      <c r="A80" s="245" t="s">
        <v>446</v>
      </c>
      <c r="B80" s="268">
        <f>IF(K76&gt;0,IF(AND(0&lt;K76,K76&lt;$B$66),K76+1,0),0)</f>
        <v>31</v>
      </c>
      <c r="C80" s="268">
        <f t="shared" ref="C80:K80" si="23">IF(B80&gt;0,IF(AND(0&lt;B80,B80&lt;$B$66),B80+1,0),0)</f>
        <v>32</v>
      </c>
      <c r="D80" s="268">
        <f t="shared" si="23"/>
        <v>33</v>
      </c>
      <c r="E80" s="268">
        <f t="shared" si="23"/>
        <v>34</v>
      </c>
      <c r="F80" s="268">
        <f t="shared" si="23"/>
        <v>35</v>
      </c>
      <c r="G80" s="268">
        <f t="shared" si="23"/>
        <v>36</v>
      </c>
      <c r="H80" s="268">
        <f t="shared" si="23"/>
        <v>37</v>
      </c>
      <c r="I80" s="268">
        <f t="shared" si="23"/>
        <v>38</v>
      </c>
      <c r="J80" s="268">
        <f t="shared" si="23"/>
        <v>39</v>
      </c>
      <c r="K80" s="268">
        <f t="shared" si="23"/>
        <v>40</v>
      </c>
      <c r="L80" s="158"/>
      <c r="M80" s="45"/>
    </row>
    <row r="81" spans="1:13" s="348" customFormat="1" x14ac:dyDescent="0.3">
      <c r="A81" s="245" t="s">
        <v>133</v>
      </c>
      <c r="B81" s="244">
        <f>N(AND(B80&gt;0,$E$61&gt;0)*$E$61)</f>
        <v>377928.68591419962</v>
      </c>
      <c r="C81" s="244">
        <f t="shared" ref="C81:K81" si="24">N(AND(C80&gt;0,$E$61&gt;0)*$E$61)</f>
        <v>377928.68591419962</v>
      </c>
      <c r="D81" s="244">
        <f t="shared" si="24"/>
        <v>377928.68591419962</v>
      </c>
      <c r="E81" s="244">
        <f t="shared" si="24"/>
        <v>377928.68591419962</v>
      </c>
      <c r="F81" s="244">
        <f t="shared" si="24"/>
        <v>377928.68591419962</v>
      </c>
      <c r="G81" s="244">
        <f t="shared" si="24"/>
        <v>377928.68591419962</v>
      </c>
      <c r="H81" s="244">
        <f t="shared" si="24"/>
        <v>377928.68591419962</v>
      </c>
      <c r="I81" s="244">
        <f t="shared" si="24"/>
        <v>377928.68591419962</v>
      </c>
      <c r="J81" s="244">
        <f t="shared" si="24"/>
        <v>377928.68591419962</v>
      </c>
      <c r="K81" s="244">
        <f t="shared" si="24"/>
        <v>377928.68591419962</v>
      </c>
      <c r="L81" s="158"/>
      <c r="M81" s="45"/>
    </row>
    <row r="82" spans="1:13" s="348" customFormat="1" x14ac:dyDescent="0.3">
      <c r="A82" s="233"/>
      <c r="B82" s="158"/>
      <c r="C82" s="16"/>
      <c r="D82" s="158"/>
      <c r="E82" s="158"/>
      <c r="F82" s="158"/>
      <c r="G82" s="158"/>
      <c r="H82" s="158"/>
      <c r="I82" s="158"/>
      <c r="J82" s="158"/>
      <c r="K82" s="158"/>
      <c r="L82" s="158"/>
      <c r="M82" s="45"/>
    </row>
    <row r="83" spans="1:13" s="348" customFormat="1" x14ac:dyDescent="0.3">
      <c r="A83" s="349"/>
      <c r="B83" s="520" t="s">
        <v>499</v>
      </c>
      <c r="C83" s="521"/>
      <c r="D83" s="521"/>
      <c r="E83" s="522"/>
      <c r="F83" s="403"/>
      <c r="G83" s="403"/>
      <c r="H83" s="158"/>
      <c r="I83" s="158"/>
      <c r="J83" s="158"/>
      <c r="K83" s="158"/>
      <c r="L83" s="158"/>
      <c r="M83" s="45"/>
    </row>
    <row r="84" spans="1:13" s="348" customFormat="1" x14ac:dyDescent="0.3">
      <c r="A84" s="245" t="s">
        <v>446</v>
      </c>
      <c r="B84" s="397">
        <f>IF(K80&gt;0,IF(AND(0&lt;K80,K80&lt;$B$66),K80+1,0),0)</f>
        <v>41</v>
      </c>
      <c r="C84" s="397">
        <f t="shared" ref="C84" si="25">IF(B84&gt;0,IF(AND(0&lt;B84,B84&lt;$B$66),B84+1,0),0)</f>
        <v>42</v>
      </c>
      <c r="D84" s="397">
        <f t="shared" ref="D84" si="26">IF(C84&gt;0,IF(AND(0&lt;C84,C84&lt;$B$66),C84+1,0),0)</f>
        <v>43</v>
      </c>
      <c r="E84" s="397">
        <f t="shared" ref="E84" si="27">IF(D84&gt;0,IF(AND(0&lt;D84,D84&lt;$B$66),D84+1,0),0)</f>
        <v>44</v>
      </c>
      <c r="F84" s="397">
        <f t="shared" ref="F84" si="28">IF(E84&gt;0,IF(AND(0&lt;E84,E84&lt;$B$66),E84+1,0),0)</f>
        <v>45</v>
      </c>
      <c r="G84" s="397">
        <f t="shared" ref="G84" si="29">IF(F84&gt;0,IF(AND(0&lt;F84,F84&lt;$B$66),F84+1,0),0)</f>
        <v>46</v>
      </c>
      <c r="H84" s="158"/>
      <c r="I84" s="158"/>
      <c r="J84" s="158"/>
      <c r="K84" s="158"/>
      <c r="L84" s="158"/>
      <c r="M84" s="45"/>
    </row>
    <row r="85" spans="1:13" s="348" customFormat="1" x14ac:dyDescent="0.3">
      <c r="A85" s="245" t="s">
        <v>133</v>
      </c>
      <c r="B85" s="244">
        <f>N(AND(B84&gt;0,$E$61&gt;0)*$E$61)</f>
        <v>377928.68591419962</v>
      </c>
      <c r="C85" s="244">
        <f t="shared" ref="C85" si="30">N(AND(C84&gt;0,$E$61&gt;0)*$E$61)</f>
        <v>377928.68591419962</v>
      </c>
      <c r="D85" s="244">
        <f t="shared" ref="D85" si="31">N(AND(D84&gt;0,$E$61&gt;0)*$E$61)</f>
        <v>377928.68591419962</v>
      </c>
      <c r="E85" s="244">
        <f t="shared" ref="E85" si="32">N(AND(E84&gt;0,$E$61&gt;0)*$E$61)</f>
        <v>377928.68591419962</v>
      </c>
      <c r="F85" s="244">
        <f t="shared" ref="F85" si="33">N(AND(F84&gt;0,$E$61&gt;0)*$E$61)</f>
        <v>377928.68591419962</v>
      </c>
      <c r="G85" s="244">
        <f t="shared" ref="G85" si="34">N(AND(G84&gt;0,$E$61&gt;0)*$E$61)</f>
        <v>377928.68591419962</v>
      </c>
      <c r="H85" s="158"/>
      <c r="I85" s="158"/>
      <c r="J85" s="158"/>
      <c r="K85" s="158"/>
      <c r="L85" s="158"/>
      <c r="M85" s="45"/>
    </row>
    <row r="86" spans="1:13" s="348" customFormat="1" x14ac:dyDescent="0.3">
      <c r="A86" s="233"/>
      <c r="B86" s="158"/>
      <c r="C86" s="16"/>
      <c r="D86" s="158"/>
      <c r="E86" s="158"/>
      <c r="F86" s="158"/>
      <c r="G86" s="158"/>
      <c r="H86" s="158"/>
      <c r="I86" s="158"/>
      <c r="J86" s="158"/>
      <c r="K86" s="158"/>
      <c r="L86" s="158"/>
      <c r="M86" s="45"/>
    </row>
    <row r="87" spans="1:13" s="348" customFormat="1" x14ac:dyDescent="0.3">
      <c r="A87" s="233"/>
      <c r="B87" s="158"/>
      <c r="C87" s="16"/>
      <c r="D87" s="158"/>
      <c r="E87" s="158"/>
      <c r="F87" s="158"/>
      <c r="G87" s="158"/>
      <c r="H87" s="158"/>
      <c r="I87" s="158"/>
      <c r="J87" s="158"/>
      <c r="K87" s="158"/>
      <c r="L87" s="158"/>
      <c r="M87" s="45"/>
    </row>
    <row r="88" spans="1:13" s="348" customFormat="1" x14ac:dyDescent="0.3">
      <c r="A88" s="233"/>
      <c r="B88" s="158"/>
      <c r="C88" s="16"/>
      <c r="D88" s="158"/>
      <c r="E88" s="158"/>
      <c r="F88" s="158"/>
      <c r="G88" s="158"/>
      <c r="H88" s="158"/>
      <c r="I88" s="158"/>
      <c r="J88" s="158"/>
      <c r="K88" s="158"/>
      <c r="L88" s="158"/>
      <c r="M88" s="45"/>
    </row>
    <row r="89" spans="1:13" s="348" customFormat="1" x14ac:dyDescent="0.3">
      <c r="A89" s="233"/>
      <c r="B89" s="158"/>
      <c r="C89" s="16"/>
      <c r="D89" s="158"/>
      <c r="E89" s="158"/>
      <c r="F89" s="158"/>
      <c r="G89" s="158"/>
      <c r="H89" s="158"/>
      <c r="I89" s="158"/>
      <c r="J89" s="158"/>
      <c r="K89" s="158"/>
      <c r="L89" s="158"/>
      <c r="M89" s="45"/>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LIST!$B$2:$B$3</xm:f>
          </x14:formula1>
          <xm:sqref>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2020-10-18T15:58:51Z</dcterms:created>
  <dcterms:modified xsi:type="dcterms:W3CDTF">2020-10-29T12:20:33Z</dcterms:modified>
</cp:coreProperties>
</file>